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codeName="ThisWorkbook"/>
  <mc:AlternateContent xmlns:mc="http://schemas.openxmlformats.org/markup-compatibility/2006">
    <mc:Choice Requires="x15">
      <x15ac:absPath xmlns:x15ac="http://schemas.microsoft.com/office/spreadsheetml/2010/11/ac" url="C:\Users\User\Desktop\Non_tidal\2019\"/>
    </mc:Choice>
  </mc:AlternateContent>
  <xr:revisionPtr revIDLastSave="0" documentId="13_ncr:1_{2B8282C7-067C-4D81-81BB-ED645BDDD9AF}" xr6:coauthVersionLast="45" xr6:coauthVersionMax="45" xr10:uidLastSave="{00000000-0000-0000-0000-000000000000}"/>
  <bookViews>
    <workbookView xWindow="-120" yWindow="-120" windowWidth="29040" windowHeight="15840" tabRatio="903" xr2:uid="{00000000-000D-0000-FFFF-FFFF00000000}"/>
  </bookViews>
  <sheets>
    <sheet name="CoverPage" sheetId="32" r:id="rId1"/>
    <sheet name="KeyFindings" sheetId="34" r:id="rId2"/>
    <sheet name="Photos" sheetId="35" r:id="rId3"/>
    <sheet name="OF" sheetId="2" r:id="rId4"/>
    <sheet name="OF_notes" sheetId="33" r:id="rId5"/>
    <sheet name="F" sheetId="3" r:id="rId6"/>
    <sheet name="S" sheetId="4" r:id="rId7"/>
    <sheet name="Scores" sheetId="5" r:id="rId8"/>
    <sheet name="WS" sheetId="8" r:id="rId9"/>
    <sheet name="SFS" sheetId="31" r:id="rId10"/>
    <sheet name="WC" sheetId="12" r:id="rId11"/>
    <sheet name="SR" sheetId="9" r:id="rId12"/>
    <sheet name="PR" sheetId="10" r:id="rId13"/>
    <sheet name="NR" sheetId="11" r:id="rId14"/>
    <sheet name="CS" sheetId="13" r:id="rId15"/>
    <sheet name="OE" sheetId="14" r:id="rId16"/>
    <sheet name="FA" sheetId="16" r:id="rId17"/>
    <sheet name="FR" sheetId="17" r:id="rId18"/>
    <sheet name="INV" sheetId="15" r:id="rId19"/>
    <sheet name="AM" sheetId="18" r:id="rId20"/>
    <sheet name="WBF" sheetId="19" r:id="rId21"/>
    <sheet name="WBN" sheetId="20" r:id="rId22"/>
    <sheet name="SBM" sheetId="21" r:id="rId23"/>
    <sheet name="POL" sheetId="22" r:id="rId24"/>
    <sheet name="PH" sheetId="23" r:id="rId25"/>
    <sheet name="PU" sheetId="27" r:id="rId26"/>
    <sheet name="EC" sheetId="26" r:id="rId27"/>
    <sheet name="Sen" sheetId="25" r:id="rId28"/>
    <sheet name="STR" sheetId="24" r:id="rId29"/>
  </sheets>
  <externalReferences>
    <externalReference r:id="rId30"/>
    <externalReference r:id="rId31"/>
    <externalReference r:id="rId32"/>
  </externalReferences>
  <definedNames>
    <definedName name="__IBA12">WBF!$D$158</definedName>
    <definedName name="_Alk3" localSheetId="6">[1]PR!$G$3</definedName>
    <definedName name="_Alk3">PR!#REF!</definedName>
    <definedName name="_AMT1" localSheetId="6">[1]AM!$G$251</definedName>
    <definedName name="_AMT1">AM!#REF!</definedName>
    <definedName name="_AMT2" localSheetId="6">[1]AM!$G$253</definedName>
    <definedName name="_AMT2">AM!#REF!</definedName>
    <definedName name="_AMT3" localSheetId="6">[1]AM!$G$254</definedName>
    <definedName name="_AMT3">AM!#REF!</definedName>
    <definedName name="_AMT4" localSheetId="6">[1]AM!$G$255</definedName>
    <definedName name="_AMT4">AM!#REF!</definedName>
    <definedName name="_AMT5" localSheetId="6">[1]AM!$G$250</definedName>
    <definedName name="_AMT5">AM!#REF!</definedName>
    <definedName name="_AMT6" localSheetId="6">[1]AM!$G$252</definedName>
    <definedName name="_AMT6">AM!#REF!</definedName>
    <definedName name="_AMT7" localSheetId="6">[1]AM!$G$249</definedName>
    <definedName name="_AMT7">AM!#REF!</definedName>
    <definedName name="_AMT8" localSheetId="6">[1]AM!$G$256</definedName>
    <definedName name="_AMT8">AM!#REF!</definedName>
    <definedName name="_BMP11">AM!$G$186</definedName>
    <definedName name="_BMP12">WBF!$G$140</definedName>
    <definedName name="_BMP13">WBN!$G$176</definedName>
    <definedName name="_Bog4" localSheetId="6">[1]NR!$D$3</definedName>
    <definedName name="_Bog4">NR!#REF!</definedName>
    <definedName name="_Bog5" localSheetId="6">[1]CS!$D$3</definedName>
    <definedName name="_Bog5">CS!#REF!</definedName>
    <definedName name="_Bog6">OE!$D$11</definedName>
    <definedName name="_CSQ1" localSheetId="6">[1]CS!$G$137</definedName>
    <definedName name="_CSQ1">CS!#REF!</definedName>
    <definedName name="_CSQ2" localSheetId="6">[1]CS!$G$138</definedName>
    <definedName name="_CSQ2">CS!#REF!</definedName>
    <definedName name="_CSQ3" localSheetId="6">[1]CS!$G$139</definedName>
    <definedName name="_CSQ3">CS!#REF!</definedName>
    <definedName name="_CSQ4" localSheetId="6">[1]CS!$G$140</definedName>
    <definedName name="_CSQ4">CS!#REF!</definedName>
    <definedName name="_Fen5" localSheetId="6">[1]CS!#REF!</definedName>
    <definedName name="_Fen5">CS!#REF!</definedName>
    <definedName name="_Fen7">WC!#REF!</definedName>
    <definedName name="_FHA1" localSheetId="6">[1]FA!$G$126</definedName>
    <definedName name="_FHA1">FA!#REF!</definedName>
    <definedName name="_FHA2" localSheetId="6">[1]FA!$G$127</definedName>
    <definedName name="_FHA2">FA!#REF!</definedName>
    <definedName name="_FHA3" localSheetId="6">[1]FA!#REF!</definedName>
    <definedName name="_FHA3">FA!#REF!</definedName>
    <definedName name="_FHA4" localSheetId="6">[1]FA!$G$128</definedName>
    <definedName name="_FHA4">FA!#REF!</definedName>
    <definedName name="_FHA5" localSheetId="6">[1]FA!$G$129</definedName>
    <definedName name="_FHA5">FA!#REF!</definedName>
    <definedName name="_FHA6" localSheetId="6">[1]FA!$G$130</definedName>
    <definedName name="_FHA6">FA!#REF!</definedName>
    <definedName name="_FHR1" localSheetId="6">[1]FR!$G$114</definedName>
    <definedName name="_FHR1">FR!#REF!</definedName>
    <definedName name="_FHR2" localSheetId="6">[1]FR!$G$115</definedName>
    <definedName name="_FHR2">FR!#REF!</definedName>
    <definedName name="_FHR3" localSheetId="6">[1]FR!$G$116</definedName>
    <definedName name="_FHR3">FR!#REF!</definedName>
    <definedName name="_FHR4" localSheetId="6">[1]FR!$G$117</definedName>
    <definedName name="_FHR4">FR!#REF!</definedName>
    <definedName name="_FHR5" localSheetId="6">[1]FR!$G$118</definedName>
    <definedName name="_FHR5">FR!#REF!</definedName>
    <definedName name="_GDD1">WS!$G$19</definedName>
    <definedName name="_GDD11">AM!$G$53</definedName>
    <definedName name="_GDD2">SR!$G$15</definedName>
    <definedName name="_GDD3">PR!$G$15</definedName>
    <definedName name="_GpA1">WS!#REF!</definedName>
    <definedName name="_IBA13">WBN!$G$188</definedName>
    <definedName name="_IBA14">SBM!$G$173</definedName>
    <definedName name="_INV2">INV!#REF!</definedName>
    <definedName name="_INV3" localSheetId="6">[1]INV!$G$167</definedName>
    <definedName name="_INV3">INV!#REF!</definedName>
    <definedName name="_INV4" localSheetId="6">[1]INV!$G$168</definedName>
    <definedName name="_INV4">INV!#REF!</definedName>
    <definedName name="_INV5" localSheetId="6">[1]INV!$G$169</definedName>
    <definedName name="_INV5">INV!#REF!</definedName>
    <definedName name="_INV6" localSheetId="6">[1]INV!$G$170</definedName>
    <definedName name="_INV6">INV!#REF!</definedName>
    <definedName name="_INV7" localSheetId="6">[1]INV!$G$171</definedName>
    <definedName name="_INV7">INV!#REF!</definedName>
    <definedName name="_INV8" localSheetId="6">[1]INV!$G$172</definedName>
    <definedName name="_INV8">INV!#REF!</definedName>
    <definedName name="_Iso2" localSheetId="6">[1]SR!$G$10</definedName>
    <definedName name="_Iso2">SR!$G$43</definedName>
    <definedName name="_ISO3" localSheetId="6">[1]PR!$G$20</definedName>
    <definedName name="_ISO3">PR!#REF!</definedName>
    <definedName name="_NRE1" localSheetId="6">[1]NR!$G$166</definedName>
    <definedName name="_NRE1">NR!#REF!</definedName>
    <definedName name="_NRE2" localSheetId="6">[1]NR!$G$167</definedName>
    <definedName name="_NRE2">NR!#REF!</definedName>
    <definedName name="_NRE3" localSheetId="6">[1]NR!$G$170</definedName>
    <definedName name="_NRE3">NR!#REF!</definedName>
    <definedName name="_NRE4" localSheetId="6">[1]NR!$G$169</definedName>
    <definedName name="_NRE4">NR!#REF!</definedName>
    <definedName name="_NRE5" localSheetId="6">[1]NR!$G$165</definedName>
    <definedName name="_NRE5">NR!#REF!</definedName>
    <definedName name="_OMX1" localSheetId="6">[1]OE!$G$118</definedName>
    <definedName name="_OMX1">OE!#REF!</definedName>
    <definedName name="_OMX2" localSheetId="6">[1]OE!$G$119</definedName>
    <definedName name="_OMX2">OE!#REF!</definedName>
    <definedName name="_OMX3" localSheetId="6">[1]OE!$G$120</definedName>
    <definedName name="_OMX3">OE!#REF!</definedName>
    <definedName name="_OMX4" localSheetId="6">[1]OE!$G$121</definedName>
    <definedName name="_OMX4">OE!#REF!</definedName>
    <definedName name="_OMX5">OE!#REF!</definedName>
    <definedName name="_Out3">PR!#REF!</definedName>
    <definedName name="_pcp13" localSheetId="6">[1]WBN!$G$204</definedName>
    <definedName name="_pcp13">WBN!#REF!</definedName>
    <definedName name="_pcp14" localSheetId="6">[1]SBM!$G$204</definedName>
    <definedName name="_pcp14">SBM!#REF!</definedName>
    <definedName name="_pcp8" localSheetId="6">[1]INV!$G$148</definedName>
    <definedName name="_pcp8">INV!#REF!</definedName>
    <definedName name="_PLD1" localSheetId="6">[1]PD!$G$203</definedName>
    <definedName name="_PLD1">PH!#REF!</definedName>
    <definedName name="_PLD2" localSheetId="6">[1]PD!$G$204</definedName>
    <definedName name="_PLD2">PH!#REF!</definedName>
    <definedName name="_PLD3" localSheetId="6">[1]PD!$G$205</definedName>
    <definedName name="_PLD3">PH!#REF!</definedName>
    <definedName name="_PR1" localSheetId="6">[1]PR!$G$160</definedName>
    <definedName name="_PR1">PR!#REF!</definedName>
    <definedName name="_PR2" localSheetId="6">[1]PR!$G$161</definedName>
    <definedName name="_PR2">PR!#REF!</definedName>
    <definedName name="_PR3" localSheetId="6">[1]PR!$G$162</definedName>
    <definedName name="_PR3">PR!#REF!</definedName>
    <definedName name="_PR4" localSheetId="6">[1]PR!$G$163</definedName>
    <definedName name="_PR4">PR!#REF!</definedName>
    <definedName name="_PR5" localSheetId="6">[1]PR!$G$164</definedName>
    <definedName name="_PR5">PR!#REF!</definedName>
    <definedName name="_PR6" localSheetId="6">[1]PR!$G$165</definedName>
    <definedName name="_PR6">PR!#REF!</definedName>
    <definedName name="_Pt2">S!#REF!</definedName>
    <definedName name="_Pt3">S!#REF!</definedName>
    <definedName name="_pt4">S!#REF!</definedName>
    <definedName name="_SED1" localSheetId="6">[1]SR!#REF!</definedName>
    <definedName name="_SED1">SR!#REF!</definedName>
    <definedName name="_SM1" localSheetId="6">[1]SBM!$G$216</definedName>
    <definedName name="_SM1">SBM!#REF!</definedName>
    <definedName name="_SM2" localSheetId="6">[1]SBM!$G$217</definedName>
    <definedName name="_SM2">SBM!#REF!</definedName>
    <definedName name="_SM3" localSheetId="6">[1]SBM!$G$218</definedName>
    <definedName name="_SM3">SBM!#REF!</definedName>
    <definedName name="_SM4" localSheetId="6">[1]SBM!$G$219</definedName>
    <definedName name="_SM4">SBM!#REF!</definedName>
    <definedName name="_SM5">SBM!#REF!</definedName>
    <definedName name="_SWO10" localSheetId="6">[1]FR!#REF!</definedName>
    <definedName name="_SWO10">FR!#REF!</definedName>
    <definedName name="_SWO12" localSheetId="6">[1]WBF!#REF!</definedName>
    <definedName name="_SWO12">WBF!#REF!</definedName>
    <definedName name="_SWO13" localSheetId="6">[1]WBN!#REF!</definedName>
    <definedName name="_SWO13">WBN!#REF!</definedName>
    <definedName name="_SWO2" localSheetId="6">[1]SR!#REF!</definedName>
    <definedName name="_SWO2">SR!#REF!</definedName>
    <definedName name="_SWO3" localSheetId="6">[1]PR!#REF!</definedName>
    <definedName name="_SWO3">PR!#REF!</definedName>
    <definedName name="_SWO4" localSheetId="6">[1]NR!#REF!</definedName>
    <definedName name="_SWO4">NR!#REF!</definedName>
    <definedName name="_SWO5" localSheetId="6">[1]CS!#REF!</definedName>
    <definedName name="_SWO5">CS!#REF!</definedName>
    <definedName name="_SWO6" localSheetId="6">[1]OE!#REF!</definedName>
    <definedName name="_SWO6">OE!#REF!</definedName>
    <definedName name="_SWO7" localSheetId="6">[1]T!#REF!</definedName>
    <definedName name="_SWO7">WC!#REF!</definedName>
    <definedName name="_SWO9" localSheetId="6">[1]FA!#REF!</definedName>
    <definedName name="_SWO9">FA!#REF!</definedName>
    <definedName name="_TMO1" localSheetId="6">[1]T!$G$47</definedName>
    <definedName name="_TMO1">WC!#REF!</definedName>
    <definedName name="_TMO2" localSheetId="6">[1]T!$G$46</definedName>
    <definedName name="_TMO2">WC!#REF!</definedName>
    <definedName name="_Tox12">WBF!$G$32</definedName>
    <definedName name="_WBF10">FR!$G$126</definedName>
    <definedName name="_WBF2" localSheetId="6">[1]WBF!$G$186</definedName>
    <definedName name="_WBF2">WBF!#REF!</definedName>
    <definedName name="_WBF3" localSheetId="6">[1]WBF!$G$187</definedName>
    <definedName name="_WBF3">WBF!#REF!</definedName>
    <definedName name="_WBF4" localSheetId="6">[1]WBF!$G$188</definedName>
    <definedName name="_WBF4">WBF!#REF!</definedName>
    <definedName name="_WBF5" localSheetId="6">[1]WBF!$G$189</definedName>
    <definedName name="_WBF5">WBF!#REF!</definedName>
    <definedName name="_WBF6" localSheetId="6">[1]WBF!$G$190</definedName>
    <definedName name="_WBF6">WBF!#REF!</definedName>
    <definedName name="_WBF7" localSheetId="6">[1]WBF!$G$191</definedName>
    <definedName name="_WBF7">WBF!#REF!</definedName>
    <definedName name="_WBF8" localSheetId="6">[1]WBF!$G$192</definedName>
    <definedName name="_WBF8">WBF!#REF!</definedName>
    <definedName name="_WBN1" localSheetId="6">[1]WBN!$G$216</definedName>
    <definedName name="_WBN1">WBN!#REF!</definedName>
    <definedName name="_WBN2" localSheetId="6">[1]WBN!$G$217</definedName>
    <definedName name="_WBN2">WBN!#REF!</definedName>
    <definedName name="_WBN3" localSheetId="6">[1]WBN!$G$218</definedName>
    <definedName name="_WBN3">WBN!#REF!</definedName>
    <definedName name="_WBN4" localSheetId="6">[1]WBN!$G$219</definedName>
    <definedName name="_WBN4">WBN!#REF!</definedName>
    <definedName name="_WBN5" localSheetId="6">[1]WBN!$G$220</definedName>
    <definedName name="_WBN5">WBN!#REF!</definedName>
    <definedName name="_WBN6" localSheetId="6">[1]WBN!$G$221</definedName>
    <definedName name="_WBN6">WBN!#REF!</definedName>
    <definedName name="_WBN7" localSheetId="6">[1]WBN!$G$222</definedName>
    <definedName name="_WBN7">WBN!#REF!</definedName>
    <definedName name="_WBN8" localSheetId="6">[1]WBN!$G$223</definedName>
    <definedName name="_WBN8">WBN!#REF!</definedName>
    <definedName name="_WBN9" localSheetId="6">[1]WBN!#REF!</definedName>
    <definedName name="_WBN9">WBN!#REF!</definedName>
    <definedName name="_WST1" localSheetId="6">[1]WS!$G$111</definedName>
    <definedName name="_WST1">WS!#REF!</definedName>
    <definedName name="_WST2" localSheetId="6">[1]WS!$G$112</definedName>
    <definedName name="_WST2">WS!#REF!</definedName>
    <definedName name="_WST3" localSheetId="6">[1]WS!$G$113</definedName>
    <definedName name="_WST3">WS!#REF!</definedName>
    <definedName name="AbioSens">Sen!$G$183</definedName>
    <definedName name="ABpct10" localSheetId="6">[1]FR!$G$89</definedName>
    <definedName name="ABpct10">FR!$G$52</definedName>
    <definedName name="ABpct11" localSheetId="6">[1]AM!$G$74</definedName>
    <definedName name="ABpct11">AM!$G$135</definedName>
    <definedName name="ABpct12" localSheetId="6">[1]WBF!$G$72</definedName>
    <definedName name="ABpct12">WBF!$G$103</definedName>
    <definedName name="ABpct8" localSheetId="6">[1]INV!$G$82</definedName>
    <definedName name="ABpct8">INV!$G$97</definedName>
    <definedName name="Access10" localSheetId="6">[1]FR!#REF!</definedName>
    <definedName name="Access10">FR!$G$9</definedName>
    <definedName name="Access11" localSheetId="6">[1]AM!$D$4</definedName>
    <definedName name="Access11">AM!#REF!</definedName>
    <definedName name="Access12">WBF!$D$38</definedName>
    <definedName name="Access8" localSheetId="6">[1]INV!$G$115</definedName>
    <definedName name="Access8">INV!#REF!</definedName>
    <definedName name="Access9" localSheetId="6">[1]FA!#REF!</definedName>
    <definedName name="Access9">FA!$G$19</definedName>
    <definedName name="AccessFR10" localSheetId="6">[1]FR!$D$96</definedName>
    <definedName name="AccessFR10">FR!#REF!</definedName>
    <definedName name="Acid12">WBF!$G$115</definedName>
    <definedName name="Acid4">NR!$G$124</definedName>
    <definedName name="Acid9">FA!$G$96</definedName>
    <definedName name="Acidic11">AM!$G$157</definedName>
    <definedName name="Acidic13">WBN!$G$142</definedName>
    <definedName name="Acidic20">PH!$G$134</definedName>
    <definedName name="AcidicPool10">FR!$G$79</definedName>
    <definedName name="AcidicS">Sen!$G$151</definedName>
    <definedName name="AcidPool10">FR!$D$79</definedName>
    <definedName name="AcidPool7">#REF!</definedName>
    <definedName name="Adsorb3">PR!$G$153</definedName>
    <definedName name="AfishAccess9" localSheetId="6">[1]FA!$D$7</definedName>
    <definedName name="AfishAccess9">FA!#REF!</definedName>
    <definedName name="AfishShed" localSheetId="6">#REF!</definedName>
    <definedName name="AfishShed">#REF!</definedName>
    <definedName name="AfishShed9" localSheetId="6">[1]FA!$D$6</definedName>
    <definedName name="AfishShed9">FA!$D$19</definedName>
    <definedName name="AFshed" localSheetId="6">#REF!</definedName>
    <definedName name="AFshed">#REF!</definedName>
    <definedName name="aglandprox">POL!#REF!</definedName>
    <definedName name="Algae12">WBF!$G$114</definedName>
    <definedName name="Algae3">PR!$G$75</definedName>
    <definedName name="AlkPlaya" localSheetId="6">#REF!</definedName>
    <definedName name="AlkPlaya">#REF!</definedName>
    <definedName name="AllDry10" localSheetId="6">[1]FR!#REF!</definedName>
    <definedName name="AllDry10">FR!#REF!</definedName>
    <definedName name="AllDry11" localSheetId="6">[1]AM!$D$5</definedName>
    <definedName name="AllDry11">AM!$D$110</definedName>
    <definedName name="AllDry12" localSheetId="6">[1]WBF!$D$23</definedName>
    <definedName name="AllDry12">WBF!$D$68</definedName>
    <definedName name="AllDry13" localSheetId="6">[1]WBN!#REF!</definedName>
    <definedName name="AllDry13">WBN!#REF!</definedName>
    <definedName name="AllDry2" localSheetId="6">[1]SR!$D$9</definedName>
    <definedName name="AllDry2">SR!#REF!</definedName>
    <definedName name="AllDry5" localSheetId="6">[1]CS!#REF!</definedName>
    <definedName name="AllDry5">CS!#REF!</definedName>
    <definedName name="AllDry5a">CS!#REF!</definedName>
    <definedName name="AllDry6" localSheetId="6">[1]OE!#REF!</definedName>
    <definedName name="AllDry6">OE!#REF!</definedName>
    <definedName name="AllDry6a" localSheetId="6">[1]OE!$D$21</definedName>
    <definedName name="AllDry6a">OE!#REF!</definedName>
    <definedName name="Alldry7" localSheetId="6">[1]T!$D$5</definedName>
    <definedName name="Alldry7">WC!#REF!</definedName>
    <definedName name="AllDry7a">WC!#REF!</definedName>
    <definedName name="AllDry8" localSheetId="6">[1]INV!$D$15</definedName>
    <definedName name="AllDry8">INV!#REF!</definedName>
    <definedName name="AllDry8a">INV!#REF!</definedName>
    <definedName name="AllDry9" localSheetId="6">[1]FA!$D$20</definedName>
    <definedName name="AllDry9">FA!$D$38</definedName>
    <definedName name="AllFlowDry">F!#REF!</definedName>
    <definedName name="AllFlowing">F!#REF!</definedName>
    <definedName name="AllFlowingDry">F!#REF!</definedName>
    <definedName name="AllFlowingWet">F!#REF!</definedName>
    <definedName name="AllForbCov">F!$D$99</definedName>
    <definedName name="AllHerbCov">F!#REF!</definedName>
    <definedName name="AllMoss">F!#REF!</definedName>
    <definedName name="AllNat">F!#REF!</definedName>
    <definedName name="AllOpenPond">F!$D$176</definedName>
    <definedName name="AllSat">F!#REF!</definedName>
    <definedName name="AllSat1">F!$D$127</definedName>
    <definedName name="AllSat2">F!$D$126</definedName>
    <definedName name="AllWater14">SBM!#REF!</definedName>
    <definedName name="AllWet">F!$D$133</definedName>
    <definedName name="AltTime10">FR!$G$102</definedName>
    <definedName name="AltTime11">AM!#REF!</definedName>
    <definedName name="AltTime20">PH!$G$179</definedName>
    <definedName name="AltTime8">INV!$D$136</definedName>
    <definedName name="AltTime8a">INV!$G$136</definedName>
    <definedName name="AltTime9">FA!$G$117</definedName>
    <definedName name="AltTiming" localSheetId="6">[1]STR!$G$4</definedName>
    <definedName name="AltTiming">STR!$G$75</definedName>
    <definedName name="AltTimingIN">STR!$G$75</definedName>
    <definedName name="AltTimingOut" localSheetId="6">[1]STR!$G$5</definedName>
    <definedName name="AltTimingOut">STR!#REF!</definedName>
    <definedName name="Amphib" localSheetId="6">[1]INV!$G$161</definedName>
    <definedName name="Amphib">INV!$G$142</definedName>
    <definedName name="AmphScore">#REF!</definedName>
    <definedName name="AmPres11">AM!#REF!</definedName>
    <definedName name="AmpSiteS">Sen!#REF!</definedName>
    <definedName name="Anad3">PR!#REF!</definedName>
    <definedName name="Anad4">NR!#REF!</definedName>
    <definedName name="AnadFish" localSheetId="6">[1]INV!$G$159</definedName>
    <definedName name="AnadFish">INV!$G$140</definedName>
    <definedName name="AnadFish7">WC!$G$62</definedName>
    <definedName name="AnadHUC7" localSheetId="6">[1]T!$G$37</definedName>
    <definedName name="AnadHUC7">WC!#REF!</definedName>
    <definedName name="AnadPrio7" localSheetId="6">[1]T!#REF!</definedName>
    <definedName name="AnadPrio7">WC!#REF!</definedName>
    <definedName name="AnadPrioShed" localSheetId="6">[1]FA!$G$123</definedName>
    <definedName name="AnadPrioShed">FA!#REF!</definedName>
    <definedName name="AnadScore2_">SFS!$G$39</definedName>
    <definedName name="AnimSens_S" localSheetId="6">[1]Sen!#REF!</definedName>
    <definedName name="AnimSens_S">Sen!#REF!</definedName>
    <definedName name="AnoxRisk10">FR!$G$131</definedName>
    <definedName name="AqCov8">INV!$G$108</definedName>
    <definedName name="AqFertilPD">PH!$G$192</definedName>
    <definedName name="AqPest8" localSheetId="6">[1]INV!$G$76</definedName>
    <definedName name="AqPest8">INV!#REF!</definedName>
    <definedName name="AqPlantCov13">WBN!$G$112</definedName>
    <definedName name="AqPlantCov2">SR!$G$49</definedName>
    <definedName name="AqPlantCov3">PR!$G$57</definedName>
    <definedName name="AqPlantCov4">NR!$G$90</definedName>
    <definedName name="AqPlantCov5">CS!$G$68</definedName>
    <definedName name="AqPlantCov6">OE!$G$59</definedName>
    <definedName name="AqPlantCov9">FA!$G$69</definedName>
    <definedName name="AqStruc11">AM!$G$204</definedName>
    <definedName name="Aquif1" localSheetId="6">[1]WS!#REF!</definedName>
    <definedName name="Aquif1">WS!#REF!</definedName>
    <definedName name="Aquifer" localSheetId="6">[1]WS!#REF!</definedName>
    <definedName name="Aquifer">WS!#REF!</definedName>
    <definedName name="Aquifer4" localSheetId="6">[1]NR!$G$151</definedName>
    <definedName name="Aquifer4">NR!$G$209</definedName>
    <definedName name="AreaTotal12">WBF!$G$3</definedName>
    <definedName name="aspect0">POL!#REF!</definedName>
    <definedName name="Aspect1">WS!$G$8</definedName>
    <definedName name="Aspect11">AM!$G$49</definedName>
    <definedName name="Aspect2_">SFS!$G$3</definedName>
    <definedName name="Aspect4">NR!$G$13</definedName>
    <definedName name="Aspect7">WC!$G$3</definedName>
    <definedName name="Aspect7v">WC!$G$49</definedName>
    <definedName name="Aspect7vw">#REF!</definedName>
    <definedName name="Aspect7w">#REF!</definedName>
    <definedName name="AspectPD">PH!#REF!</definedName>
    <definedName name="BareGpct">EC!$G$9</definedName>
    <definedName name="Bduck13">WBN!$G$42</definedName>
    <definedName name="BearHab9">FA!#REF!</definedName>
    <definedName name="BearPD">PH!#REF!</definedName>
    <definedName name="BearShed">FA!#REF!</definedName>
    <definedName name="BearShed14">SBM!#REF!</definedName>
    <definedName name="BearShed9">FA!#REF!</definedName>
    <definedName name="Beaver_S">Sen!$G$160</definedName>
    <definedName name="Beaver10">FR!$G$88</definedName>
    <definedName name="Beaver12">WBF!$G$119</definedName>
    <definedName name="Beaver13">WBN!$G$146</definedName>
    <definedName name="Beaver14">SBM!$D$135</definedName>
    <definedName name="Beaver14a">SBM!$G$135</definedName>
    <definedName name="Beaver9">FA!$G$100</definedName>
    <definedName name="BeaverPD">PH!$G$143</definedName>
    <definedName name="BestInScape" localSheetId="6">#REF!</definedName>
    <definedName name="BestInScape">#REF!</definedName>
    <definedName name="BestInShed" localSheetId="6">#REF!</definedName>
    <definedName name="BestInShed">#REF!</definedName>
    <definedName name="BigPondProx12" localSheetId="6">[1]WBF!$G$137</definedName>
    <definedName name="BigPondProx12">WBF!$G$18</definedName>
    <definedName name="Biological">EC!$G$30</definedName>
    <definedName name="BioSens">Sen!$G$184</definedName>
    <definedName name="Bioshed14">SBM!#REF!</definedName>
    <definedName name="BioShedX">STR!#REF!</definedName>
    <definedName name="BMPsoils20">PH!$G$177</definedName>
    <definedName name="BMPsoilsPU">PU!$G$52</definedName>
    <definedName name="BMPwild11">[2]AM!$G$204</definedName>
    <definedName name="BMPwild12">[2]WBF!$G$158</definedName>
    <definedName name="BMPwild13">[2]WBN!$G$190</definedName>
    <definedName name="BMPwildPU">PU!$G$53</definedName>
    <definedName name="BoatsPD" localSheetId="6">[1]PD!$G$114</definedName>
    <definedName name="BoatsPD">PH!#REF!</definedName>
    <definedName name="BoatVector" localSheetId="6">[1]STR!$G$19</definedName>
    <definedName name="BoatVector">STR!#REF!</definedName>
    <definedName name="BuffAllNat">F!$D$252</definedName>
    <definedName name="BuffCovTyp4">NR!$G$201</definedName>
    <definedName name="BuffCUnatPct9" localSheetId="6">[1]FA!#REF!</definedName>
    <definedName name="BuffCUnatPct9">FA!#REF!</definedName>
    <definedName name="BuffDisturbTyp" localSheetId="6">[1]STR!$G$46</definedName>
    <definedName name="BuffDisturbTyp">STR!$G$46</definedName>
    <definedName name="BufferWeeds" localSheetId="6">#REF!</definedName>
    <definedName name="BufferWeeds">#REF!</definedName>
    <definedName name="BuffLU10" localSheetId="6">[1]FR!#REF!</definedName>
    <definedName name="BuffLU10">FR!#REF!</definedName>
    <definedName name="BuffLU11" localSheetId="6">[1]AM!$G$158</definedName>
    <definedName name="BuffLU11">AM!$G$171</definedName>
    <definedName name="BuffLU14" localSheetId="6">[1]SBM!#REF!</definedName>
    <definedName name="BuffLU14">SBM!#REF!</definedName>
    <definedName name="BuffLU8" localSheetId="6">[1]INV!#REF!</definedName>
    <definedName name="BuffLU8">INV!#REF!</definedName>
    <definedName name="BuffLU9" localSheetId="6">[1]FA!$G$99</definedName>
    <definedName name="BuffLU9">FA!$G$114</definedName>
    <definedName name="BuffLUpd" localSheetId="6">[1]PD!$G$141</definedName>
    <definedName name="BuffLUpd">PH!$G$157</definedName>
    <definedName name="BuffLUtype0">POL!$G$79</definedName>
    <definedName name="BuffLUtype13" localSheetId="6">[1]WBN!$G$134</definedName>
    <definedName name="BuffLUtype13">WBN!$G$161</definedName>
    <definedName name="BuffNatPct13" localSheetId="6">[1]WBN!$G$128</definedName>
    <definedName name="BuffNatPct13">WBN!$G$155</definedName>
    <definedName name="BuffPctCU10" localSheetId="6">[1]FR!#REF!</definedName>
    <definedName name="BuffPctCU10">FR!#REF!</definedName>
    <definedName name="BuffPctNat9">FA!$G$108</definedName>
    <definedName name="BuffPerim0">POL!$G$73</definedName>
    <definedName name="BuffPerim14">SBM!$G$139</definedName>
    <definedName name="BuffSlope_S" localSheetId="6">[1]Sen!$G$122</definedName>
    <definedName name="BuffSlope_S">Sen!$G$170</definedName>
    <definedName name="BuffSlope2">SR!$G$139</definedName>
    <definedName name="BuffSlope3">PR!$G$142</definedName>
    <definedName name="BuffSlope4">NR!$G$204</definedName>
    <definedName name="BuffVdens" localSheetId="6">[1]STR!#REF!</definedName>
    <definedName name="BuffVdens">STR!#REF!</definedName>
    <definedName name="BuffVeg2" localSheetId="6">[1]SR!#REF!</definedName>
    <definedName name="BuffVeg2">SR!#REF!</definedName>
    <definedName name="BuffVpct3" localSheetId="6">[1]PR!#REF!</definedName>
    <definedName name="BuffVpct3">PR!#REF!</definedName>
    <definedName name="BuffVpct4" localSheetId="6">[1]NR!#REF!</definedName>
    <definedName name="BuffVpct4">NR!#REF!</definedName>
    <definedName name="Burn20">PH!$G$160</definedName>
    <definedName name="Burn5">CS!$G$108</definedName>
    <definedName name="BurnHist">STR!$G$49</definedName>
    <definedName name="CAimperv">STR!$G$22</definedName>
    <definedName name="calcarPD" localSheetId="6">[1]PD!#REF!</definedName>
    <definedName name="calcarPD">PH!#REF!</definedName>
    <definedName name="CalcFen15">PH!$G$178</definedName>
    <definedName name="CalcFen3">PR!$G$101</definedName>
    <definedName name="Calcium3" localSheetId="6">[1]PR!#REF!</definedName>
    <definedName name="Calcium3">PR!#REF!</definedName>
    <definedName name="Calcium5" localSheetId="6">[1]CS!#REF!</definedName>
    <definedName name="Calcium5">CS!#REF!</definedName>
    <definedName name="CAnatPct2" localSheetId="6">[1]SR!$G$154</definedName>
    <definedName name="CAnatPct2">SR!$G$133</definedName>
    <definedName name="CAnatPct4" localSheetId="6">[1]NR!$G$155</definedName>
    <definedName name="CAnatPct4">NR!$G$195</definedName>
    <definedName name="CApct1" localSheetId="6">[1]WS!$G$79</definedName>
    <definedName name="CApct1">WS!$G$3</definedName>
    <definedName name="CApct2" localSheetId="6">[1]SR!$G$85</definedName>
    <definedName name="CApct2">SR!$G$106</definedName>
    <definedName name="CApct2F" localSheetId="6">[1]SR!$G$75</definedName>
    <definedName name="CApct2F">SR!#REF!</definedName>
    <definedName name="CApct3" localSheetId="6">[1]PR!$G$111</definedName>
    <definedName name="CApct3">PR!$G$113</definedName>
    <definedName name="CApct4" localSheetId="6">[1]NR!$G$111</definedName>
    <definedName name="CApct4">NR!$G$170</definedName>
    <definedName name="CApctB3">PR!$G$3</definedName>
    <definedName name="CarbShed">OE!#REF!</definedName>
    <definedName name="CAunveg1" localSheetId="6">[1]WS!$G$84</definedName>
    <definedName name="CAunveg1">WS!$G$80</definedName>
    <definedName name="Cedar14">SBM!#REF!</definedName>
    <definedName name="CedarPD">PH!#REF!</definedName>
    <definedName name="Class" localSheetId="6">#REF!</definedName>
    <definedName name="Class">#REF!</definedName>
    <definedName name="cliff0" localSheetId="6">[1]POL!$G$76</definedName>
    <definedName name="cliff0">POL!$G$82</definedName>
    <definedName name="Cliff14">SBM!$D$148</definedName>
    <definedName name="Cliffs14" localSheetId="6">[1]SBM!$G$78</definedName>
    <definedName name="Cliffs14">SBM!$G$148</definedName>
    <definedName name="Climate11">AM!#REF!</definedName>
    <definedName name="Climate12">WBF!#REF!</definedName>
    <definedName name="ClimateLF">SFS!$G$43</definedName>
    <definedName name="ClimatePD">PH!#REF!</definedName>
    <definedName name="ClimateS">Sen!#REF!</definedName>
    <definedName name="COA">PU!#REF!</definedName>
    <definedName name="Colonizer">Sen!$G$186</definedName>
    <definedName name="CompetPD">PH!$G$194</definedName>
    <definedName name="Conduc10">FR!$G$83</definedName>
    <definedName name="Conduc20">PH!$G$138</definedName>
    <definedName name="Conduc3">PR!$G$127</definedName>
    <definedName name="Conduc4">NR!$G$190</definedName>
    <definedName name="Conduc8">INV!$G$118</definedName>
    <definedName name="ConductivS">Sen!$G$155</definedName>
    <definedName name="Connec3">PR!$G$152</definedName>
    <definedName name="Connec4">NR!$G$217</definedName>
    <definedName name="Connec8">INV!$G$149</definedName>
    <definedName name="Connectiv2">SR!#REF!</definedName>
    <definedName name="ConnectivLF">SFS!$G$42</definedName>
    <definedName name="ConsDesig">PU!$D$22</definedName>
    <definedName name="ConsDesig1">PU!$G$22</definedName>
    <definedName name="ConsInvest" localSheetId="6">[1]PU!$G$22</definedName>
    <definedName name="ConsInvest">PU!$G$23</definedName>
    <definedName name="Constric_C" localSheetId="6">[1]CQ!#REF!</definedName>
    <definedName name="Constric_C">EC!#REF!</definedName>
    <definedName name="Constric_S" localSheetId="6">[1]Sen!$G$34</definedName>
    <definedName name="Constric_S">Sen!$G$147</definedName>
    <definedName name="Constric1" localSheetId="6">[1]WS!$G$53</definedName>
    <definedName name="Constric1">WS!$G$54</definedName>
    <definedName name="Constric10" localSheetId="6">[1]FR!$G$64</definedName>
    <definedName name="Constric10">FR!#REF!</definedName>
    <definedName name="Constric2" localSheetId="6">[1]SR!$G$41</definedName>
    <definedName name="Constric2">SR!$G$79</definedName>
    <definedName name="Constric3" localSheetId="6">[1]PR!$G$58</definedName>
    <definedName name="Constric3">PR!$G$82</definedName>
    <definedName name="Constric4" localSheetId="6">[1]NR!$G$54</definedName>
    <definedName name="Constric4">NR!$G$114</definedName>
    <definedName name="Constric5" localSheetId="6">[1]CS!$G$63</definedName>
    <definedName name="Constric5">CS!$G$88</definedName>
    <definedName name="Constric6" localSheetId="6">[1]OE!$G$60</definedName>
    <definedName name="Constric6">OE!$G$83</definedName>
    <definedName name="Constricted">STR!$G$36</definedName>
    <definedName name="ConsumpU">#REF!</definedName>
    <definedName name="ContribUp" localSheetId="6">#REF!</definedName>
    <definedName name="ContribUp">#REF!</definedName>
    <definedName name="Conven">PU!$G$55</definedName>
    <definedName name="Core1" localSheetId="6">[1]STR!$G$25</definedName>
    <definedName name="Core1">STR!$G$63</definedName>
    <definedName name="Core1_11" localSheetId="6">[1]AM!$G$125</definedName>
    <definedName name="Core1_11">AM!$G$174</definedName>
    <definedName name="Core1_13" localSheetId="6">[1]WBN!$G$118</definedName>
    <definedName name="Core1_13">WBN!$G$164</definedName>
    <definedName name="Core10">FR!$G$118</definedName>
    <definedName name="Core12a" localSheetId="6">[1]WBF!$G$102</definedName>
    <definedName name="Core12a">WBF!$G$128</definedName>
    <definedName name="Core12b" localSheetId="6">[1]WBF!$G$107</definedName>
    <definedName name="Core12b">WBF!$G$135</definedName>
    <definedName name="Core13a">WBN!$G$164</definedName>
    <definedName name="Core14a" localSheetId="6">[1]SBM!$G$84</definedName>
    <definedName name="Core14a">SBM!$G$149</definedName>
    <definedName name="Core14b" localSheetId="6">[1]SBM!$G$89</definedName>
    <definedName name="Core14b">SBM!$G$156</definedName>
    <definedName name="Core1pd" localSheetId="6">[1]PD!$G$120</definedName>
    <definedName name="Core1pd">PH!$G$165</definedName>
    <definedName name="Core1PU">PU!$G$40</definedName>
    <definedName name="Core2" localSheetId="6">[1]STR!$G$30</definedName>
    <definedName name="Core2">STR!$G$70</definedName>
    <definedName name="Core2_11" localSheetId="6">[1]AM!$G$130</definedName>
    <definedName name="Core2_11">AM!$G$181</definedName>
    <definedName name="Core2_13" localSheetId="6">[1]WBN!$G$123</definedName>
    <definedName name="Core2_13">WBN!$G$171</definedName>
    <definedName name="Core2pd" localSheetId="6">[1]PD!$G$125</definedName>
    <definedName name="Core2pd">PH!$G$172</definedName>
    <definedName name="Core2PU">PU!$G$47</definedName>
    <definedName name="Core9">FA!$G$134</definedName>
    <definedName name="County" localSheetId="6">#REF!</definedName>
    <definedName name="County">#REF!</definedName>
    <definedName name="CountyNPrank" localSheetId="6">#REF!</definedName>
    <definedName name="CountyNPrank">#REF!</definedName>
    <definedName name="Cover2miDiv">POL!#REF!</definedName>
    <definedName name="CoverAppro_C" localSheetId="6">[1]CQ!#REF!</definedName>
    <definedName name="CoverAppro_C">EC!#REF!</definedName>
    <definedName name="CoverAppro2" localSheetId="6">#REF!</definedName>
    <definedName name="CoverAppro2">#REF!</definedName>
    <definedName name="CovPctScape0">POL!$G$11</definedName>
    <definedName name="Cowardin" localSheetId="6">#REF!</definedName>
    <definedName name="Cowardin">#REF!</definedName>
    <definedName name="crops0" localSheetId="6">[1]POL!$G$105</definedName>
    <definedName name="crops0">POL!#REF!</definedName>
    <definedName name="Crowds" localSheetId="6">#REF!</definedName>
    <definedName name="Crowds">#REF!</definedName>
    <definedName name="Crowds2" localSheetId="6">#REF!</definedName>
    <definedName name="Crowds2">#REF!</definedName>
    <definedName name="Cshed6">OE!#REF!</definedName>
    <definedName name="Cshed9">CS!#REF!</definedName>
    <definedName name="CSshed">CS!#REF!</definedName>
    <definedName name="CtyRankNP" localSheetId="6">#REF!</definedName>
    <definedName name="CtyRankNP">#REF!</definedName>
    <definedName name="CUbuffLUtype8" localSheetId="6">[1]INV!$G$128</definedName>
    <definedName name="CUbuffLUtype8">INV!$G$133</definedName>
    <definedName name="CUbuffNatPct14" localSheetId="6">[1]SBM!$G$94</definedName>
    <definedName name="CUbuffNatPct14">SBM!#REF!</definedName>
    <definedName name="CUbuffPctNat_S" localSheetId="6">[1]Sen!#REF!</definedName>
    <definedName name="CUbuffPctNat_S">Sen!#REF!</definedName>
    <definedName name="CUbuffPctNat8">INV!$G$133</definedName>
    <definedName name="CUratio_S" localSheetId="6">[1]Sen!$G$174</definedName>
    <definedName name="CUratio_S">Sen!$G$50</definedName>
    <definedName name="CUratioSS">SR!$G$106</definedName>
    <definedName name="CUtypeLU14" localSheetId="6">[1]SBM!$G$100</definedName>
    <definedName name="CUtypeLU14">SBM!$G$145</definedName>
    <definedName name="DeadZone" localSheetId="6">#REF!</definedName>
    <definedName name="DeadZone">#REF!</definedName>
    <definedName name="Decid6">OE!#REF!</definedName>
    <definedName name="DecidCov15">PH!$G$56</definedName>
    <definedName name="DecidPct5">CS!#REF!</definedName>
    <definedName name="DecidTree14">SBM!#REF!</definedName>
    <definedName name="DecidTree5">CS!$G$11</definedName>
    <definedName name="DecidTree6">OE!#REF!</definedName>
    <definedName name="DecidTree8">INV!$G$27</definedName>
    <definedName name="DeepPersis">F!$D$199</definedName>
    <definedName name="DeepSpot10">FR!#REF!</definedName>
    <definedName name="DeepSpot11" localSheetId="6">[1]AM!$G$43</definedName>
    <definedName name="DeepSpot11">AM!#REF!</definedName>
    <definedName name="DeepSpot12" localSheetId="6">[1]WBF!#REF!</definedName>
    <definedName name="DeepSpot12">WBF!#REF!</definedName>
    <definedName name="DeepSpot13">WBN!#REF!</definedName>
    <definedName name="DeepSpot2">SR!#REF!</definedName>
    <definedName name="DeepSpot3">PR!#REF!</definedName>
    <definedName name="DeerHab14">SBM!$G$59</definedName>
    <definedName name="DeerShed14">SBM!$D$59</definedName>
    <definedName name="DeerShedPS">#REF!</definedName>
    <definedName name="DeerShedPS2">#REF!</definedName>
    <definedName name="Depth_S" localSheetId="6">[1]Sen!$G$18</definedName>
    <definedName name="Depth_S">Sen!$G$122</definedName>
    <definedName name="Depth10" localSheetId="6">[1]FR!$G$48</definedName>
    <definedName name="Depth10">FR!$G$42</definedName>
    <definedName name="Depth12" localSheetId="6">[1]WBF!$G$44</definedName>
    <definedName name="Depth12">WBF!$G$87</definedName>
    <definedName name="Depth13" localSheetId="6">[1]WBN!$G$36</definedName>
    <definedName name="Depth13">WBN!$G$96</definedName>
    <definedName name="Depth15" localSheetId="6">[1]PD!$G$37</definedName>
    <definedName name="Depth15">PH!$G$116</definedName>
    <definedName name="Depth2_">SFS!$G$20</definedName>
    <definedName name="Depth5" localSheetId="6">[1]CS!$G$47</definedName>
    <definedName name="Depth5">CS!$G$56</definedName>
    <definedName name="Depth6" localSheetId="6">[1]OE!$G$48</definedName>
    <definedName name="Depth6">OE!$G$47</definedName>
    <definedName name="Depth7" localSheetId="6">[1]T!$G$13</definedName>
    <definedName name="Depth7">WC!$G$20</definedName>
    <definedName name="Depth7w">#REF!</definedName>
    <definedName name="Depth8" localSheetId="6">[1]INV!$G$53</definedName>
    <definedName name="Depth8">INV!$G$81</definedName>
    <definedName name="Depth9" localSheetId="6">[1]FA!$G$38</definedName>
    <definedName name="Depth9">FA!$G$63</definedName>
    <definedName name="DepthC2" localSheetId="6">[1]SR!$G$30</definedName>
    <definedName name="DepthC2">SR!$G$37</definedName>
    <definedName name="DepthDiv8">INV!$G$87</definedName>
    <definedName name="DepthDom5">CS!$G$56</definedName>
    <definedName name="DepthEven10" localSheetId="6">[1]FR!$G$54</definedName>
    <definedName name="DepthEven10">FR!$G$48</definedName>
    <definedName name="DepthEven11" localSheetId="6">[1]AM!#REF!</definedName>
    <definedName name="DepthEven11">AM!#REF!</definedName>
    <definedName name="DepthEven12" localSheetId="6">[1]WBF!$G$50</definedName>
    <definedName name="DepthEven12">WBF!$G$93</definedName>
    <definedName name="DepthEven13" localSheetId="6">[1]WBN!$G$42</definedName>
    <definedName name="DepthEven13">WBN!$G$102</definedName>
    <definedName name="DepthEven8" localSheetId="6">[1]INV!$G$59</definedName>
    <definedName name="DepthEven8">INV!#REF!</definedName>
    <definedName name="Designated" localSheetId="6">#REF!</definedName>
    <definedName name="Designated">#REF!</definedName>
    <definedName name="Desorb3">PR!$G$154</definedName>
    <definedName name="Deveg_C">EC!#REF!</definedName>
    <definedName name="Deveg11" localSheetId="6">[1]AM!$G$113</definedName>
    <definedName name="Deveg11">AM!#REF!</definedName>
    <definedName name="Deveg13" localSheetId="6">[1]WBN!$G$113</definedName>
    <definedName name="Deveg13">WBN!#REF!</definedName>
    <definedName name="Deveg14" localSheetId="6">[1]SBM!$G$79</definedName>
    <definedName name="Deveg14">SBM!#REF!</definedName>
    <definedName name="Deveg2" localSheetId="6">[1]SR!$G$70</definedName>
    <definedName name="Deveg2">SR!#REF!</definedName>
    <definedName name="Deveg5" localSheetId="6">[1]CS!$G$126</definedName>
    <definedName name="Deveg5">CS!#REF!</definedName>
    <definedName name="Deveg6" localSheetId="6">[1]OE!$G$110</definedName>
    <definedName name="Deveg6">OE!#REF!</definedName>
    <definedName name="Deveg8" localSheetId="6">[1]INV!$G$116</definedName>
    <definedName name="Deveg8">INV!#REF!</definedName>
    <definedName name="devegPD" localSheetId="6">[1]PD!$G$109</definedName>
    <definedName name="devegPD">PH!#REF!</definedName>
    <definedName name="DisRd14" localSheetId="6">[1]SBM!$G$109</definedName>
    <definedName name="DisRd14">SBM!$G$41</definedName>
    <definedName name="Dist2RareCov0">POL!#REF!</definedName>
    <definedName name="DistAnad">OE!#REF!</definedName>
    <definedName name="DistBig15">PH!$G$18</definedName>
    <definedName name="DistExceedSS" localSheetId="6">[1]SR!#REF!</definedName>
    <definedName name="DistExceedSS">SR!#REF!</definedName>
    <definedName name="DistNat0">POL!$G$3</definedName>
    <definedName name="DistPond10">AM!$G$191</definedName>
    <definedName name="DistPond12">WBF!$G$149</definedName>
    <definedName name="DistPond13">WBN!$G$179</definedName>
    <definedName name="DistPond14">SBM!$G$164</definedName>
    <definedName name="DistRareTyp11">AM!#REF!</definedName>
    <definedName name="DistRareTyp14">SBM!#REF!</definedName>
    <definedName name="DistRareTyp8">INV!#REF!</definedName>
    <definedName name="DistRareTypPD">PH!#REF!</definedName>
    <definedName name="DistRareTypS">Sen!#REF!</definedName>
    <definedName name="DistRd" localSheetId="6">[1]STR!$G$54</definedName>
    <definedName name="DistRd">STR!$G$9</definedName>
    <definedName name="DistRd10">FR!$G$111</definedName>
    <definedName name="DistRd9">FA!$G$127</definedName>
    <definedName name="DistRdPD" localSheetId="6">[1]PD!$G$163</definedName>
    <definedName name="DistRdPD">PH!$G$38</definedName>
    <definedName name="DistRdPU">PU!$G$9</definedName>
    <definedName name="DistToRareCov0">POL!#REF!</definedName>
    <definedName name="Disturb" localSheetId="6">#REF!</definedName>
    <definedName name="Disturb">#REF!</definedName>
    <definedName name="DisturbStress">STR!$G$84</definedName>
    <definedName name="Ditching1">WS!#REF!</definedName>
    <definedName name="DomDepth3" localSheetId="6">[1]PR!$G$47</definedName>
    <definedName name="DomDepth3">PR!$G$51</definedName>
    <definedName name="DownDistExceedSS" localSheetId="6">[1]SR!$G$112</definedName>
    <definedName name="DownDistExceedSS">SR!#REF!</definedName>
    <definedName name="DownEroding" localSheetId="6">#REF!</definedName>
    <definedName name="DownEroding">#REF!</definedName>
    <definedName name="DownExceed" localSheetId="6">#REF!</definedName>
    <definedName name="DownExceed">#REF!</definedName>
    <definedName name="DownExceed2">SR!#REF!</definedName>
    <definedName name="DownExceedDist" localSheetId="6">#REF!</definedName>
    <definedName name="DownExceedDist">#REF!</definedName>
    <definedName name="DownExceedSS">SR!#REF!</definedName>
    <definedName name="DownNitrate" localSheetId="6">#REF!</definedName>
    <definedName name="DownNitrate">#REF!</definedName>
    <definedName name="DownPhos" localSheetId="6">#REF!</definedName>
    <definedName name="DownPhos">#REF!</definedName>
    <definedName name="DownStorage" localSheetId="6">#REF!</definedName>
    <definedName name="DownStorage">#REF!</definedName>
    <definedName name="DownStore1" localSheetId="6">[1]WS!$G$102</definedName>
    <definedName name="DownStore1">WS!#REF!</definedName>
    <definedName name="DownThermo" localSheetId="6">#REF!</definedName>
    <definedName name="DownThermo">#REF!</definedName>
    <definedName name="DownTurb" localSheetId="6">#REF!</definedName>
    <definedName name="DownTurb">#REF!</definedName>
    <definedName name="downwood0" localSheetId="6">[1]POL!$G$69</definedName>
    <definedName name="downwood0">POL!$G$40</definedName>
    <definedName name="DownWQdis2">SR!#REF!</definedName>
    <definedName name="Drawdown3" localSheetId="6">[1]PR!$G$14</definedName>
    <definedName name="Drawdown3">PR!#REF!</definedName>
    <definedName name="Drier" localSheetId="6">[1]STR!$G$3</definedName>
    <definedName name="Drier">STR!#REF!</definedName>
    <definedName name="drier1">WS!#REF!</definedName>
    <definedName name="drier1a">WS!#REF!</definedName>
    <definedName name="Drier3" localSheetId="6">[1]PR!$G$105</definedName>
    <definedName name="Drier3">PR!#REF!</definedName>
    <definedName name="Drier4" localSheetId="6">[1]NR!$G$103</definedName>
    <definedName name="Drier4">NR!#REF!</definedName>
    <definedName name="Drier5" localSheetId="6">[1]CS!$G$135</definedName>
    <definedName name="Drier5">CS!#REF!</definedName>
    <definedName name="DrierEx">STR!#REF!</definedName>
    <definedName name="Drink4" localSheetId="6">[1]NR!$G$136</definedName>
    <definedName name="Drink4">NR!#REF!</definedName>
    <definedName name="DryIntercept">SR!$G$148</definedName>
    <definedName name="DuckFood12" localSheetId="6">[1]WBF!$G$84</definedName>
    <definedName name="DuckFood12">WBF!#REF!</definedName>
    <definedName name="DuckFood13" localSheetId="6">[1]WBN!$G$93</definedName>
    <definedName name="DuckFood13">WBN!#REF!</definedName>
    <definedName name="DuckHunt">WBF!$G$163</definedName>
    <definedName name="DWsource3">PR!#REF!</definedName>
    <definedName name="Elev">SR!#REF!</definedName>
    <definedName name="Elev_S">Sen!$G$49</definedName>
    <definedName name="Elev1">WS!#REF!</definedName>
    <definedName name="Elev10">FR!#REF!</definedName>
    <definedName name="Elev11">AM!#REF!</definedName>
    <definedName name="Elev12">WBF!#REF!</definedName>
    <definedName name="Elev13">WBN!#REF!</definedName>
    <definedName name="Elev14">SBM!#REF!</definedName>
    <definedName name="Elev2">SR!#REF!</definedName>
    <definedName name="Elev2_">SFS!#REF!</definedName>
    <definedName name="Elev2a">SR!#REF!</definedName>
    <definedName name="Elev3">PR!#REF!</definedName>
    <definedName name="Elev4">NR!$G$7</definedName>
    <definedName name="Elev4v">NR!#REF!</definedName>
    <definedName name="Elev5">CS!#REF!</definedName>
    <definedName name="Elev6">OE!#REF!</definedName>
    <definedName name="Elev7">WC!#REF!</definedName>
    <definedName name="Elev7w">#REF!</definedName>
    <definedName name="Elev9">FA!$G$9</definedName>
    <definedName name="Elevatn2">SFS!#REF!</definedName>
    <definedName name="ElevPD">PH!#REF!</definedName>
    <definedName name="ElevPU">PU!#REF!</definedName>
    <definedName name="ElevS">#REF!</definedName>
    <definedName name="EmPct12" localSheetId="6">[1]WBF!$G$78</definedName>
    <definedName name="EmPct12">WBF!$G$60</definedName>
    <definedName name="EmPct13" localSheetId="6">[1]WBN!$G$74</definedName>
    <definedName name="EmPct13">WBN!$G$63</definedName>
    <definedName name="EmPct8" localSheetId="6">[1]INV!$G$88</definedName>
    <definedName name="EmPct8">INV!#REF!</definedName>
    <definedName name="EmRobust13">WBN!$G$132</definedName>
    <definedName name="EmSens1_C" localSheetId="6">[1]CQ!$G$37</definedName>
    <definedName name="EmSens1_C">EC!$G$22</definedName>
    <definedName name="EmSens1_S" localSheetId="6">[1]Sen!$G$62</definedName>
    <definedName name="EmSens1_S">Sen!$G$109</definedName>
    <definedName name="EmSens2_C" localSheetId="6">[1]CQ!$G$46</definedName>
    <definedName name="EmSens2_C">EC!#REF!</definedName>
    <definedName name="EmSens2_S" localSheetId="6">[1]Sen!#REF!</definedName>
    <definedName name="EmSens2_S">Sen!#REF!</definedName>
    <definedName name="Enrich">STR!$G$77</definedName>
    <definedName name="Entrain">SR!$G$147</definedName>
    <definedName name="Erodib_S" localSheetId="6">[1]Sen!$G$157</definedName>
    <definedName name="Erodib_S">Sen!#REF!</definedName>
    <definedName name="Erodible2">SR!$G$144</definedName>
    <definedName name="ErodibleSS" localSheetId="6">[1]SR!$G$116</definedName>
    <definedName name="ErodibleSS">SR!$G$144</definedName>
    <definedName name="Eroding_C" localSheetId="6">[1]CQ!#REF!</definedName>
    <definedName name="Eroding_C">EC!#REF!</definedName>
    <definedName name="Eroding2" localSheetId="6">#REF!</definedName>
    <definedName name="Eroding2">#REF!</definedName>
    <definedName name="ErodScore3" localSheetId="6">[1]PR!$G$128</definedName>
    <definedName name="ErodScore3">PR!#REF!</definedName>
    <definedName name="EstuPos1">WS!#REF!</definedName>
    <definedName name="EstuPos1low" localSheetId="6">[1]WS!$D$5</definedName>
    <definedName name="EstuPos1low">WS!#REF!</definedName>
    <definedName name="EstuPos1mid" localSheetId="6">[1]WS!$D$6</definedName>
    <definedName name="EstuPos1mid">WS!#REF!</definedName>
    <definedName name="EstuPos1up">WS!#REF!</definedName>
    <definedName name="EstuPos3" localSheetId="6">[1]PR!$G$10</definedName>
    <definedName name="EstuPos3">PR!#REF!</definedName>
    <definedName name="EstuPos5">CS!#REF!</definedName>
    <definedName name="EstuPos9" localSheetId="6">[1]FA!#REF!</definedName>
    <definedName name="EstuPos9">FA!#REF!</definedName>
    <definedName name="EstuPosLo9" localSheetId="6">[1]FA!#REF!</definedName>
    <definedName name="EstuPosLo9">FA!#REF!</definedName>
    <definedName name="EstuPosMid9" localSheetId="6">[1]FA!#REF!</definedName>
    <definedName name="EstuPosMid9">FA!#REF!</definedName>
    <definedName name="EstuPosPD" localSheetId="6">[1]PD!$G$21</definedName>
    <definedName name="EstuPosPD">PH!#REF!</definedName>
    <definedName name="EstuPosUp9" localSheetId="6">[1]FA!#REF!</definedName>
    <definedName name="EstuPosUp9">FA!#REF!</definedName>
    <definedName name="exoticmivs8" localSheetId="6">[1]INV!$G$75</definedName>
    <definedName name="exoticmivs8">INV!#REF!</definedName>
    <definedName name="Exotics" localSheetId="6">[1]CQ!$G$13</definedName>
    <definedName name="Exotics">EC!#REF!</definedName>
    <definedName name="ExportPot6">OE!$G$115</definedName>
    <definedName name="Fdamage">WS!$G$78</definedName>
    <definedName name="Fen_">F!$D$7</definedName>
    <definedName name="Fen2_">SFS!$D$10</definedName>
    <definedName name="Fen7a">WC!#REF!</definedName>
    <definedName name="Fen7w">#REF!</definedName>
    <definedName name="Fertility">Sen!$G$185</definedName>
    <definedName name="FHA4a" localSheetId="6">[1]FA!#REF!</definedName>
    <definedName name="FHA4a">FA!#REF!</definedName>
    <definedName name="Fire4" localSheetId="6">[1]NR!$G$69</definedName>
    <definedName name="Fire4">NR!#REF!</definedName>
    <definedName name="firehay0" localSheetId="6">[1]POL!$G$55</definedName>
    <definedName name="firehay0">POL!#REF!</definedName>
    <definedName name="FireHay12" localSheetId="6">[1]WBF!$G$90</definedName>
    <definedName name="FireHay12">WBF!#REF!</definedName>
    <definedName name="FireHay13" localSheetId="6">[1]WBN!$G$99</definedName>
    <definedName name="FireHay13">WBN!#REF!</definedName>
    <definedName name="FireHay3" localSheetId="6">[1]PR!$G$75</definedName>
    <definedName name="FireHay3">PR!#REF!</definedName>
    <definedName name="FireHay5" localSheetId="6">[1]CS!$G$101</definedName>
    <definedName name="FireHay5">CS!#REF!</definedName>
    <definedName name="FireHay6" localSheetId="6">[1]OE!$G$85</definedName>
    <definedName name="FireHay6">OE!#REF!</definedName>
    <definedName name="FireHayPD" localSheetId="6">[1]PD!$G$86</definedName>
    <definedName name="FireHayPD">PH!#REF!</definedName>
    <definedName name="Fish10">FR!#REF!</definedName>
    <definedName name="Fish11">AM!#REF!</definedName>
    <definedName name="Fish12a">WBF!$G$38</definedName>
    <definedName name="Fish13">WBN!#REF!</definedName>
    <definedName name="fISH13A">WBN!$G$37</definedName>
    <definedName name="Fish8">INV!#REF!</definedName>
    <definedName name="FishAcc11">AM!$G$54</definedName>
    <definedName name="FishAcc12" localSheetId="6">[1]WBF!$G$101</definedName>
    <definedName name="FishAcc12">WBF!#REF!</definedName>
    <definedName name="FishAccessS">#REF!</definedName>
    <definedName name="Fishing" localSheetId="6">[1]FR!$D$111</definedName>
    <definedName name="Fishing">FR!$D$125</definedName>
    <definedName name="Fishing10">FR!$G$125</definedName>
    <definedName name="Fishing9">FA!$D$141</definedName>
    <definedName name="FloDist1">WS!$G$12</definedName>
    <definedName name="FloDist4">NR!$G$17</definedName>
    <definedName name="FloDist6">OE!$G$3</definedName>
    <definedName name="Floodable" localSheetId="6">#REF!</definedName>
    <definedName name="Floodable">#REF!</definedName>
    <definedName name="FloodBdg1" localSheetId="6">[1]WS!$G$96</definedName>
    <definedName name="FloodBdg1">WS!$G$74</definedName>
    <definedName name="Flow8">INV!#REF!</definedName>
    <definedName name="FlowDist2">SR!$G$8</definedName>
    <definedName name="FlowDist3">PR!$G$8</definedName>
    <definedName name="FlowIn2">SR!#REF!</definedName>
    <definedName name="FlowThruFringe">F!#REF!</definedName>
    <definedName name="Fluc2">SR!$G$31</definedName>
    <definedName name="FlucMax1" localSheetId="6">[1]WS!#REF!</definedName>
    <definedName name="FlucMax1">WS!#REF!</definedName>
    <definedName name="FlucMax11" localSheetId="6">[1]AM!#REF!</definedName>
    <definedName name="FlucMax11">AM!#REF!</definedName>
    <definedName name="FlucMax13" localSheetId="6">[1]WBN!#REF!</definedName>
    <definedName name="FlucMax13">WBN!#REF!</definedName>
    <definedName name="FlucMax2" localSheetId="6">[1]SR!#REF!</definedName>
    <definedName name="FlucMax2">SR!#REF!</definedName>
    <definedName name="FlucMax3" localSheetId="6">[1]PR!#REF!</definedName>
    <definedName name="FlucMax3">PR!#REF!</definedName>
    <definedName name="FlucMax4" localSheetId="6">[1]NR!#REF!</definedName>
    <definedName name="FlucMax4">NR!#REF!</definedName>
    <definedName name="FlucMax5" localSheetId="6">[1]CS!#REF!</definedName>
    <definedName name="FlucMax5">CS!#REF!</definedName>
    <definedName name="FlucMax6" localSheetId="6">[1]OE!#REF!</definedName>
    <definedName name="FlucMax6">OE!#REF!</definedName>
    <definedName name="FlucMost2" localSheetId="6">[1]SR!#REF!</definedName>
    <definedName name="FlucMost2">SR!#REF!</definedName>
    <definedName name="FlucPD">PH!$G$110</definedName>
    <definedName name="Fluctu11" localSheetId="6">[1]AM!$G$37</definedName>
    <definedName name="Fluctu11">AM!$G$123</definedName>
    <definedName name="Fluctu13" localSheetId="6">[1]WBN!$G$30</definedName>
    <definedName name="Fluctu13">WBN!$G$90</definedName>
    <definedName name="Fluctu3" localSheetId="6">[1]PR!$G$41</definedName>
    <definedName name="Fluctu3">PR!$G$45</definedName>
    <definedName name="Fluctu4" localSheetId="6">[1]NR!$G$37</definedName>
    <definedName name="Fluctu4">NR!$G$78</definedName>
    <definedName name="Fluctu5" localSheetId="6">[1]CS!$G$41</definedName>
    <definedName name="Fluctu5">CS!$G$50</definedName>
    <definedName name="Fluctu6" localSheetId="6">[1]OE!$G$42</definedName>
    <definedName name="Fluctu6">OE!$G$41</definedName>
    <definedName name="Fluctu8" localSheetId="6">[1]INV!$G$47</definedName>
    <definedName name="Fluctu8">INV!$G$75</definedName>
    <definedName name="Fluctua1" localSheetId="6">[1]WS!$G$42</definedName>
    <definedName name="Fluctua1">WS!$G$36</definedName>
    <definedName name="FocalSp14">SBM!#REF!</definedName>
    <definedName name="Food8">INV!$G$150</definedName>
    <definedName name="Forbs0">POL!$G$52</definedName>
    <definedName name="ForestPctScape11" localSheetId="6">[1]AM!$G$135</definedName>
    <definedName name="ForestPctScape11">AM!#REF!</definedName>
    <definedName name="ForestPctScape14" localSheetId="6">[1]SBM!$G$116</definedName>
    <definedName name="ForestPctScape14">SBM!#REF!</definedName>
    <definedName name="ForestProx11" localSheetId="6">[1]AM!$G$141</definedName>
    <definedName name="ForestProx11">AM!#REF!</definedName>
    <definedName name="ForestProx14" localSheetId="6">[1]SBM!$G$122</definedName>
    <definedName name="ForestProx14">SBM!#REF!</definedName>
    <definedName name="ForestSize11" localSheetId="6">[1]AM!$G$146</definedName>
    <definedName name="ForestSize11">AM!#REF!</definedName>
    <definedName name="ForestSize14" localSheetId="6">[1]SBM!$G$127</definedName>
    <definedName name="ForestSize14">SBM!#REF!</definedName>
    <definedName name="FragStress">STR!$G$83</definedName>
    <definedName name="Freeze_S" localSheetId="6">[1]Sen!$G$115</definedName>
    <definedName name="Freeze_S">Sen!#REF!</definedName>
    <definedName name="Freeze1" localSheetId="6">[1]WS!$G$62</definedName>
    <definedName name="Freeze1">WS!#REF!</definedName>
    <definedName name="Freeze10">FR!#REF!</definedName>
    <definedName name="Freeze12" localSheetId="6">[1]WBF!$D$71</definedName>
    <definedName name="Freeze12">WBF!#REF!</definedName>
    <definedName name="Freeze2" localSheetId="6">[1]SR!#REF!</definedName>
    <definedName name="Freeze2">SR!#REF!</definedName>
    <definedName name="Freeze3" localSheetId="6">[1]PR!$G$73</definedName>
    <definedName name="Freeze3">PR!#REF!</definedName>
    <definedName name="Freeze4" localSheetId="6">[1]NR!$G$101</definedName>
    <definedName name="Freeze4">NR!#REF!</definedName>
    <definedName name="Freeze5" localSheetId="6">[1]CS!$G$81</definedName>
    <definedName name="Freeze5">CS!#REF!</definedName>
    <definedName name="Freeze6" localSheetId="6">[1]OE!$G$78</definedName>
    <definedName name="Freeze6">OE!#REF!</definedName>
    <definedName name="Freeze9" localSheetId="6">[1]FA!#REF!</definedName>
    <definedName name="Freeze9">FA!#REF!</definedName>
    <definedName name="FreezeDur5">CS!#REF!</definedName>
    <definedName name="FreezeDura3">PR!$G$149</definedName>
    <definedName name="FreezeProne" localSheetId="6">#REF!</definedName>
    <definedName name="FreezeProne">#REF!</definedName>
    <definedName name="Freezing">WS!#REF!</definedName>
    <definedName name="Fresh11" localSheetId="6">[1]AM!#REF!</definedName>
    <definedName name="Fresh11">AM!#REF!</definedName>
    <definedName name="Friction">WS!$G$91</definedName>
    <definedName name="Fringe1" localSheetId="6">[1]WS!$G$3</definedName>
    <definedName name="Fringe1">WS!#REF!</definedName>
    <definedName name="Fringe10" localSheetId="6">[1]FR!$D$3</definedName>
    <definedName name="Fringe10">FR!#REF!</definedName>
    <definedName name="Fringe12" localSheetId="6">[1]WBF!$D$3</definedName>
    <definedName name="Fringe12">WBF!$D$66</definedName>
    <definedName name="Fringe12a">WBF!$G$66</definedName>
    <definedName name="Fringe13">WBN!$G$69</definedName>
    <definedName name="Fringe14">SBM!#REF!</definedName>
    <definedName name="Fringe14a">SBM!#REF!</definedName>
    <definedName name="Fringe2" localSheetId="6">[1]SR!#REF!</definedName>
    <definedName name="Fringe2">SR!#REF!</definedName>
    <definedName name="Fringe7a">WC!$D$54</definedName>
    <definedName name="Fringe7b">WC!$G$54</definedName>
    <definedName name="Fringe9">FA!#REF!</definedName>
    <definedName name="FrozDur4">NR!$G$215</definedName>
    <definedName name="FrozDur6">OE!$G$112</definedName>
    <definedName name="Frozen2">SR!#REF!</definedName>
    <definedName name="FscoreSRM">SBM!$G$182</definedName>
    <definedName name="FscoreWBF">WBF!$G$171</definedName>
    <definedName name="FscoreWBN">WBN!$G$197</definedName>
    <definedName name="Gcover_S" localSheetId="6">[1]Sen!$G$105</definedName>
    <definedName name="Gcover_S">Sen!$G$95</definedName>
    <definedName name="gcover0" localSheetId="6">[1]POL!$G$64</definedName>
    <definedName name="gcover0">POL!$G$43</definedName>
    <definedName name="Gcover11" localSheetId="6">[1]AM!$G$93</definedName>
    <definedName name="Gcover11">AM!$G$91</definedName>
    <definedName name="Gcover14" localSheetId="6">[1]SBM!$G$57</definedName>
    <definedName name="Gcover14">SBM!$G$98</definedName>
    <definedName name="Gcover2" localSheetId="6">[1]SR!$G$56</definedName>
    <definedName name="Gcover2">SR!$G$16</definedName>
    <definedName name="Gcover3" localSheetId="6">[1]PR!$G$81</definedName>
    <definedName name="Gcover3">PR!$G$16</definedName>
    <definedName name="Gcover4" localSheetId="6">[1]NR!$G$75</definedName>
    <definedName name="Gcover4">NR!$G$40</definedName>
    <definedName name="Gcover5" localSheetId="6">[1]CS!$G$107</definedName>
    <definedName name="Gcover5">CS!#REF!</definedName>
    <definedName name="Gcover6" localSheetId="6">[1]OE!$G$91</definedName>
    <definedName name="Gcover6">OE!$G$24</definedName>
    <definedName name="Gcover8" localSheetId="6">[1]INV!$G$103</definedName>
    <definedName name="Gcover8">INV!$G$44</definedName>
    <definedName name="GDD_S">Sen!$G$55</definedName>
    <definedName name="GDD2_">SFS!#REF!</definedName>
    <definedName name="GDDays1">[2]WS!$G$9</definedName>
    <definedName name="GDDays11">[2]AM!$G$62</definedName>
    <definedName name="GDDays2">[2]SR!$G$9</definedName>
    <definedName name="GDDays3">[2]PR!$G$9</definedName>
    <definedName name="GDDpd">PH!$G$53</definedName>
    <definedName name="Geog11">AM!#REF!</definedName>
    <definedName name="GeogPD">PH!#REF!</definedName>
    <definedName name="Geograph14">SBM!#REF!</definedName>
    <definedName name="Geography12">WBF!#REF!</definedName>
    <definedName name="Geography14">SBM!#REF!</definedName>
    <definedName name="GeogS">Sen!#REF!</definedName>
    <definedName name="girreg0" localSheetId="6">[1]POL!$G$72</definedName>
    <definedName name="girreg0">POL!$G$48</definedName>
    <definedName name="Girreg1" localSheetId="6">[1]WS!$G$63</definedName>
    <definedName name="Girreg1">WS!$G$20</definedName>
    <definedName name="Girreg11" localSheetId="6">[1]AM!$G$104</definedName>
    <definedName name="Girreg11">AM!$G$96</definedName>
    <definedName name="Girreg14" localSheetId="6">[1]SBM!$G$72</definedName>
    <definedName name="Girreg14">SBM!$G$103</definedName>
    <definedName name="Girreg2" localSheetId="6">[1]SR!$G$61</definedName>
    <definedName name="Girreg2">SR!$G$21</definedName>
    <definedName name="Girreg3" localSheetId="6">[1]PR!$G$91</definedName>
    <definedName name="Girreg3">PR!$G$21</definedName>
    <definedName name="Girreg4" localSheetId="6">[1]NR!$G$92</definedName>
    <definedName name="Girreg4">NR!$G$45</definedName>
    <definedName name="Girreg5" localSheetId="6">[1]CS!$G$117</definedName>
    <definedName name="Girreg5">CS!#REF!</definedName>
    <definedName name="Girreg6" localSheetId="6">[1]OE!$G$101</definedName>
    <definedName name="Girreg6">OE!#REF!</definedName>
    <definedName name="Girreg8" localSheetId="6">[1]INV!$G$111</definedName>
    <definedName name="Girreg8">INV!$G$49</definedName>
    <definedName name="GirregCQ">EC!$G$15</definedName>
    <definedName name="GirregPD" localSheetId="6">[1]PD!$G$100</definedName>
    <definedName name="GirregPD">PH!$G$73</definedName>
    <definedName name="Glacier1">WS!#REF!</definedName>
    <definedName name="Glacier10">FR!#REF!</definedName>
    <definedName name="Glacier11">AM!#REF!</definedName>
    <definedName name="Glacier2">SR!#REF!</definedName>
    <definedName name="glacier2_">SFS!#REF!</definedName>
    <definedName name="Glacier3">PR!#REF!</definedName>
    <definedName name="Glacier5">CS!#REF!</definedName>
    <definedName name="Glacier6">OE!#REF!</definedName>
    <definedName name="Glacier7">WC!#REF!</definedName>
    <definedName name="Glacier7w">#REF!</definedName>
    <definedName name="Glacier8">INV!#REF!</definedName>
    <definedName name="Glacier9">FA!#REF!</definedName>
    <definedName name="GlacierPD">PH!#REF!</definedName>
    <definedName name="Glean20">PH!#REF!</definedName>
    <definedName name="GpA_2">SFS!$G$42</definedName>
    <definedName name="GpA7c">WC!#REF!</definedName>
    <definedName name="GpA7w">#REF!</definedName>
    <definedName name="GpB_2">SFS!$G$43</definedName>
    <definedName name="GpB7c">WC!#REF!</definedName>
    <definedName name="GpB7w">#REF!</definedName>
    <definedName name="GpC_2">SFS!$G$44</definedName>
    <definedName name="Gradient1" localSheetId="6">[1]WS!$G$67</definedName>
    <definedName name="Gradient1">WS!$G$68</definedName>
    <definedName name="Gradient11" localSheetId="6">[1]AM!$G$108</definedName>
    <definedName name="Gradient11">AM!#REF!</definedName>
    <definedName name="Gradient12" localSheetId="6">[1]WBF!$G$96</definedName>
    <definedName name="Gradient12">WBF!$G$123</definedName>
    <definedName name="Gradient13" localSheetId="6">[1]WBN!$G$108</definedName>
    <definedName name="Gradient13">WBN!$G$150</definedName>
    <definedName name="Gradient2" localSheetId="6">[1]SR!$G$65</definedName>
    <definedName name="Gradient2">SR!$G$89</definedName>
    <definedName name="Gradient3" localSheetId="6">[1]PR!$G$95</definedName>
    <definedName name="Gradient3">PR!$G$96</definedName>
    <definedName name="Gradient4" localSheetId="6">[1]NR!$G$96</definedName>
    <definedName name="Gradient4">NR!$G$132</definedName>
    <definedName name="Gradient5" localSheetId="6">[1]CS!$G$121</definedName>
    <definedName name="Gradient5">CS!$G$96</definedName>
    <definedName name="Gradient6" localSheetId="6">[1]OE!$G$105</definedName>
    <definedName name="Gradient6">OE!$G$97</definedName>
    <definedName name="gramin0" localSheetId="6">[1]POL!$G$18</definedName>
    <definedName name="gramin0">POL!$G$52</definedName>
    <definedName name="Granite10">FR!#REF!</definedName>
    <definedName name="Granite4">NR!#REF!</definedName>
    <definedName name="Granite5">CS!#REF!</definedName>
    <definedName name="Granite6">OE!#REF!</definedName>
    <definedName name="Granite7">INV!#REF!</definedName>
    <definedName name="GranitePD">PH!#REF!</definedName>
    <definedName name="GraniteSoilPD">PH!#REF!</definedName>
    <definedName name="groundw0" localSheetId="6">[1]POL!#REF!</definedName>
    <definedName name="groundw0">POL!#REF!</definedName>
    <definedName name="Groundw1">WS!$G$64</definedName>
    <definedName name="Groundw10">FR!$G$92</definedName>
    <definedName name="GroundW11" localSheetId="6">[1]AM!$G$49</definedName>
    <definedName name="GroundW11">AM!$G$161</definedName>
    <definedName name="Groundw13" localSheetId="6">[1]WBN!#REF!</definedName>
    <definedName name="Groundw13">WBN!#REF!</definedName>
    <definedName name="Groundw2_">SFS!$G$32</definedName>
    <definedName name="Groundw3">PR!$G$132</definedName>
    <definedName name="Groundw4" localSheetId="6">[1]NR!$G$44</definedName>
    <definedName name="Groundw4">NR!$G$128</definedName>
    <definedName name="GroundW5" localSheetId="6">[1]CS!$G$53</definedName>
    <definedName name="GroundW5">CS!$G$92</definedName>
    <definedName name="Groundw6">OE!$G$93</definedName>
    <definedName name="GroundW8" localSheetId="6">[1]INV!$G$64</definedName>
    <definedName name="Groundw8">INV!$G$123</definedName>
    <definedName name="GroundW9" localSheetId="6">[1]FA!$G$45</definedName>
    <definedName name="GroundW9">FA!$G$104</definedName>
    <definedName name="GroundwCooling">WC!#REF!</definedName>
    <definedName name="GroundwDisch">SFS!$G$44</definedName>
    <definedName name="GroundwLF">SFS!$G$44</definedName>
    <definedName name="GroundwWarming">#REF!</definedName>
    <definedName name="GrowD">OF!$D$133</definedName>
    <definedName name="GrowthRate">Sen!$G$187</definedName>
    <definedName name="Gwater7" localSheetId="6">[1]T!$G$19</definedName>
    <definedName name="Gwater7">WC!$G$39</definedName>
    <definedName name="Gwater7w">#REF!</definedName>
    <definedName name="GWpd">PH!$G$147</definedName>
    <definedName name="GWrisk4" localSheetId="6">[1]NR!$G$139</definedName>
    <definedName name="GWrisk4">NR!#REF!</definedName>
    <definedName name="GWsens">NR!$G$159</definedName>
    <definedName name="GWval7" localSheetId="6">[1]T!#REF!</definedName>
    <definedName name="GWval7">WC!#REF!</definedName>
    <definedName name="Hardwd14">SBM!#REF!</definedName>
    <definedName name="HardwdPD">PH!#REF!</definedName>
    <definedName name="Hardwood8">INV!#REF!</definedName>
    <definedName name="Harvested" localSheetId="6">#REF!</definedName>
    <definedName name="Harvested">#REF!</definedName>
    <definedName name="HasWater5">CS!#REF!</definedName>
    <definedName name="herb1pd" localSheetId="6">[1]PD!$G$60</definedName>
    <definedName name="herb2pd" localSheetId="6">[1]PD!$G$69</definedName>
    <definedName name="herb2pd">PH!#REF!</definedName>
    <definedName name="herbdiv0">POL!$G$58</definedName>
    <definedName name="HerbDiv8">INV!$G$53</definedName>
    <definedName name="HerbDom1">EC!$G$19</definedName>
    <definedName name="herbdom15">PH!$G$83</definedName>
    <definedName name="HerbDom2" localSheetId="6">[1]Sen!$G$68</definedName>
    <definedName name="HerbDom2">Sen!$G$106</definedName>
    <definedName name="herblt50">POL!#REF!</definedName>
    <definedName name="herbpct0">POL!#REF!</definedName>
    <definedName name="herbrare0" localSheetId="6">[1]POL!$G$31</definedName>
    <definedName name="herbrare0">POL!#REF!</definedName>
    <definedName name="herbsens0" localSheetId="6">[1]POL!$G$22</definedName>
    <definedName name="herbsens0">POL!$G$61</definedName>
    <definedName name="HerbSens2_S" localSheetId="6">[1]Sen!$G$71</definedName>
    <definedName name="HerbSens2_S">Sen!#REF!</definedName>
    <definedName name="HerbUbiq1">EC!#REF!</definedName>
    <definedName name="HerbUniq">AM!$G$189</definedName>
    <definedName name="HerbUniq0">POL!$G$85</definedName>
    <definedName name="HerbUniq12">WBF!$G$142</definedName>
    <definedName name="HerbUniq13">WBN!$G$178</definedName>
    <definedName name="HerbUniq14">SBM!$G$162</definedName>
    <definedName name="HerbUniq20">PH!$G$184</definedName>
    <definedName name="HistAccum5">CS!$G$115</definedName>
    <definedName name="HistAccum6">OE!$G$110</definedName>
    <definedName name="HistDry12" localSheetId="6">[1]WBF!$G$18</definedName>
    <definedName name="HistDry12">WBF!#REF!</definedName>
    <definedName name="HistDry13" localSheetId="6">[1]WBN!$G$10</definedName>
    <definedName name="HistDry13">WBN!#REF!</definedName>
    <definedName name="HistDry3">PR!#REF!</definedName>
    <definedName name="HistDry4" localSheetId="6">[1]NR!#REF!</definedName>
    <definedName name="HistDry4">NR!#REF!</definedName>
    <definedName name="HistDry5" localSheetId="6">[1]CS!$G$15</definedName>
    <definedName name="HistDry5">CS!#REF!</definedName>
    <definedName name="HistWet11" localSheetId="6">[1]AM!#REF!</definedName>
    <definedName name="HistWet11">AM!#REF!</definedName>
    <definedName name="HistWet12" localSheetId="6">[1]WBF!#REF!</definedName>
    <definedName name="HistWet12">WBF!#REF!</definedName>
    <definedName name="HistWet13" localSheetId="6">[1]WBN!#REF!</definedName>
    <definedName name="HistWet13">WBN!#REF!</definedName>
    <definedName name="HistWet3" localSheetId="6">[1]PR!#REF!</definedName>
    <definedName name="HistWet3">PR!#REF!</definedName>
    <definedName name="HistWet4" localSheetId="6">[1]NR!#REF!</definedName>
    <definedName name="HistWet4">NR!#REF!</definedName>
    <definedName name="HistWet5" localSheetId="6">[1]CS!#REF!</definedName>
    <definedName name="HistWet5">CS!#REF!</definedName>
    <definedName name="HotSpring7" localSheetId="6">[1]T!$D$4</definedName>
    <definedName name="HotSpring7">WC!#REF!</definedName>
    <definedName name="Hotspring9" localSheetId="6">[1]FA!$D$5</definedName>
    <definedName name="Hotspring9">FA!#REF!</definedName>
    <definedName name="HtDiv12" localSheetId="6">[1]WBF!#REF!</definedName>
    <definedName name="HtDiv12">WBF!#REF!</definedName>
    <definedName name="HtDiv13" localSheetId="6">[1]WBN!$G$105</definedName>
    <definedName name="HtDiv13">WBN!#REF!</definedName>
    <definedName name="HtDivPD" localSheetId="6">[1]PD!$G$92</definedName>
    <definedName name="HtDivPD">PH!#REF!</definedName>
    <definedName name="htunif0" localSheetId="6">[1]POL!$G$61</definedName>
    <definedName name="htunif0">POL!#REF!</definedName>
    <definedName name="HtUnif14">SBM!#REF!</definedName>
    <definedName name="HUCbigW12" localSheetId="6">[1]WBF!$G$164</definedName>
    <definedName name="HUCbigW12">WBF!#REF!</definedName>
    <definedName name="HUCbigW13" localSheetId="6">[1]WBN!$G$192</definedName>
    <definedName name="HUCbigW13">WBN!#REF!</definedName>
    <definedName name="HUCbigW14">SBM!#REF!</definedName>
    <definedName name="HUCdiv11" localSheetId="6">[1]AM!$G$214</definedName>
    <definedName name="HUCdiv11">AM!#REF!</definedName>
    <definedName name="HUCdiv12" localSheetId="6">[1]WBF!$G$152</definedName>
    <definedName name="HUCdiv12">WBF!#REF!</definedName>
    <definedName name="HUCdiv13">WBN!#REF!</definedName>
    <definedName name="HUCdiv14" localSheetId="6">[1]SBM!$G$180</definedName>
    <definedName name="HUCdiv14">SBM!#REF!</definedName>
    <definedName name="Hydro10">FR!$G$128</definedName>
    <definedName name="Hydro11">AM!$G$203</definedName>
    <definedName name="Hydro12">WBF!$G$165</definedName>
    <definedName name="Hydro13">WBN!$G$190</definedName>
    <definedName name="HydroConn_C" localSheetId="6">[1]CQ!$G$3</definedName>
    <definedName name="HydroConn_C">EC!#REF!</definedName>
    <definedName name="HydroConn2" localSheetId="6">#REF!</definedName>
    <definedName name="HydroConn2">#REF!</definedName>
    <definedName name="Hydropd8">INV!$G$148</definedName>
    <definedName name="Hydropd9">FA!$G$144</definedName>
    <definedName name="HydroStress">STR!$G$81</definedName>
    <definedName name="IBA">WBF!$D$158</definedName>
    <definedName name="IBA12a">WBF!$G$158</definedName>
    <definedName name="IBird12v">WBF!$G$158</definedName>
    <definedName name="Ice2_">SFS!#REF!</definedName>
    <definedName name="IceCov11">[2]AM!$G$142</definedName>
    <definedName name="IceCov12">[2]WBF!$G$118</definedName>
    <definedName name="IceDur2">SFS!#REF!</definedName>
    <definedName name="IceDura10">FR!#REF!</definedName>
    <definedName name="IFDRY2">SR!#REF!</definedName>
    <definedName name="IFNOOUT2">SR!#REF!</definedName>
    <definedName name="IFOUT2">SR!#REF!</definedName>
    <definedName name="imperv2_">SFS!#REF!</definedName>
    <definedName name="Imperv4" localSheetId="6">[1]NR!$G$116</definedName>
    <definedName name="Imperv4">NR!$G$175</definedName>
    <definedName name="Imperv7">WC!$G$45</definedName>
    <definedName name="Imperv7w">#REF!</definedName>
    <definedName name="ImpervCA">INV!$G$9</definedName>
    <definedName name="ImpervCA3" localSheetId="6">[1]PR!$G$116</definedName>
    <definedName name="ImpervCA3">PR!$G$118</definedName>
    <definedName name="ImpervCA9">FA!$G$15</definedName>
    <definedName name="ImpervPct" localSheetId="6">#REF!</definedName>
    <definedName name="ImpervPct">#REF!</definedName>
    <definedName name="ImpervPctSS" localSheetId="6">[1]SR!$G$90</definedName>
    <definedName name="ImpervPctSS">SR!$G$111</definedName>
    <definedName name="Inclus11" localSheetId="6">[1]AM!$B$98</definedName>
    <definedName name="Inclus11">AM!$B$100</definedName>
    <definedName name="Inclus11a">AM!$G$100</definedName>
    <definedName name="Inclus14" localSheetId="6">[1]SBM!$G$66</definedName>
    <definedName name="Inclus14">SBM!$G$107</definedName>
    <definedName name="Inclus4" localSheetId="6">[1]NR!$G$84</definedName>
    <definedName name="Inclus4">NR!$G$49</definedName>
    <definedName name="inflo">Sen!#REF!</definedName>
    <definedName name="Inflo2">SR!$G$132</definedName>
    <definedName name="Inflo3">PR!$D$126</definedName>
    <definedName name="Inflo4">NR!$D$189</definedName>
    <definedName name="InfloPD">PH!$D$133</definedName>
    <definedName name="Inflow" localSheetId="6">[1]STR!$G$10</definedName>
    <definedName name="Inflow">STR!#REF!</definedName>
    <definedName name="Inflow4a">NR!$G$189</definedName>
    <definedName name="InFlowPD">PH!$G$133</definedName>
    <definedName name="Inflows">F!$D$216</definedName>
    <definedName name="InflowW">#REF!</definedName>
    <definedName name="InOut">F!#REF!</definedName>
    <definedName name="InTemp7">#REF!</definedName>
    <definedName name="Interann10">FR!#REF!</definedName>
    <definedName name="Interann6" localSheetId="6">[1]OE!$G$16</definedName>
    <definedName name="Interann6">OE!#REF!</definedName>
    <definedName name="Interann8" localSheetId="6">[1]INV!$G$10</definedName>
    <definedName name="Interann8">INV!#REF!</definedName>
    <definedName name="interannPD" localSheetId="6">[1]PD!$G$28</definedName>
    <definedName name="interannPD">PH!#REF!</definedName>
    <definedName name="Interannual4" localSheetId="6">[1]NR!$G$4</definedName>
    <definedName name="Interannual4">NR!#REF!</definedName>
    <definedName name="Intercep4">NR!$G$216</definedName>
    <definedName name="IntercepDry3">PR!$G$150</definedName>
    <definedName name="IntercepWet3">PR!$G$151</definedName>
    <definedName name="Interspers10" localSheetId="6">[1]FR!$G$58</definedName>
    <definedName name="Interspers10">FR!$G$59</definedName>
    <definedName name="Interspers11" localSheetId="6">[1]AM!$G$48</definedName>
    <definedName name="Interspers11">AM!$G$149</definedName>
    <definedName name="Interspers12" localSheetId="6">[1]WBF!$G$54</definedName>
    <definedName name="Interspers12">WBF!$G$110</definedName>
    <definedName name="Interspers13" localSheetId="6">[1]WBN!$G$49</definedName>
    <definedName name="Interspers13">WBN!$G$137</definedName>
    <definedName name="Interspers14">SBM!$G$131</definedName>
    <definedName name="Interspers2" localSheetId="6">[1]SR!#REF!</definedName>
    <definedName name="Interspers2">SR!$G$69</definedName>
    <definedName name="Interspers3" localSheetId="6">[1]PR!#REF!</definedName>
    <definedName name="Interspers3">PR!$G$71</definedName>
    <definedName name="Interspers4" localSheetId="6">[1]NR!$G$43</definedName>
    <definedName name="Interspers4">NR!$G$104</definedName>
    <definedName name="Interspers5" localSheetId="6">[1]CS!#REF!</definedName>
    <definedName name="Interspers5">CS!#REF!</definedName>
    <definedName name="Interspers6" localSheetId="6">[1]OE!$G$54</definedName>
    <definedName name="Interspers6">OE!$G$73</definedName>
    <definedName name="Interspers8" localSheetId="6">[1]INV!$G$63</definedName>
    <definedName name="Interspers8">INV!$G$104</definedName>
    <definedName name="Interspers9" localSheetId="6">[1]FA!$G$44</definedName>
    <definedName name="Interspers9">FA!$G$76</definedName>
    <definedName name="InterspersPD">PH!$G$129</definedName>
    <definedName name="Invas15">PH!$G$86</definedName>
    <definedName name="InvasDom1">PH!$D$91</definedName>
    <definedName name="Invest">PU!$G$56</definedName>
    <definedName name="InvScore2_">SFS!$G$38</definedName>
    <definedName name="Island13">WBN!$G$141</definedName>
    <definedName name="Islands11" localSheetId="6">[1]AM!$G$70</definedName>
    <definedName name="Islands11">AM!#REF!</definedName>
    <definedName name="Islands12">WBF!#REF!</definedName>
    <definedName name="Islands13" localSheetId="6">[1]WBN!$G$69</definedName>
    <definedName name="Islands13">WBN!#REF!</definedName>
    <definedName name="Iso3Wet">PR!#REF!</definedName>
    <definedName name="IsoDry_S" localSheetId="6">[1]Sen!$G$5</definedName>
    <definedName name="IsoDry_S">Sen!$G$128</definedName>
    <definedName name="IsoDry1" localSheetId="6">[1]WS!$G$29</definedName>
    <definedName name="IsoDry1">WS!$G$42</definedName>
    <definedName name="ISOdry10" localSheetId="6">[1]FR!$G$37</definedName>
    <definedName name="ISOdry10">FR!#REF!</definedName>
    <definedName name="ISOdry11" localSheetId="6">[1]AM!$G$20</definedName>
    <definedName name="ISOdry11">AM!#REF!</definedName>
    <definedName name="IsoDry12" localSheetId="6">[1]WBF!#REF!</definedName>
    <definedName name="IsoDry12">WBF!#REF!</definedName>
    <definedName name="ISOdry13" localSheetId="6">[1]WBN!$G$23</definedName>
    <definedName name="ISOdry13">WBN!$G$106</definedName>
    <definedName name="IsoDry2" localSheetId="6">[1]SR!$G$17</definedName>
    <definedName name="IsoDry2">SR!#REF!</definedName>
    <definedName name="ISOdry3" localSheetId="6">[1]PR!$G$34</definedName>
    <definedName name="ISOdry3">PR!#REF!</definedName>
    <definedName name="ISOdry4" localSheetId="6">[1]NR!$G$24</definedName>
    <definedName name="ISOdry4">NR!#REF!</definedName>
    <definedName name="ISOdry6" localSheetId="6">[1]OE!$G$29</definedName>
    <definedName name="ISOdry6">OE!#REF!</definedName>
    <definedName name="ISOdry7" localSheetId="6">[1]T!$G$6</definedName>
    <definedName name="ISOdry7">WC!$G$26</definedName>
    <definedName name="ISOdry7w">#REF!</definedName>
    <definedName name="IsoDry8" localSheetId="6">[1]INV!$G$30</definedName>
    <definedName name="IsoDry8">INV!#REF!</definedName>
    <definedName name="IsoWet1" localSheetId="6">[1]WS!$G$15</definedName>
    <definedName name="IsoWet1">WS!#REF!</definedName>
    <definedName name="ISOwet10" localSheetId="6">[1]FR!$G$23</definedName>
    <definedName name="ISOwet10">FR!#REF!</definedName>
    <definedName name="ISOwet11" localSheetId="6">[1]AM!$G$6</definedName>
    <definedName name="ISOwet11">AM!$G$129</definedName>
    <definedName name="ISOwet12" localSheetId="6">[1]WBF!$G$37</definedName>
    <definedName name="ISOwet12">WBF!$G$97</definedName>
    <definedName name="ISOwet13" localSheetId="6">[1]WBN!#REF!</definedName>
    <definedName name="ISOwet13">WBN!#REF!</definedName>
    <definedName name="IsoWet2">SR!$G$43</definedName>
    <definedName name="IsoWet2a">SR!$G$43</definedName>
    <definedName name="IsoWet2s">SR!$G$43</definedName>
    <definedName name="IsoWet3p">PR!#REF!</definedName>
    <definedName name="ISOwet4" localSheetId="6">[1]NR!$G$10</definedName>
    <definedName name="ISOwet4">NR!#REF!</definedName>
    <definedName name="ISOwet5" localSheetId="6">[1]CS!$G$21</definedName>
    <definedName name="ISOwet5">CS!$G$62</definedName>
    <definedName name="ISOwet6" localSheetId="6">[1]OE!$G$22</definedName>
    <definedName name="ISOwet6">OE!#REF!</definedName>
    <definedName name="IsoWet8" localSheetId="6">[1]INV!$G$16</definedName>
    <definedName name="IsoWet8">INV!$G$91</definedName>
    <definedName name="ISOwet9" localSheetId="6">[1]FA!$G$21</definedName>
    <definedName name="ISOwet9">FA!#REF!</definedName>
    <definedName name="Karst10">FR!#REF!</definedName>
    <definedName name="Karst10a">FR!$G$14</definedName>
    <definedName name="Karst11">AM!$G$59</definedName>
    <definedName name="Karst16">PH!$D$54</definedName>
    <definedName name="Karst16a">PH!$G$54</definedName>
    <definedName name="Karst5a">CS!#REF!</definedName>
    <definedName name="Karst6">OE!#REF!</definedName>
    <definedName name="Karst6a">OE!#REF!</definedName>
    <definedName name="Karst7a">INV!#REF!</definedName>
    <definedName name="karst8">INV!$G$14</definedName>
    <definedName name="Karst9">FA!$G$24</definedName>
    <definedName name="Karst9a">FA!$G$24</definedName>
    <definedName name="Karstt5">CS!#REF!</definedName>
    <definedName name="Lacus" localSheetId="6">#REF!</definedName>
    <definedName name="Lacus">#REF!</definedName>
    <definedName name="Lacus13a">WBN!$G$70</definedName>
    <definedName name="Lacus7" localSheetId="6">[1]T!$D$3</definedName>
    <definedName name="Lacus7">WC!$D$54</definedName>
    <definedName name="Lacus9">FA!#REF!</definedName>
    <definedName name="Lacust10" localSheetId="6">[1]FR!#REF!</definedName>
    <definedName name="Lacust10">FR!#REF!</definedName>
    <definedName name="Lacust13" localSheetId="6">[1]WBN!$D$3</definedName>
    <definedName name="Lacust13">WBN!$D$70</definedName>
    <definedName name="Lake" localSheetId="6">#REF!</definedName>
    <definedName name="Lake">#REF!</definedName>
    <definedName name="Lake10">FR!$D$28</definedName>
    <definedName name="Lake10a">FR!$G$28</definedName>
    <definedName name="Lake12">WBF!$D$67</definedName>
    <definedName name="Lake12a">WBF!$G$67</definedName>
    <definedName name="Lake3">PR!$D$31</definedName>
    <definedName name="Lake3a">PR!$G$31</definedName>
    <definedName name="Lake9">FA!#REF!</definedName>
    <definedName name="LakeNear13" localSheetId="6">[1]WBN!$D$163</definedName>
    <definedName name="LakeNear13">WBN!$D$26</definedName>
    <definedName name="LakeProx_S" localSheetId="6">[1]Sen!$G$153</definedName>
    <definedName name="LakeProx_S">Sen!$G$38</definedName>
    <definedName name="LakeProx13" localSheetId="6">[1]WBN!$G$162</definedName>
    <definedName name="LakeProx13">WBN!$G$25</definedName>
    <definedName name="LakePU">PU!$G$31</definedName>
    <definedName name="LiveStore">WS!$G$90</definedName>
    <definedName name="LiveStore2">SR!$G$146</definedName>
    <definedName name="lomarsh0" localSheetId="6">[1]POL!$G$3</definedName>
    <definedName name="lomarsh0">POL!#REF!</definedName>
    <definedName name="LoMarsh2" localSheetId="6">[1]SR!$G$117</definedName>
    <definedName name="LoMarsh2">SR!#REF!</definedName>
    <definedName name="LoMarsh6" localSheetId="6">[1]OE!$G$10</definedName>
    <definedName name="LoMarsh6">OE!#REF!</definedName>
    <definedName name="LoMarsh8" localSheetId="6">[1]INV!$G$4</definedName>
    <definedName name="LoMarsh8">INV!#REF!</definedName>
    <definedName name="LowerShed">OF!#REF!</definedName>
    <definedName name="LowMarsh1" localSheetId="6">[1]WS!$G$8</definedName>
    <definedName name="LowMarsh1">WS!#REF!</definedName>
    <definedName name="LowMarsh10">FR!#REF!</definedName>
    <definedName name="LowMarsh12" localSheetId="6">[1]WBF!$G$6</definedName>
    <definedName name="LowMarsh12">WBF!#REF!</definedName>
    <definedName name="LowMarsh1all" localSheetId="6">[1]WS!$D$9</definedName>
    <definedName name="LowMarsh1all">WS!#REF!</definedName>
    <definedName name="LowMarsh1gt50" localSheetId="6">[1]WS!$D$10</definedName>
    <definedName name="LowMarsh1gt50">WS!#REF!</definedName>
    <definedName name="LowMarsh9" localSheetId="6">[1]FA!$G$8</definedName>
    <definedName name="LowMarsh9">FA!#REF!</definedName>
    <definedName name="LowMarshAll14" localSheetId="6">[1]SBM!$D$4</definedName>
    <definedName name="LowMarshAll14">SBM!#REF!</definedName>
    <definedName name="LowMarshPct14" localSheetId="6">[1]SBM!$G$3</definedName>
    <definedName name="LowMarshPct14">SBM!#REF!</definedName>
    <definedName name="LowMarshPD" localSheetId="6">[1]PD!$G$3</definedName>
    <definedName name="LowMarshPD">PH!#REF!</definedName>
    <definedName name="Lscape">PH!$G$191</definedName>
    <definedName name="Lscape11">AM!$G$207</definedName>
    <definedName name="Lscape12">WBF!$G$168</definedName>
    <definedName name="Lscape13">WBN!$G$195</definedName>
    <definedName name="Lscape14">SBM!$G$178</definedName>
    <definedName name="Lscape8">INV!$G$151</definedName>
    <definedName name="Lscape9">FA!$G$147</definedName>
    <definedName name="LscapePD">PH!$G$191</definedName>
    <definedName name="Mainland14">SBM!#REF!</definedName>
    <definedName name="Marsh">F!$D$10</definedName>
    <definedName name="MatureF" localSheetId="6">[1]Sen!$D$4</definedName>
    <definedName name="MatureF">Sen!#REF!</definedName>
    <definedName name="MaxFluc2" localSheetId="6">[1]SR!$G$130</definedName>
    <definedName name="MaxFluc2">SR!$G$126</definedName>
    <definedName name="Mesosaline11" localSheetId="6">[1]AM!#REF!</definedName>
    <definedName name="Mesosaline11">AM!#REF!</definedName>
    <definedName name="MethLimit5">CS!$G$118</definedName>
    <definedName name="MinSIze13" localSheetId="6">[1]WBN!$D$73</definedName>
    <definedName name="MinSIze13">WBN!#REF!</definedName>
    <definedName name="MitigaSite" localSheetId="6">[1]PU!$G$24</definedName>
    <definedName name="MitigaSite">PU!$G$24</definedName>
    <definedName name="MitSite" localSheetId="6">#REF!</definedName>
    <definedName name="MitSite">#REF!</definedName>
    <definedName name="MossCov5">CS!$G$21</definedName>
    <definedName name="MossPD">PH!#REF!</definedName>
    <definedName name="Mudflat12" localSheetId="6">[1]WBF!$G$65</definedName>
    <definedName name="Mudflat12">WBF!$G$55</definedName>
    <definedName name="NatCApct3" localSheetId="6">[1]PR!$G$150</definedName>
    <definedName name="NatCApct3">PR!$G$136</definedName>
    <definedName name="NatCov2mi11">AM!$G$19</definedName>
    <definedName name="natLCpct0">POL!#REF!</definedName>
    <definedName name="NatPctScape8" localSheetId="6">[1]INV!#REF!</definedName>
    <definedName name="NatPctScape8">INV!#REF!</definedName>
    <definedName name="natvacres0" localSheetId="6">[1]POL!$G$89</definedName>
    <definedName name="natvacres0">POL!#REF!</definedName>
    <definedName name="natveg0" localSheetId="6">[1]POL!$G$77</definedName>
    <definedName name="natveg0">POL!#REF!</definedName>
    <definedName name="NatVegBuffPD" localSheetId="6">[1]PD!#REF!</definedName>
    <definedName name="NatVegBuffPD">PH!#REF!</definedName>
    <definedName name="NatVegCA" localSheetId="6">[1]STR!$G$40</definedName>
    <definedName name="NatVegCA">STR!$G$40</definedName>
    <definedName name="NatVegCApd" localSheetId="6">[1]PD!$G$135</definedName>
    <definedName name="NatVegCApd">PH!$G$151</definedName>
    <definedName name="NatVegCUpct_S" localSheetId="6">[1]Sen!$G$116</definedName>
    <definedName name="NatVegCUpct_S">Sen!$G$164</definedName>
    <definedName name="NatVegCUpct10" localSheetId="6">[1]FR!$G$97</definedName>
    <definedName name="NatVegCUpct10">FR!$G$96</definedName>
    <definedName name="NatVegCUpct9" localSheetId="6">[1]FA!$G$93</definedName>
    <definedName name="NatVegCUpct9">FA!$G$108</definedName>
    <definedName name="NatVegPct11" localSheetId="6">[1]AM!$G$152</definedName>
    <definedName name="NatVegPct11">AM!$G$165</definedName>
    <definedName name="NatVegPctCU8" localSheetId="6">[1]INV!$G$122</definedName>
    <definedName name="NatVegPctCU8">INV!$G$127</definedName>
    <definedName name="NatVegPctScape_S" localSheetId="6">[1]Sen!#REF!</definedName>
    <definedName name="NatVegPctScape_S">Sen!#REF!</definedName>
    <definedName name="NatVegPctScape14" localSheetId="6">[1]SBM!$G$133</definedName>
    <definedName name="NatVegPctScape14">SBM!$G$26</definedName>
    <definedName name="NatVegProx_S" localSheetId="6">[1]Sen!$G$127</definedName>
    <definedName name="NatVegProx_S">Sen!$G$16</definedName>
    <definedName name="NatVegProx11" localSheetId="6">[1]AM!$G$188</definedName>
    <definedName name="NatVegProx11">AM!$G$11</definedName>
    <definedName name="NatVegProx14" localSheetId="6">[1]SBM!$G$147</definedName>
    <definedName name="NatVegProx14">SBM!$G$18</definedName>
    <definedName name="NatVegProx8" localSheetId="6">[1]INV!#REF!</definedName>
    <definedName name="NatVegProx8">INV!#REF!</definedName>
    <definedName name="NatVegSize_S" localSheetId="6">[1]Sen!$G$133</definedName>
    <definedName name="NatVegSize_S">Sen!$G$10</definedName>
    <definedName name="NatVegSize11" localSheetId="6">[1]AM!$G$194</definedName>
    <definedName name="NatVegSize11">AM!$G$3</definedName>
    <definedName name="NatVegSize14" localSheetId="6">[1]SBM!$G$153</definedName>
    <definedName name="NatVegSize14">SBM!$G$10</definedName>
    <definedName name="NatVegTractSize" localSheetId="6">[1]WBN!$G$142</definedName>
    <definedName name="NatVegTractSize">WBN!#REF!</definedName>
    <definedName name="natvprox0" localSheetId="6">[1]POL!$G$83</definedName>
    <definedName name="natvprox0">POL!#REF!</definedName>
    <definedName name="Navigable" localSheetId="6">#REF!</definedName>
    <definedName name="Navigable">#REF!</definedName>
    <definedName name="NB">OF!$D$5</definedName>
    <definedName name="NestSites">POL!$G$90</definedName>
    <definedName name="NewWet">NR!$G$137</definedName>
    <definedName name="NewWet_S">Sen!$G$175</definedName>
    <definedName name="NewWet10">FR!#REF!</definedName>
    <definedName name="NewWet11">AM!#REF!</definedName>
    <definedName name="NewWet12">WBF!#REF!</definedName>
    <definedName name="NewWet2a">SR!#REF!</definedName>
    <definedName name="NewWet3">PR!#REF!</definedName>
    <definedName name="NewWet5">CS!$G$101</definedName>
    <definedName name="NewWet6">OE!$G$102</definedName>
    <definedName name="NewWet8">INV!#REF!</definedName>
    <definedName name="NewWetNot">OF!#REF!</definedName>
    <definedName name="NewWetNot6">OE!$D$103</definedName>
    <definedName name="NewWetPD">PH!#REF!</definedName>
    <definedName name="Nfix10">FR!$G$22</definedName>
    <definedName name="Nfix14">SBM!$G$92</definedName>
    <definedName name="Nfix4">NR!$G$183</definedName>
    <definedName name="Nfix5">CS!#REF!</definedName>
    <definedName name="Nfix9">FA!$G$32</definedName>
    <definedName name="Nfixer4" localSheetId="6">[1]NR!#REF!</definedName>
    <definedName name="Nfixer4">NR!#REF!</definedName>
    <definedName name="Nfixer5" localSheetId="6">[1]CS!#REF!</definedName>
    <definedName name="Nfixer5">CS!#REF!</definedName>
    <definedName name="Nfixer6" localSheetId="6">[1]OE!$G$79</definedName>
    <definedName name="Nfixer6">OE!$G$18</definedName>
    <definedName name="Nfixers8" localSheetId="6">[1]INV!$G$94</definedName>
    <definedName name="Nfixers8">INV!$G$38</definedName>
    <definedName name="NfixPD">PH!$G$67</definedName>
    <definedName name="NfixS">Sen!$G$89</definedName>
    <definedName name="NL">OF!$D$8</definedName>
    <definedName name="Nload4" localSheetId="6">[1]NR!#REF!</definedName>
    <definedName name="Nload4">NR!#REF!</definedName>
    <definedName name="nnativ11" localSheetId="6">[1]AM!$G$121</definedName>
    <definedName name="nnativ11">AM!#REF!</definedName>
    <definedName name="NNfish" localSheetId="6">[1]FR!$G$85</definedName>
    <definedName name="NNfish">FR!#REF!</definedName>
    <definedName name="NNfish9" localSheetId="6">[1]FA!$G$82</definedName>
    <definedName name="NNfish9">FA!#REF!</definedName>
    <definedName name="NoAccess9" localSheetId="6">[1]FA!#REF!</definedName>
    <definedName name="NoAccess9">FA!#REF!</definedName>
    <definedName name="NoCA">OF!$D$113</definedName>
    <definedName name="NoDeer">PH!#REF!</definedName>
    <definedName name="NoDeerPD">PH!#REF!</definedName>
    <definedName name="NoDrainage" localSheetId="6">[1]WS!$G$72</definedName>
    <definedName name="NoDrainage">WS!#REF!</definedName>
    <definedName name="NoEmPct">EC!#REF!</definedName>
    <definedName name="NoFreezeFR" localSheetId="6">[1]FR!$G$88</definedName>
    <definedName name="NoFreezeFR">FR!#REF!</definedName>
    <definedName name="NoHerb_S">Sen!#REF!</definedName>
    <definedName name="NoHerbCov">F!$D$89</definedName>
    <definedName name="NoInflo">Sen!#REF!</definedName>
    <definedName name="NonHydric6" localSheetId="6">[1]OE!$G$117</definedName>
    <definedName name="NonHydric6">OE!$G$102</definedName>
    <definedName name="NonNatvAnim" localSheetId="6">#REF!</definedName>
    <definedName name="NonNatvAnim">#REF!</definedName>
    <definedName name="NoOpenPonded">F!$D$171</definedName>
    <definedName name="NoOpenPonded1">F!$D$172</definedName>
    <definedName name="NoOut_S" localSheetId="6">[1]Sen!$D$33</definedName>
    <definedName name="NoOut_S">Sen!$D$146</definedName>
    <definedName name="NoOut3">PR!#REF!</definedName>
    <definedName name="NoOutlet1" localSheetId="6">[1]WS!$D$52</definedName>
    <definedName name="NoOutlet1">WS!$D$53</definedName>
    <definedName name="NoOutlet10" localSheetId="6">[1]FR!$D$63</definedName>
    <definedName name="NoOutlet10">FR!$D$72</definedName>
    <definedName name="NoOutlet2" localSheetId="6">[1]SR!$D$40</definedName>
    <definedName name="NoOutlet2">SR!$D$78</definedName>
    <definedName name="NoOutlet3" localSheetId="6">[1]PR!$D$57</definedName>
    <definedName name="NoOutlet3">PR!$D$81</definedName>
    <definedName name="NoOutlet4" localSheetId="6">[1]NR!$D$53</definedName>
    <definedName name="NoOutlet4">NR!$D$113</definedName>
    <definedName name="NoOutlet5">CS!$D$87</definedName>
    <definedName name="NoOutlet6" localSheetId="6">[1]OE!$D$59</definedName>
    <definedName name="NoOutlet6">OE!$D$82</definedName>
    <definedName name="NoOutlet7" localSheetId="6">[1]T!$D$28</definedName>
    <definedName name="NoPerm10" localSheetId="6">[1]FR!$D$22</definedName>
    <definedName name="NoPermW10" localSheetId="6">[1]FR!$D$35</definedName>
    <definedName name="NoPermW10">FR!$D$41</definedName>
    <definedName name="NoPersis">F!$D$129</definedName>
    <definedName name="NoPonded">F!$D$164</definedName>
    <definedName name="NormalSeasW" localSheetId="6">[1]PD!$G$33</definedName>
    <definedName name="NoRobustEm">F!$D$191</definedName>
    <definedName name="NoScumPD" localSheetId="6">[1]PD!$G$43</definedName>
    <definedName name="NoSeasonal">F!$D$141</definedName>
    <definedName name="NoShrub">F!#REF!</definedName>
    <definedName name="NotCreated" localSheetId="6">[1]NR!$G$102</definedName>
    <definedName name="NotFen5">CS!$G$8</definedName>
    <definedName name="NotNewWet">CS!$D$102</definedName>
    <definedName name="NoTrees">F!#REF!</definedName>
    <definedName name="NoWater1" localSheetId="6">[1]WS!#REF!</definedName>
    <definedName name="NoWater3" localSheetId="6">[1]PR!$D$19</definedName>
    <definedName name="NoWater3">PR!$D$32</definedName>
    <definedName name="NoWater4" localSheetId="6">[1]NR!#REF!</definedName>
    <definedName name="NoWater4">NR!#REF!</definedName>
    <definedName name="NoWater4a" localSheetId="6">[1]NR!$D$9</definedName>
    <definedName name="NoWater4a">NR!$D$59</definedName>
    <definedName name="NoWoody" localSheetId="6">[1]CQ!$G$49</definedName>
    <definedName name="NoWoody">F!#REF!</definedName>
    <definedName name="NoWoody_S">Sen!#REF!</definedName>
    <definedName name="NoWoodyVeg">F!#REF!</definedName>
    <definedName name="NprobUp4" localSheetId="6">[1]NR!$D$129</definedName>
    <definedName name="NprobUp4">NR!#REF!</definedName>
    <definedName name="Nrank4" localSheetId="6">[1]NR!$G$142</definedName>
    <definedName name="Nrank4">NR!#REF!</definedName>
    <definedName name="NRE3a" localSheetId="6">[1]NR!$G$168</definedName>
    <definedName name="NRE3a">NR!#REF!</definedName>
    <definedName name="NS">OF!$D$6</definedName>
    <definedName name="NsampDown">NR!$G$165</definedName>
    <definedName name="NsampUp">NR!$G$160</definedName>
    <definedName name="Nsource4" localSheetId="6">[1]NR!$G$147</definedName>
    <definedName name="Nsource4">NR!$G$213</definedName>
    <definedName name="NtidalJux12" localSheetId="6">[1]WBF!$G$12</definedName>
    <definedName name="NutrAvail6">OE!$G$114</definedName>
    <definedName name="OpenlandProx11">AM!#REF!</definedName>
    <definedName name="OpenPctScape12" localSheetId="6">[1]WBF!$G$112</definedName>
    <definedName name="OpenPctScape12">WBF!#REF!</definedName>
    <definedName name="OpenPonded7">WC!$G$32</definedName>
    <definedName name="OpenPonded7a">#REF!</definedName>
    <definedName name="OpenScapeProx12" localSheetId="6">[1]WBF!$G$118</definedName>
    <definedName name="OpenScapeProx12">WBF!#REF!</definedName>
    <definedName name="OpenSize2">SR!#REF!</definedName>
    <definedName name="OpenStrucs14" localSheetId="6">[1]SBM!#REF!</definedName>
    <definedName name="OpenStrucs14">SBM!#REF!</definedName>
    <definedName name="OpenW">F!$D$169</definedName>
    <definedName name="OpenwSize13">WBN!#REF!</definedName>
    <definedName name="OpWater">F!#REF!</definedName>
    <definedName name="OpWaterDry">F!#REF!</definedName>
    <definedName name="OpWaterWet">F!#REF!</definedName>
    <definedName name="Organic4">NR!$G$218</definedName>
    <definedName name="OutDur2" localSheetId="6">[1]SR!$G$36</definedName>
    <definedName name="OutDur2">SR!$G$73</definedName>
    <definedName name="OutDur2_">SFS!$G$26</definedName>
    <definedName name="OutDur7" localSheetId="6">[1]T!$G$24</definedName>
    <definedName name="OutDur7">WC!$G$55</definedName>
    <definedName name="OutDura_S" localSheetId="6">[1]Sen!$G$29</definedName>
    <definedName name="OutDura_S">Sen!$G$141</definedName>
    <definedName name="OutDura1" localSheetId="6">[1]WS!$G$48</definedName>
    <definedName name="OutDura1">WS!$G$48</definedName>
    <definedName name="OutDura10" localSheetId="6">[1]FR!$G$59</definedName>
    <definedName name="OutDura10">FR!$G$67</definedName>
    <definedName name="OutDura3" localSheetId="6">[1]PR!$G$53</definedName>
    <definedName name="OutDura3">PR!$G$76</definedName>
    <definedName name="OutDura4" localSheetId="6">[1]NR!$G$49</definedName>
    <definedName name="OutDura4">NR!$G$108</definedName>
    <definedName name="OutDura5" localSheetId="6">[1]CS!$G$58</definedName>
    <definedName name="OutDura5">CS!$G$82</definedName>
    <definedName name="OutDura6" localSheetId="6">[1]OE!$G$55</definedName>
    <definedName name="OutDura6">OE!$G$77</definedName>
    <definedName name="OutDura9" localSheetId="6">[1]FA!$G$50</definedName>
    <definedName name="OutDura9">FA!$G$84</definedName>
    <definedName name="Outlet4">NR!#REF!</definedName>
    <definedName name="Outlet4p">NR!#REF!</definedName>
    <definedName name="OutNone">F!$D$211</definedName>
    <definedName name="OutNone1">F!$D$210</definedName>
    <definedName name="OverRich">EC!$G$28</definedName>
    <definedName name="Owner">PU!#REF!</definedName>
    <definedName name="Ownership" localSheetId="6">[1]PU!$G$6</definedName>
    <definedName name="Ownership">PU!$G$26</definedName>
    <definedName name="OwnerSS">STR!$G$26</definedName>
    <definedName name="OWpatchSize8">INV!#REF!</definedName>
    <definedName name="OWpct14">SBM!#REF!</definedName>
    <definedName name="Pcp_S" localSheetId="6">[1]Sen!$G$179</definedName>
    <definedName name="Pcp_S">Sen!#REF!</definedName>
    <definedName name="PdataDown3">PR!#REF!</definedName>
    <definedName name="PdataUp3">PR!#REF!</definedName>
    <definedName name="PdataUpDis3" localSheetId="6">[1]PR!#REF!</definedName>
    <definedName name="PdataUpDis3">PR!#REF!</definedName>
    <definedName name="PdownDis3" localSheetId="6">[1]PR!$G$137</definedName>
    <definedName name="PdownDis3">PR!#REF!</definedName>
    <definedName name="PEI">OF!$D$7</definedName>
    <definedName name="PermPctAll12">WBF!#REF!</definedName>
    <definedName name="PermWaterAll14" localSheetId="6">[1]SBM!$D$16</definedName>
    <definedName name="PermWaterAll14">SBM!#REF!</definedName>
    <definedName name="PermWpct10">FR!$G$36</definedName>
    <definedName name="PermWpct11" localSheetId="6">[1]AM!$G$13</definedName>
    <definedName name="PermWpct11">AM!$G$117</definedName>
    <definedName name="PermWpct12" localSheetId="6">[1]WBF!$G$30</definedName>
    <definedName name="PermWpct12">WBF!$G$75</definedName>
    <definedName name="PermWpct13" localSheetId="6">[1]WBN!$G$16</definedName>
    <definedName name="PermWpct13">WBN!$G$78</definedName>
    <definedName name="PermWpct14">SBM!$G$118</definedName>
    <definedName name="PermWpct3" localSheetId="6">[1]PR!#REF!</definedName>
    <definedName name="PermWpct3">PR!#REF!</definedName>
    <definedName name="PermWpct4" localSheetId="6">[1]NR!$G$17</definedName>
    <definedName name="PermWpct4">NR!$G$66</definedName>
    <definedName name="PermWpct5" localSheetId="6">[1]CS!$G$28</definedName>
    <definedName name="PermWpct5">CS!$G$38</definedName>
    <definedName name="PermWpct8" localSheetId="6">[1]INV!$G$23</definedName>
    <definedName name="PermWpct8">INV!$G$63</definedName>
    <definedName name="PermWpct9">FA!$G$45</definedName>
    <definedName name="PermWpd">PH!#REF!</definedName>
    <definedName name="Persis3" localSheetId="6">[1]PR!$G$27</definedName>
    <definedName name="Persis3">PR!$G$39</definedName>
    <definedName name="persist0" localSheetId="6">[1]POL!$G$9</definedName>
    <definedName name="persist0">POL!$G$67</definedName>
    <definedName name="PersistPct1" localSheetId="6">[1]WS!$G$22</definedName>
    <definedName name="PersistPct1">WS!#REF!</definedName>
    <definedName name="PersistPct2" localSheetId="6">[1]SR!$G$123</definedName>
    <definedName name="PersistPct2">SR!#REF!</definedName>
    <definedName name="PestFish10" localSheetId="6">[1]FR!$G$82</definedName>
    <definedName name="PestFish10">FR!#REF!</definedName>
    <definedName name="PestFish11" localSheetId="6">[1]AM!$G$118</definedName>
    <definedName name="PestFish11">AM!#REF!</definedName>
    <definedName name="PestFish9" localSheetId="6">[1]FA!$G$79</definedName>
    <definedName name="PestFish9">FA!#REF!</definedName>
    <definedName name="PhysAccess" localSheetId="6">#REF!</definedName>
    <definedName name="PhysAccess">#REF!</definedName>
    <definedName name="PhysAccum5">CS!$G$117</definedName>
    <definedName name="Physical" localSheetId="6">[1]CQ!#REF!</definedName>
    <definedName name="Physical">EC!#REF!</definedName>
    <definedName name="PlantCov5">CS!#REF!</definedName>
    <definedName name="PlantCov6">OE!$G$113</definedName>
    <definedName name="PlantSiteS">Sen!#REF!</definedName>
    <definedName name="Playa" localSheetId="6">#REF!</definedName>
    <definedName name="Playa">#REF!</definedName>
    <definedName name="Playa10" localSheetId="6">[1]FR!$D$4</definedName>
    <definedName name="Playa10">FR!#REF!</definedName>
    <definedName name="Playa11" localSheetId="6">[1]AM!$D$3</definedName>
    <definedName name="Playa11">AM!#REF!</definedName>
    <definedName name="Playa12" localSheetId="6">[1]WBF!$D$4</definedName>
    <definedName name="Playa12">WBF!#REF!</definedName>
    <definedName name="Playa12a">WBF!#REF!</definedName>
    <definedName name="Playa5" localSheetId="6">[1]CS!$D$4</definedName>
    <definedName name="Playa5">CS!#REF!</definedName>
    <definedName name="Playa8" localSheetId="6">[1]INV!$D$3</definedName>
    <definedName name="Playa8">INV!#REF!</definedName>
    <definedName name="Playa9" localSheetId="6">[1]FA!$D$4</definedName>
    <definedName name="Playa9">FA!#REF!</definedName>
    <definedName name="Pload3" localSheetId="6">[1]PR!$G$146</definedName>
    <definedName name="Pload3">PR!$G$147</definedName>
    <definedName name="PollenOff">POL!#REF!</definedName>
    <definedName name="PollenOn">POL!$G$89</definedName>
    <definedName name="PolluIn" localSheetId="6">[1]INV!$G$136</definedName>
    <definedName name="PolluIn">INV!#REF!</definedName>
    <definedName name="PolluIn13">WBN!#REF!</definedName>
    <definedName name="PolluIn14" localSheetId="6">[1]WBF!$D$159</definedName>
    <definedName name="PolluIn14">WBF!#REF!</definedName>
    <definedName name="Ponded">F!#REF!</definedName>
    <definedName name="Ponded12">WBF!#REF!</definedName>
    <definedName name="Ponded7">[2]WC!$G$20</definedName>
    <definedName name="PondedPct2">SR!#REF!</definedName>
    <definedName name="PondedPct6">OE!$G$53</definedName>
    <definedName name="Ponding2">SR!$G$43</definedName>
    <definedName name="PondNum11v">AM!$G$189</definedName>
    <definedName name="PondNum12v">WBF!$G$142</definedName>
    <definedName name="PondNum13v">WBN!$G$178</definedName>
    <definedName name="PondNum14v">SBM!#REF!</definedName>
    <definedName name="PondOpenSize11">AM!#REF!</definedName>
    <definedName name="PondPct4">NR!$G$84</definedName>
    <definedName name="PondPctScape11" localSheetId="6">[1]AM!$G$200</definedName>
    <definedName name="PondPctScape11">AM!#REF!</definedName>
    <definedName name="PondPctScape12" localSheetId="6">[1]WBF!$G$123</definedName>
    <definedName name="PondPctScape12">WBF!#REF!</definedName>
    <definedName name="PondPctScape14" localSheetId="6">[1]SBM!$G$159</definedName>
    <definedName name="PondPctScape14">SBM!#REF!</definedName>
    <definedName name="PondProx_S" localSheetId="6">[1]Sen!$G$146</definedName>
    <definedName name="PondProx_S">Sen!$G$30</definedName>
    <definedName name="PondProx11" localSheetId="6">[1]AM!$G$207</definedName>
    <definedName name="PondProx11">AM!$G$36</definedName>
    <definedName name="PondProx12" localSheetId="6">[1]WBF!$G$130</definedName>
    <definedName name="PondProx12">WBF!$G$10</definedName>
    <definedName name="PondProx13" localSheetId="6">[1]WBN!$G$155</definedName>
    <definedName name="PondProx13">WBN!$G$17</definedName>
    <definedName name="PondProx14">SBM!$G$49</definedName>
    <definedName name="PondProx15">PH!$G$45</definedName>
    <definedName name="PopCtr12">WBF!$G$143</definedName>
    <definedName name="PopCtr14">SBM!$G$35</definedName>
    <definedName name="PopCtr15">PH!$G$32</definedName>
    <definedName name="PopCtr9">FA!$G$121</definedName>
    <definedName name="PopCtrDisPU">PU!$G$3</definedName>
    <definedName name="PopCtrDisS">#REF!</definedName>
    <definedName name="PopCtrDist">STR!$G$3</definedName>
    <definedName name="PopDist10">FR!$G$105</definedName>
    <definedName name="PopDist4">NR!$G$146</definedName>
    <definedName name="PosShed3" localSheetId="6">[1]PR!$G$107</definedName>
    <definedName name="PosShed3">PR!#REF!</definedName>
    <definedName name="PprobUp2" localSheetId="6">[1]PR!$D$134</definedName>
    <definedName name="PprobUp2">PR!#REF!</definedName>
    <definedName name="Prank3" localSheetId="6">[1]PR!$G$141</definedName>
    <definedName name="Prank3">PR!#REF!</definedName>
    <definedName name="Precip11" localSheetId="6">[1]AM!$G$237</definedName>
    <definedName name="Precip11">AM!#REF!</definedName>
    <definedName name="Precip12" localSheetId="6">[1]WBF!$G$174</definedName>
    <definedName name="Precip12">WBF!#REF!</definedName>
    <definedName name="Precip6">OE!#REF!</definedName>
    <definedName name="PrecipAnnu" localSheetId="6">#REF!</definedName>
    <definedName name="PrecipAnnu">#REF!</definedName>
    <definedName name="PrecipPD" localSheetId="6">[1]PD!$G$188</definedName>
    <definedName name="PrecipPD">PH!#REF!</definedName>
    <definedName name="_xlnm.Print_Area" localSheetId="5">F!$A$3:$D$307</definedName>
    <definedName name="_xlnm.Print_Area" localSheetId="3">OF!$A$1:$E$157</definedName>
    <definedName name="_xlnm.Print_Area" localSheetId="6">S!$A$1:$F$86</definedName>
    <definedName name="_xlnm.Print_Area" localSheetId="7">Scores!$A$1:$Q$29</definedName>
    <definedName name="Produc">SBM!$G$177</definedName>
    <definedName name="Produc10">FR!$G$130</definedName>
    <definedName name="Produc11">AM!$G$206</definedName>
    <definedName name="Produc12">WBF!$G$167</definedName>
    <definedName name="Produc13">WBN!$G$192</definedName>
    <definedName name="Produc14">SBM!$G$177</definedName>
    <definedName name="Produc9">FA!$G$146</definedName>
    <definedName name="Productiv">CS!$G$116</definedName>
    <definedName name="Productiv6">OE!$G$111</definedName>
    <definedName name="ProtecStatus">PU!#REF!</definedName>
    <definedName name="Protect13">WBN!#REF!</definedName>
    <definedName name="PsampDown3">PR!$G$108</definedName>
    <definedName name="PsampUp3">PR!$G$103</definedName>
    <definedName name="PubAccess" localSheetId="6">[1]PU!$G$9</definedName>
    <definedName name="PubAccess">PU!#REF!</definedName>
    <definedName name="Rare11" localSheetId="6">[1]AM!$G$232</definedName>
    <definedName name="Rare11">AM!#REF!</definedName>
    <definedName name="Rare12" localSheetId="6">[1]WBF!$G$170</definedName>
    <definedName name="Rare12">WBF!$G$157</definedName>
    <definedName name="Rare13" localSheetId="6">[1]WBN!$G$199</definedName>
    <definedName name="Rare13">WBN!$G$187</definedName>
    <definedName name="Rare14" localSheetId="6">[1]SBM!$G$199</definedName>
    <definedName name="Rare14">SBM!$G$172</definedName>
    <definedName name="rare8" localSheetId="6">[1]INV!$G$144</definedName>
    <definedName name="rare8">INV!#REF!</definedName>
    <definedName name="RareAll" localSheetId="6">[1]CQ!$G$76</definedName>
    <definedName name="RareAll">EC!$G$3</definedName>
    <definedName name="rarecommu" localSheetId="6">[1]POL!$G$123</definedName>
    <definedName name="rarecommu">POL!#REF!</definedName>
    <definedName name="RareComPD">PH!#REF!</definedName>
    <definedName name="RareFNA" localSheetId="6">[1]FR!$G$106</definedName>
    <definedName name="RareFNA">FR!#REF!</definedName>
    <definedName name="RareFR">FR!#REF!</definedName>
    <definedName name="rareherb" localSheetId="6">[1]POL!$G$122</definedName>
    <definedName name="rareherb">POL!$G$87</definedName>
    <definedName name="RareHerp">AM!$G$199</definedName>
    <definedName name="RarePcom" localSheetId="6">[1]PD!$G$183</definedName>
    <definedName name="RarePcom">PH!#REF!</definedName>
    <definedName name="RarePsp20">PH!$G$186</definedName>
    <definedName name="RareSpp_S">Sen!$G$56</definedName>
    <definedName name="RareSpPD">PH!$D$185</definedName>
    <definedName name="RareType" localSheetId="6">#REF!</definedName>
    <definedName name="RareType">#REF!</definedName>
    <definedName name="RareTypePD">PH!#REF!</definedName>
    <definedName name="RareWclass_S">Sen!#REF!</definedName>
    <definedName name="RareWclass0">POL!#REF!</definedName>
    <definedName name="RareWclass11">AM!#REF!</definedName>
    <definedName name="RareWclass12">WBF!#REF!</definedName>
    <definedName name="RareWclass13">WBN!#REF!</definedName>
    <definedName name="RareWclass14">SBM!#REF!</definedName>
    <definedName name="RareWclass8">INV!#REF!</definedName>
    <definedName name="RareWclassPD">PH!$G$184</definedName>
    <definedName name="RdBox" localSheetId="6">[1]STR!$G$61</definedName>
    <definedName name="RdBox">STR!$G$16</definedName>
    <definedName name="RdBox14" localSheetId="6">[1]SBM!$G$108</definedName>
    <definedName name="RdBox14">SBM!$G$48</definedName>
    <definedName name="RdCirc11">[3]AM!$G$206</definedName>
    <definedName name="RdDis11" localSheetId="6">[1]AM!$G$167</definedName>
    <definedName name="RdDis11">AM!$G$28</definedName>
    <definedName name="RdDis13" localSheetId="6">[1]WBN!$G$179</definedName>
    <definedName name="RdDis13">WBN!$G$10</definedName>
    <definedName name="RdDist4">NR!$G$152</definedName>
    <definedName name="RecPot">PU!$G$57</definedName>
    <definedName name="RecreaPoten" localSheetId="6">[1]PU!$G$16</definedName>
    <definedName name="RecreaPoten">PU!$G$36</definedName>
    <definedName name="RecUse">STR!$G$58</definedName>
    <definedName name="Redox4">NR!$G$219</definedName>
    <definedName name="ResFish" localSheetId="6">[1]INV!$G$160</definedName>
    <definedName name="ResFish">INV!$G$141</definedName>
    <definedName name="ResFishScore2_">SFS!$G$40</definedName>
    <definedName name="RoadCirc11" localSheetId="6">[1]AM!$G$166</definedName>
    <definedName name="RoadCirc11">AM!$G$35</definedName>
    <definedName name="RoadDist" localSheetId="6">#REF!</definedName>
    <definedName name="RoadDist">#REF!</definedName>
    <definedName name="S1A">S!#REF!</definedName>
    <definedName name="S2A">S!#REF!</definedName>
    <definedName name="S2B">S!#REF!</definedName>
    <definedName name="S2C">S!#REF!</definedName>
    <definedName name="S3A">S!#REF!</definedName>
    <definedName name="S3B">S!#REF!</definedName>
    <definedName name="S3C">S!#REF!</definedName>
    <definedName name="S4A">S!#REF!</definedName>
    <definedName name="S4B">S!#REF!</definedName>
    <definedName name="S4C">S!#REF!</definedName>
    <definedName name="S5A">S!#REF!</definedName>
    <definedName name="S5B">S!#REF!</definedName>
    <definedName name="S5C">S!#REF!</definedName>
    <definedName name="s6a">S!#REF!</definedName>
    <definedName name="s6a1">S!#REF!</definedName>
    <definedName name="s6b">S!#REF!</definedName>
    <definedName name="S7A">S!#REF!</definedName>
    <definedName name="S7B">S!#REF!</definedName>
    <definedName name="S7C">S!#REF!</definedName>
    <definedName name="S8A">S!#REF!</definedName>
    <definedName name="S8A1">S!#REF!</definedName>
    <definedName name="S8B">S!#REF!</definedName>
    <definedName name="S8C">S!#REF!</definedName>
    <definedName name="s9a">S!#REF!</definedName>
    <definedName name="s9b">S!#REF!</definedName>
    <definedName name="s9c">S!#REF!</definedName>
    <definedName name="Salin3" localSheetId="6">[1]PR!$G$4</definedName>
    <definedName name="Salin3">PR!#REF!</definedName>
    <definedName name="Salin4">NR!#REF!</definedName>
    <definedName name="Salin5">CS!#REF!</definedName>
    <definedName name="Salin6" localSheetId="6">[1]OE!$G$4</definedName>
    <definedName name="Salin6">OE!#REF!</definedName>
    <definedName name="Salin9" localSheetId="6">[1]FA!#REF!</definedName>
    <definedName name="Salin9">FA!#REF!</definedName>
    <definedName name="Saline11" localSheetId="6">[1]AM!#REF!</definedName>
    <definedName name="Saline11">AM!#REF!</definedName>
    <definedName name="Salinity11" localSheetId="6">[1]AM!#REF!</definedName>
    <definedName name="Salinity11">AM!#REF!</definedName>
    <definedName name="Salinity2" localSheetId="6">[1]SR!$G$3</definedName>
    <definedName name="Salinity2">SR!#REF!</definedName>
    <definedName name="SalinPD" localSheetId="6">[1]PD!$G$15</definedName>
    <definedName name="SalinPD">PH!#REF!</definedName>
    <definedName name="Salmon5">CS!#REF!</definedName>
    <definedName name="SalmonShedPS">#REF!</definedName>
    <definedName name="SalmonShedPS2">#REF!</definedName>
    <definedName name="SalmoShed9">FA!#REF!</definedName>
    <definedName name="Salmoshed9v">FA!#REF!</definedName>
    <definedName name="Salt20">PH!$G$180</definedName>
    <definedName name="SatPct_S">Sen!$G$115</definedName>
    <definedName name="SatPct0">POL!#REF!</definedName>
    <definedName name="SatPct10">FR!$G$29</definedName>
    <definedName name="SatPct11">AM!$G$110</definedName>
    <definedName name="SatPct12">WBF!$G$68</definedName>
    <definedName name="SatPct13">WBN!$G$71</definedName>
    <definedName name="SatPct14">SBM!$G$111</definedName>
    <definedName name="SatPct2v">SR!$G$119</definedName>
    <definedName name="SatPct3">PR!$G$32</definedName>
    <definedName name="SatPct4">NR!$G$59</definedName>
    <definedName name="SatPct7">WC!$G$7</definedName>
    <definedName name="SatPct8">INV!$G$56</definedName>
    <definedName name="SatPct9">FA!$G$38</definedName>
    <definedName name="SatPctPD">PH!$G$97</definedName>
    <definedName name="Satur10">FR!$D$29</definedName>
    <definedName name="SAV_LT5">EC!#REF!</definedName>
    <definedName name="SAV1pd" localSheetId="6">[1]PD!$G$46</definedName>
    <definedName name="SAV1pd">PH!#REF!</definedName>
    <definedName name="sav2pd" localSheetId="6">[1]PD!$G$50</definedName>
    <definedName name="sav2pd">PH!#REF!</definedName>
    <definedName name="SAVdom1">EC!#REF!</definedName>
    <definedName name="SAVpct3" localSheetId="6">[1]PR!#REF!</definedName>
    <definedName name="SAVpct3">PR!#REF!</definedName>
    <definedName name="SAVpct5" localSheetId="6">[1]CS!#REF!</definedName>
    <definedName name="SAVpct5">CS!#REF!</definedName>
    <definedName name="SAVpctS">Sen!#REF!</definedName>
    <definedName name="SAVsens1" localSheetId="6">[1]Sen!$G$48</definedName>
    <definedName name="SAVsens1">Sen!#REF!</definedName>
    <definedName name="SAVsens1_C" localSheetId="6">[1]CQ!$G$23</definedName>
    <definedName name="SAVsens1_C">EC!#REF!</definedName>
    <definedName name="SAVsens2_C" localSheetId="6">[1]CQ!$G$27</definedName>
    <definedName name="SAVsens2_C">EC!#REF!</definedName>
    <definedName name="SAVsens2_S" localSheetId="6">[1]Sen!$G$52</definedName>
    <definedName name="SAVsens2_S">Sen!#REF!</definedName>
    <definedName name="SAVubq1">EC!#REF!</definedName>
    <definedName name="SAVubq2" localSheetId="6">[1]Sen!$G$56</definedName>
    <definedName name="SAVubq2">Sen!#REF!</definedName>
    <definedName name="SBMscore10">AM!$G$201</definedName>
    <definedName name="SBMscore9">FA!#REF!</definedName>
    <definedName name="SBMsiteS">Sen!#REF!</definedName>
    <definedName name="ScapeLU11" localSheetId="6">[1]AM!$G$180</definedName>
    <definedName name="ScapeLU11">AM!$G$25</definedName>
    <definedName name="ScapeLU14" localSheetId="6">[1]SBM!$G$139</definedName>
    <definedName name="ScapeLU14">SBM!$G$32</definedName>
    <definedName name="SciUse" localSheetId="6">[1]PU!$G$20</definedName>
    <definedName name="SciUse">PU!$G$25</definedName>
    <definedName name="ScorePLDf">PH!$G$197</definedName>
    <definedName name="ScorePOLf" localSheetId="6">[1]PD!$G$199</definedName>
    <definedName name="ScorePOLf">PH!$G$187</definedName>
    <definedName name="ScoreSBM">PH!$G$188</definedName>
    <definedName name="ScoreSBMf" localSheetId="6">[1]PD!$G$201</definedName>
    <definedName name="ScoreSBMf">PH!#REF!</definedName>
    <definedName name="ScoreSubsis">PH!#REF!</definedName>
    <definedName name="ScoreWBFf" localSheetId="6">[1]PD!$G$200</definedName>
    <definedName name="ScoreWBFf">PH!#REF!</definedName>
    <definedName name="Scum15" localSheetId="6">[1]CQ!$G$20</definedName>
    <definedName name="Scum15">EC!#REF!</definedName>
    <definedName name="Scum3" localSheetId="6">[1]PR!$G$74</definedName>
    <definedName name="Scum3">PR!#REF!</definedName>
    <definedName name="Scum9" localSheetId="6">[1]FA!$G$91</definedName>
    <definedName name="Scum9">FA!#REF!</definedName>
    <definedName name="SeasPct1" localSheetId="6">[1]WS!$G$36</definedName>
    <definedName name="SeasPct1">WS!$G$30</definedName>
    <definedName name="SeasPct2" localSheetId="6">[1]SR!$G$24</definedName>
    <definedName name="SeasPct2">SR!$G$25</definedName>
    <definedName name="SeasPct8" localSheetId="6">[1]INV!$G$37</definedName>
    <definedName name="SeasPct8">INV!$G$69</definedName>
    <definedName name="SeasTime1" localSheetId="6">[1]WS!#REF!</definedName>
    <definedName name="SeasTime1">WS!#REF!</definedName>
    <definedName name="SeasTime11" localSheetId="6">[1]AM!$G$33</definedName>
    <definedName name="SeasTime11">AM!#REF!</definedName>
    <definedName name="SeasTime13" localSheetId="6">[1]WBN!#REF!</definedName>
    <definedName name="SeasTime13">WBN!#REF!</definedName>
    <definedName name="SeasTime8" localSheetId="6">[1]INV!$G$43</definedName>
    <definedName name="SeasTime8">INV!#REF!</definedName>
    <definedName name="SeasTimeV1" localSheetId="6">[1]WS!#REF!</definedName>
    <definedName name="SeasTimeV1">WS!#REF!</definedName>
    <definedName name="SeasTiming10" localSheetId="6">[1]FR!$G$44</definedName>
    <definedName name="SeasTiming10">FR!#REF!</definedName>
    <definedName name="SeasTiming9">FA!#REF!</definedName>
    <definedName name="SeasW_S" localSheetId="6">[1]Sen!$G$12</definedName>
    <definedName name="SeasW_S">Sen!#REF!</definedName>
    <definedName name="SeasWpct11" localSheetId="6">[1]AM!$G$27</definedName>
    <definedName name="SeasWpct11">AM!#REF!</definedName>
    <definedName name="SeasWpct12" localSheetId="6">[1]WBF!$G$24</definedName>
    <definedName name="SeasWpct12">WBF!$G$81</definedName>
    <definedName name="SeasWpct13">WBN!$G$84</definedName>
    <definedName name="SeasWpct3" localSheetId="6">[1]PR!#REF!</definedName>
    <definedName name="SeasWpct3">PR!#REF!</definedName>
    <definedName name="SeasWpct4" localSheetId="6">[1]NR!$G$31</definedName>
    <definedName name="SeasWpct4">NR!$G$72</definedName>
    <definedName name="SeasWpct5" localSheetId="6">[1]CS!$G$35</definedName>
    <definedName name="SeasWpct5">CS!$G$44</definedName>
    <definedName name="SeasWpct6" localSheetId="6">[1]OE!$G$36</definedName>
    <definedName name="SeasWpct6">OE!$G$35</definedName>
    <definedName name="SeasWpct9" localSheetId="6">[1]FA!$G$28</definedName>
    <definedName name="SeasWpct9">FA!$G$57</definedName>
    <definedName name="SeasWpctPD">PH!$G$104</definedName>
    <definedName name="SedCA8">INV!$D$137</definedName>
    <definedName name="SedCA8a">INV!$G$137</definedName>
    <definedName name="SedDep20">PH!$G$181</definedName>
    <definedName name="SedDisturb20">PH!$G$182</definedName>
    <definedName name="SedExcess10">FR!$G$103</definedName>
    <definedName name="Sedge5">CS!$G$33</definedName>
    <definedName name="SedIn10">FR!#REF!</definedName>
    <definedName name="SedIn2" localSheetId="6">[1]SR!$G$102</definedName>
    <definedName name="SedIn2">SR!#REF!</definedName>
    <definedName name="SedIn20">PH!#REF!</definedName>
    <definedName name="SedIn8" localSheetId="6">[1]INV!$G$140</definedName>
    <definedName name="SedIn8">INV!#REF!</definedName>
    <definedName name="SedIn9" localSheetId="6">[1]FA!$G$119</definedName>
    <definedName name="SedIn9">FA!$G$119</definedName>
    <definedName name="SedLoad" localSheetId="6">[1]STR!$G$7</definedName>
    <definedName name="SedLoad">STR!$G$78</definedName>
    <definedName name="SENS1" localSheetId="6">[1]Sen!$G$186</definedName>
    <definedName name="SENS1">Sen!#REF!</definedName>
    <definedName name="SENS2" localSheetId="6">[1]Sen!$G$187</definedName>
    <definedName name="SENS2">Sen!#REF!</definedName>
    <definedName name="SENS3" localSheetId="6">[1]Sen!$G$188</definedName>
    <definedName name="SENS3">Sen!#REF!</definedName>
    <definedName name="SENS4" localSheetId="6">[1]Sen!$G$189</definedName>
    <definedName name="SENS4">Sen!#REF!</definedName>
    <definedName name="SENS5">Sen!#REF!</definedName>
    <definedName name="Shade10">FR!#REF!</definedName>
    <definedName name="Shade7" localSheetId="6">[1]T!$G$29</definedName>
    <definedName name="Shade7">WC!$G$14</definedName>
    <definedName name="Shade7w">#REF!</definedName>
    <definedName name="Shade9" localSheetId="6">[1]FA!$G$70</definedName>
    <definedName name="Shade9">FA!$G$51</definedName>
    <definedName name="ShadeIn7">WC!$G$61</definedName>
    <definedName name="ShedPos">OF!$D$97</definedName>
    <definedName name="ShedPos_S" localSheetId="6">[1]Sen!$G$170</definedName>
    <definedName name="ShedPos_S">Sen!#REF!</definedName>
    <definedName name="ShedPos1" localSheetId="6">[1]WS!$G$75</definedName>
    <definedName name="ShedPos1">WS!$G$79</definedName>
    <definedName name="ShedPos2">SFS!$G$37</definedName>
    <definedName name="ShedPos4" localSheetId="6">[1]NR!$G$107</definedName>
    <definedName name="ShedPos4">NR!#REF!</definedName>
    <definedName name="ShedPos7">WC!$G$44</definedName>
    <definedName name="ShedWet2" localSheetId="6">[1]SR!$G$81</definedName>
    <definedName name="ShedWet2">SR!#REF!</definedName>
    <definedName name="Shoal2" localSheetId="6">[1]SR!$G$150</definedName>
    <definedName name="Shoal2">SR!#REF!</definedName>
    <definedName name="Shoaling" localSheetId="6">#REF!</definedName>
    <definedName name="Shoaling">#REF!</definedName>
    <definedName name="ShoalSS">SR!#REF!</definedName>
    <definedName name="ShoreSlope11" localSheetId="6">[1]AM!$G$60</definedName>
    <definedName name="ShoreSlope13">WBN!$G$126</definedName>
    <definedName name="ShrubDiv0">POL!$G$24</definedName>
    <definedName name="ShrubDiv14">SBM!$G$66</definedName>
    <definedName name="ShrubPattS">Sen!$G$82</definedName>
    <definedName name="ShrubSens1" localSheetId="6">[1]Sen!$G$80</definedName>
    <definedName name="ShrubSens1_C" localSheetId="6">[1]CQ!$G$55</definedName>
    <definedName name="ShrubSens1_S" localSheetId="6">[1]Sen!#REF!</definedName>
    <definedName name="ShrubSun11">AM!$G$104</definedName>
    <definedName name="Size_S" localSheetId="6">[1]Sen!$G$163</definedName>
    <definedName name="Size_S">Sen!#REF!</definedName>
    <definedName name="Size0" localSheetId="6">[1]POL!$G$95</definedName>
    <definedName name="Size0">POL!#REF!</definedName>
    <definedName name="Size12" localSheetId="6">[1]WBF!$G$145</definedName>
    <definedName name="Size12">WBF!#REF!</definedName>
    <definedName name="Size13" localSheetId="6">[1]WBN!$G$166</definedName>
    <definedName name="Size13">WBN!#REF!</definedName>
    <definedName name="Size14" localSheetId="6">[1]SBM!$G$173</definedName>
    <definedName name="Size14">SBM!#REF!</definedName>
    <definedName name="SizeHerbac13">WBN!$G$3</definedName>
    <definedName name="SizeHerbac14">SBM!$G$3</definedName>
    <definedName name="SizePD">PH!$G$3</definedName>
    <definedName name="SizeVegConnec15">PH!$G$10</definedName>
    <definedName name="SlidePD">PH!#REF!</definedName>
    <definedName name="SlopeUnif2" localSheetId="6">[1]SR!#REF!</definedName>
    <definedName name="SlopeUnif2">SR!#REF!</definedName>
    <definedName name="SlopeUnif3" localSheetId="6">[1]PR!#REF!</definedName>
    <definedName name="SnagB13">WBN!$G$59</definedName>
    <definedName name="SnagD14">SBM!$G$85</definedName>
    <definedName name="Snags0">POL!$G$36</definedName>
    <definedName name="Snow1">WS!#REF!</definedName>
    <definedName name="Snow10">FR!#REF!</definedName>
    <definedName name="Snow11">AM!#REF!</definedName>
    <definedName name="Snow12">WBF!#REF!</definedName>
    <definedName name="Snow1a">WS!#REF!</definedName>
    <definedName name="Snow2">SR!#REF!</definedName>
    <definedName name="Snow2_">SFS!#REF!</definedName>
    <definedName name="Snow2a">SFS!#REF!</definedName>
    <definedName name="Snow3">PR!#REF!</definedName>
    <definedName name="Snow4">NR!#REF!</definedName>
    <definedName name="Snow5">CS!#REF!</definedName>
    <definedName name="Snow6">OE!#REF!</definedName>
    <definedName name="SnowPD">PH!#REF!</definedName>
    <definedName name="Snows">Sen!#REF!</definedName>
    <definedName name="Snows_S">Sen!#REF!</definedName>
    <definedName name="Snows_S2">Sen!#REF!</definedName>
    <definedName name="Soil2_">SFS!$G$14</definedName>
    <definedName name="SoilDisturb" localSheetId="6">[1]STR!$G$8</definedName>
    <definedName name="SoilDisturb">STR!$G$79</definedName>
    <definedName name="soildisturb0" localSheetId="6">[1]POL!$G$102</definedName>
    <definedName name="soildisturb0">POL!#REF!</definedName>
    <definedName name="SoilDisturb11" localSheetId="6">[1]AM!$G$224</definedName>
    <definedName name="SoilDisturb11">AM!#REF!</definedName>
    <definedName name="SoilDisturb15" localSheetId="6">[1]PD!$D$171</definedName>
    <definedName name="SoilDisturb15">PH!$D$182</definedName>
    <definedName name="SoilDisturb3">SR!$G$94</definedName>
    <definedName name="SoilDisturb4" localSheetId="6">[1]NR!$G$104</definedName>
    <definedName name="SoilDisturb4">NR!$G$144</definedName>
    <definedName name="SoilDisturb5" localSheetId="6">[1]CS!$G$136</definedName>
    <definedName name="SoilDisturb5">CS!$G$113</definedName>
    <definedName name="SoilDisturb6" localSheetId="6">[1]OE!$G$115</definedName>
    <definedName name="SoilDisturb6">OE!#REF!</definedName>
    <definedName name="SoilDisturb8" localSheetId="6">[1]INV!$G$141</definedName>
    <definedName name="SoilDisturb8">INV!$D$138</definedName>
    <definedName name="SoilDisturb8a">INV!$G$138</definedName>
    <definedName name="SoilTex_S" localSheetId="6">[1]Sen!$G$110</definedName>
    <definedName name="SoilTex_S">Sen!$G$100</definedName>
    <definedName name="SoilTex1">WS!$G$24</definedName>
    <definedName name="SoilTex3" localSheetId="6">[1]PR!$G$86</definedName>
    <definedName name="SoilTex3">PR!$G$25</definedName>
    <definedName name="SoilTex4" localSheetId="6">[1]NR!$G$87</definedName>
    <definedName name="SoilTex4">NR!$G$53</definedName>
    <definedName name="SoilTex5" localSheetId="6">[1]CS!$G$112</definedName>
    <definedName name="SoilTex5">CS!$G$27</definedName>
    <definedName name="SoilTex6">OE!$G$29</definedName>
    <definedName name="SoilTex8" localSheetId="6">[1]INV!#REF!</definedName>
    <definedName name="SoilTex8">INV!#REF!</definedName>
    <definedName name="SoilTexPD" localSheetId="6">[1]PD!$G$95</definedName>
    <definedName name="SoilTexPD">PH!$G$77</definedName>
    <definedName name="SolarHeat">WC!#REF!</definedName>
    <definedName name="SolarHeatWarming">#REF!</definedName>
    <definedName name="SongbMam" localSheetId="6">[1]INV!$G$164</definedName>
    <definedName name="SongbMam">INV!$G$145</definedName>
    <definedName name="SPA">PU!#REF!</definedName>
    <definedName name="SppArea">PH!$G$190</definedName>
    <definedName name="SpPatch14" localSheetId="6">[1]SBM!#REF!</definedName>
    <definedName name="SpPatch14">SBM!#REF!</definedName>
    <definedName name="SpPatchy8" localSheetId="6">[1]INV!#REF!</definedName>
    <definedName name="SpPatchy8">INV!#REF!</definedName>
    <definedName name="SStorage2">SFS!$G$43</definedName>
    <definedName name="SSubq2" localSheetId="6">[1]Sen!$G$89</definedName>
    <definedName name="SSubq2">Sen!#REF!</definedName>
    <definedName name="Stain3">PR!$G$92</definedName>
    <definedName name="Stained6">OE!#REF!</definedName>
    <definedName name="Steep1">WS!$D$69</definedName>
    <definedName name="Steep13" localSheetId="6">[1]WBN!$D$109</definedName>
    <definedName name="Steep13">WBN!$D$151</definedName>
    <definedName name="Steep1ws">WS!$D$69</definedName>
    <definedName name="Steep2ws">WS!$D$70</definedName>
    <definedName name="StrataDiv">EC!#REF!</definedName>
    <definedName name="StreamInGrad3">PR!#REF!</definedName>
    <definedName name="Stress0">POL!$G$91</definedName>
    <definedName name="Stress10">FR!$G$132</definedName>
    <definedName name="Stress11">AM!$G$209</definedName>
    <definedName name="Stress12">WBF!$G$169</definedName>
    <definedName name="Stress13">WBN!#REF!</definedName>
    <definedName name="Stress14">SBM!$G$180</definedName>
    <definedName name="Stress9">FA!$G$148</definedName>
    <definedName name="Stressors13">WBN!$G$194</definedName>
    <definedName name="Stressors8">INV!$G$152</definedName>
    <definedName name="StressPD">PH!$G$195</definedName>
    <definedName name="struc0" localSheetId="6">[1]POL!#REF!</definedName>
    <definedName name="struc0">POL!#REF!</definedName>
    <definedName name="Struc10">FR!$G$129</definedName>
    <definedName name="Struc11">AM!$G$204</definedName>
    <definedName name="Struc12">WBF!$G$166</definedName>
    <definedName name="Struc13">WBN!$G$191</definedName>
    <definedName name="Struc14" localSheetId="6">[1]SBM!$D$77</definedName>
    <definedName name="Struc14">SBM!#REF!</definedName>
    <definedName name="Struc9">FA!$G$145</definedName>
    <definedName name="StrucA">SBM!$G$175</definedName>
    <definedName name="StrucB">SBM!$G$176</definedName>
    <definedName name="Structure8">INV!$G$147</definedName>
    <definedName name="Subsist">#REF!</definedName>
    <definedName name="Subsist10">FR!#REF!</definedName>
    <definedName name="Subsist9">FA!#REF!</definedName>
    <definedName name="Subsurf">WS!$G$89</definedName>
    <definedName name="Subtypes8">INV!$G$22</definedName>
    <definedName name="Sustain">Sen!#REF!</definedName>
    <definedName name="Sustain1" localSheetId="6">[1]WS!$G$106</definedName>
    <definedName name="Sustain1">WS!#REF!</definedName>
    <definedName name="Sustain11" localSheetId="6">[1]AM!$G$244</definedName>
    <definedName name="Sustain11">AM!#REF!</definedName>
    <definedName name="Sustain12" localSheetId="6">[1]WBF!$G$181</definedName>
    <definedName name="Sustain12">WBF!#REF!</definedName>
    <definedName name="Sustain13" localSheetId="6">[1]WBN!$G$211</definedName>
    <definedName name="Sustain13">WBN!#REF!</definedName>
    <definedName name="sustain14" localSheetId="6">[1]SBM!$G$211</definedName>
    <definedName name="sustain14">SBM!#REF!</definedName>
    <definedName name="Sustain2" localSheetId="6">[1]SR!$G$160</definedName>
    <definedName name="Sustain2">SR!#REF!</definedName>
    <definedName name="Sustain3" localSheetId="6">[1]PR!$G$156</definedName>
    <definedName name="Sustain3">PR!#REF!</definedName>
    <definedName name="Sustain4" localSheetId="6">[1]NR!$G$161</definedName>
    <definedName name="Sustain4">NR!#REF!</definedName>
    <definedName name="sustain8" localSheetId="6">[1]INV!$G$155</definedName>
    <definedName name="sustain8">INV!#REF!</definedName>
    <definedName name="SustainPD" localSheetId="6">[1]PD!$G$195</definedName>
    <definedName name="SustainPD">PH!#REF!</definedName>
    <definedName name="SWOpd">PH!$D$97</definedName>
    <definedName name="System" localSheetId="6">#REF!</definedName>
    <definedName name="System">#REF!</definedName>
    <definedName name="TEknown" localSheetId="6">#REF!</definedName>
    <definedName name="TEknown">#REF!</definedName>
    <definedName name="Temp7w">#REF!</definedName>
    <definedName name="TEpredicted" localSheetId="6">#REF!</definedName>
    <definedName name="TEpredicted">#REF!</definedName>
    <definedName name="TerrFertilPD">PH!$G$193</definedName>
    <definedName name="TerrStruc11">AM!$G$205</definedName>
    <definedName name="TEST1">S!#REF!</definedName>
    <definedName name="TEST10">S!#REF!</definedName>
    <definedName name="TEST11">S!#REF!</definedName>
    <definedName name="TEST12">S!#REF!</definedName>
    <definedName name="TEST13">S!#REF!</definedName>
    <definedName name="TEST14">S!#REF!</definedName>
    <definedName name="TEST15">S!#REF!</definedName>
    <definedName name="TEST18">S!#REF!</definedName>
    <definedName name="TEST19">S!#REF!</definedName>
    <definedName name="TEST2">S!#REF!</definedName>
    <definedName name="TEST20">S!#REF!</definedName>
    <definedName name="TEST21">S!#REF!</definedName>
    <definedName name="TEST3">S!#REF!</definedName>
    <definedName name="TEST4">S!#REF!</definedName>
    <definedName name="TEST5">S!#REF!</definedName>
    <definedName name="TEST6">S!#REF!</definedName>
    <definedName name="TEST7">S!#REF!</definedName>
    <definedName name="TEST8">S!#REF!</definedName>
    <definedName name="TEST9">S!#REF!</definedName>
    <definedName name="ThruFlo1" localSheetId="6">[1]WS!$G$56</definedName>
    <definedName name="ThruFlo1">WS!$G$58</definedName>
    <definedName name="ThruFlo10" localSheetId="6">[1]FR!$G$67</definedName>
    <definedName name="ThruFlo10">FR!$G$73</definedName>
    <definedName name="ThruFlo12" localSheetId="6">[1]WBF!$G$55</definedName>
    <definedName name="ThruFlo12">WBF!#REF!</definedName>
    <definedName name="ThruFlo2" localSheetId="6">[1]SR!$G$44</definedName>
    <definedName name="ThruFlo2">SR!$G$83</definedName>
    <definedName name="ThruFlo3" localSheetId="6">[1]PR!$G$61</definedName>
    <definedName name="ThruFlo3">PR!$G$86</definedName>
    <definedName name="ThruFlo4" localSheetId="6">[1]NR!$G$57</definedName>
    <definedName name="ThruFlo4">NR!$G$118</definedName>
    <definedName name="ThruFlo5" localSheetId="6">[1]CS!$G$66</definedName>
    <definedName name="ThruFlo5">CS!#REF!</definedName>
    <definedName name="ThruFlo6" localSheetId="6">[1]OE!$G$63</definedName>
    <definedName name="ThruFlo6">OE!$G$87</definedName>
    <definedName name="ThruFlo8" localSheetId="6">[1]INV!$G$69</definedName>
    <definedName name="ThruFlo8">INV!$G$112</definedName>
    <definedName name="ThruFlo9" localSheetId="6">[1]FA!$G$58</definedName>
    <definedName name="ThruFlo9">FA!$G$90</definedName>
    <definedName name="ThruFlow13" localSheetId="6">[1]WBN!$G$50</definedName>
    <definedName name="ThruFlow13">WBN!#REF!</definedName>
    <definedName name="Tidal" localSheetId="6">#REF!</definedName>
    <definedName name="Tidal">#REF!</definedName>
    <definedName name="tidal0">POL!#REF!</definedName>
    <definedName name="Tidal1" localSheetId="6">[1]WS!$D$2</definedName>
    <definedName name="Tidal1">WS!#REF!</definedName>
    <definedName name="Tidal10" localSheetId="6">[1]FR!$D$2</definedName>
    <definedName name="Tidal10">FR!#REF!</definedName>
    <definedName name="Tidal11" localSheetId="6">[1]AM!$D$2</definedName>
    <definedName name="Tidal11">AM!#REF!</definedName>
    <definedName name="Tidal12" localSheetId="6">[1]WBF!$D$2</definedName>
    <definedName name="Tidal12">WBF!#REF!</definedName>
    <definedName name="Tidal13" localSheetId="6">[1]WBN!$D$2</definedName>
    <definedName name="Tidal13">WBN!#REF!</definedName>
    <definedName name="Tidal14" localSheetId="6">[1]SBM!$D$2</definedName>
    <definedName name="Tidal14">SBM!#REF!</definedName>
    <definedName name="Tidal2" localSheetId="6">[1]SR!$D$2</definedName>
    <definedName name="Tidal2">SR!#REF!</definedName>
    <definedName name="Tidal3" localSheetId="6">[1]PR!$D$2</definedName>
    <definedName name="Tidal3">PR!#REF!</definedName>
    <definedName name="Tidal4" localSheetId="6">[1]NR!$D$2</definedName>
    <definedName name="Tidal4">NR!#REF!</definedName>
    <definedName name="Tidal5">CS!#REF!</definedName>
    <definedName name="Tidal6" localSheetId="6">[1]OE!$D$2</definedName>
    <definedName name="Tidal6">OE!#REF!</definedName>
    <definedName name="Tidal7" localSheetId="6">[1]T!$D$2</definedName>
    <definedName name="Tidal7">WC!#REF!</definedName>
    <definedName name="Tidal8" localSheetId="6">[1]INV!$D$2</definedName>
    <definedName name="Tidal8">INV!#REF!</definedName>
    <definedName name="Tidal9" localSheetId="6">[1]FA!$D$2</definedName>
    <definedName name="Tidal9">FA!#REF!</definedName>
    <definedName name="TidalNTconn13" localSheetId="6">[1]WBN!#REF!</definedName>
    <definedName name="TidalNTconn13">WBN!#REF!</definedName>
    <definedName name="TidalPD" localSheetId="6">[1]PD!$D$2</definedName>
    <definedName name="TidalPD">PH!$D$54</definedName>
    <definedName name="TidalProx_S">Sen!#REF!</definedName>
    <definedName name="TidalProx1">WS!#REF!</definedName>
    <definedName name="TidalProx10">FR!#REF!</definedName>
    <definedName name="TidalProx11">AM!#REF!</definedName>
    <definedName name="TidalProx12" localSheetId="6">[1]WBF!$G$141</definedName>
    <definedName name="TidalProx12">WBF!$G$25</definedName>
    <definedName name="TidalProx13">WBN!#REF!</definedName>
    <definedName name="TidalProx14">SBM!#REF!</definedName>
    <definedName name="TidalProx3">PR!#REF!</definedName>
    <definedName name="TidalProx4">NR!#REF!</definedName>
    <definedName name="TidalProx5" localSheetId="6">[1]CS!$G$131</definedName>
    <definedName name="TidalProx5">CS!#REF!</definedName>
    <definedName name="TidalProx6">OE!#REF!</definedName>
    <definedName name="TidalProx8">INV!$G$3</definedName>
    <definedName name="TidalProx9">FA!$G$3</definedName>
    <definedName name="TidalProxPD">PH!#REF!</definedName>
    <definedName name="TidalProxPU">PU!$G$16</definedName>
    <definedName name="TidalProxS">#REF!</definedName>
    <definedName name="TidalW" localSheetId="6">#REF!</definedName>
    <definedName name="TidalW">#REF!</definedName>
    <definedName name="TideProx2">SR!#REF!</definedName>
    <definedName name="TideProx7">#REF!</definedName>
    <definedName name="TnonTconn10">FR!#REF!</definedName>
    <definedName name="TnonTpd" localSheetId="6">[1]PD!$G$9</definedName>
    <definedName name="TnonTpd">PH!#REF!</definedName>
    <definedName name="TooSmall">F!$D$152</definedName>
    <definedName name="TooSteep">F!$D$245</definedName>
    <definedName name="TooSteep12" localSheetId="6">[1]WBF!$D$97</definedName>
    <definedName name="TooSteep12">WBF!$D$124</definedName>
    <definedName name="TooSteep13">WBN!$D$154</definedName>
    <definedName name="ToxData10">FR!$G$3</definedName>
    <definedName name="ToxData2">SR!$G$101</definedName>
    <definedName name="ToxData9">FA!$G$10</definedName>
    <definedName name="Toxic" localSheetId="6">[1]STR!$G$6</definedName>
    <definedName name="Toxic">STR!$G$76</definedName>
    <definedName name="Toxic0">POL!$G$83</definedName>
    <definedName name="Toxic11">AM!$G$44</definedName>
    <definedName name="ToxicData">STR!$G$17</definedName>
    <definedName name="ToxicIn11">AM!$G$187</definedName>
    <definedName name="ToxicIn9">FA!$G$118</definedName>
    <definedName name="toxics13" localSheetId="6">[1]WBN!$G$186</definedName>
    <definedName name="toxics13">WBN!$G$32</definedName>
    <definedName name="ToxOnsite">STR!$D$18</definedName>
    <definedName name="ToxUp2">SR!$G$96</definedName>
    <definedName name="TprobUp" localSheetId="6">[1]T!$D$39</definedName>
    <definedName name="TprobUp">WC!#REF!</definedName>
    <definedName name="Transport1" localSheetId="6">[1]WS!$G$92</definedName>
    <definedName name="Transport1">WS!$G$84</definedName>
    <definedName name="Transport3" localSheetId="6">[1]PR!$G$124</definedName>
    <definedName name="Transport3">PR!$G$122</definedName>
    <definedName name="Transport4" localSheetId="6">[1]NR!$G$124</definedName>
    <definedName name="Transport4">NR!$G$179</definedName>
    <definedName name="TransportSS" localSheetId="6">[1]SR!$G$98</definedName>
    <definedName name="TransportSS">SR!$G$115</definedName>
    <definedName name="TreeCanop4">NR!$G$33</definedName>
    <definedName name="TreeCovS">Sen!$G$69</definedName>
    <definedName name="TreeDBHs">Sen!$G$70</definedName>
    <definedName name="TreeForm13">WBN!$G$50</definedName>
    <definedName name="TreeForm5" localSheetId="6">[1]CS!$G$88</definedName>
    <definedName name="TreeForm5">CS!$G$12</definedName>
    <definedName name="TreeForm6" localSheetId="6">[1]OE!#REF!</definedName>
    <definedName name="TreeForm6">OE!#REF!</definedName>
    <definedName name="TreeFrag_S" localSheetId="6">[1]Sen!#REF!</definedName>
    <definedName name="TreeFrag_S">Sen!#REF!</definedName>
    <definedName name="TreeFrag14" localSheetId="6">[1]SBM!#REF!</definedName>
    <definedName name="TreeFrag14">SBM!#REF!</definedName>
    <definedName name="Trees13">WBN!$G$50</definedName>
    <definedName name="TreeTyp13">WBN!$G$50</definedName>
    <definedName name="TreeTypes14" localSheetId="6">[1]SBM!$G$41</definedName>
    <definedName name="TreeTypes14">SBM!$G$69</definedName>
    <definedName name="TreeVar11" localSheetId="6">[1]AM!$G$80</definedName>
    <definedName name="TreeVar11">AM!$G$72</definedName>
    <definedName name="TreeVar8" localSheetId="6">[1]INV!#REF!</definedName>
    <definedName name="TreeVar8">INV!#REF!</definedName>
    <definedName name="TurbExceed">SR!#REF!</definedName>
    <definedName name="TurbExceedSS">SR!#REF!</definedName>
    <definedName name="Turbid15" localSheetId="6">[1]PD!$D$170</definedName>
    <definedName name="Turbid15">PH!#REF!</definedName>
    <definedName name="TurbUp2" localSheetId="6">[1]SR!$D$109</definedName>
    <definedName name="TurbUp2">SR!#REF!</definedName>
    <definedName name="Unbrow">SBM!#REF!</definedName>
    <definedName name="Unbrowsed">PH!#REF!</definedName>
    <definedName name="Undercut10" localSheetId="6">[1]FR!$G$73</definedName>
    <definedName name="Undercut10">FR!#REF!</definedName>
    <definedName name="Undercut11" localSheetId="6">[1]AM!$G$54</definedName>
    <definedName name="Undercut11">AM!#REF!</definedName>
    <definedName name="Undercut2" localSheetId="6">[1]SR!$G$139</definedName>
    <definedName name="Undercut2">SR!#REF!</definedName>
    <definedName name="Undercut9" localSheetId="6">[1]FA!$G$64</definedName>
    <definedName name="Undercut9">FA!#REF!</definedName>
    <definedName name="Unif1" localSheetId="6">[1]WS!#REF!</definedName>
    <definedName name="Unif1">WS!#REF!</definedName>
    <definedName name="Unif11" localSheetId="6">[1]AM!#REF!</definedName>
    <definedName name="Unif11">AM!#REF!</definedName>
    <definedName name="Unif14">SBM!$G$148</definedName>
    <definedName name="UniPatch8">INV!#REF!</definedName>
    <definedName name="UniqPatch">WBF!#REF!</definedName>
    <definedName name="UniqPatch11" localSheetId="6">[1]AM!$G$228</definedName>
    <definedName name="UniqPatch11">AM!#REF!</definedName>
    <definedName name="UniqPatch12">WBF!#REF!</definedName>
    <definedName name="UniqPatch12a">WBF!#REF!</definedName>
    <definedName name="UniqPatch13">WBN!#REF!</definedName>
    <definedName name="UniqPatch14">SBM!#REF!</definedName>
    <definedName name="UniqPatchPD" localSheetId="6">[1]PD!$G$174</definedName>
    <definedName name="UniqPatchPD">PH!#REF!</definedName>
    <definedName name="UniqVegF">Sen!#REF!</definedName>
    <definedName name="Unprotec">STR!#REF!</definedName>
    <definedName name="UpEdge_S">Sen!$G$45</definedName>
    <definedName name="UpEdge14" localSheetId="6">[1]SBM!$G$62</definedName>
    <definedName name="UpEdge14">SBM!$G$55</definedName>
    <definedName name="UpEdgeShape4" localSheetId="6">[1]NR!$G$80</definedName>
    <definedName name="UpEdgeShape4">NR!$G$3</definedName>
    <definedName name="UpErodible" localSheetId="6">#REF!</definedName>
    <definedName name="UpErodible">#REF!</definedName>
    <definedName name="UpExceed2">SR!#REF!</definedName>
    <definedName name="UpExceedDist" localSheetId="6">#REF!</definedName>
    <definedName name="UpExceedDist">#REF!</definedName>
    <definedName name="UpNitrate" localSheetId="6">#REF!</definedName>
    <definedName name="UpNitrate">#REF!</definedName>
    <definedName name="UpPhos" localSheetId="6">#REF!</definedName>
    <definedName name="UpPhos">#REF!</definedName>
    <definedName name="UpPollute" localSheetId="6">#REF!</definedName>
    <definedName name="UpPollute">#REF!</definedName>
    <definedName name="UpStorage" localSheetId="6">#REF!</definedName>
    <definedName name="UpStorage">#REF!</definedName>
    <definedName name="UpStore1" localSheetId="6">[1]WS!$G$88</definedName>
    <definedName name="UpStore1">WS!#REF!</definedName>
    <definedName name="UpStore3" localSheetId="6">[1]PR!$G$120</definedName>
    <definedName name="UpStore3">PR!#REF!</definedName>
    <definedName name="UpStore4" localSheetId="6">[1]NR!$G$120</definedName>
    <definedName name="UpStore4">NR!#REF!</definedName>
    <definedName name="UpStoreSS" localSheetId="6">[1]SR!$G$94</definedName>
    <definedName name="UpStoreSS">SR!#REF!</definedName>
    <definedName name="UpThermo" localSheetId="6">#REF!</definedName>
    <definedName name="UpThermo">#REF!</definedName>
    <definedName name="UpTransport" localSheetId="6">#REF!</definedName>
    <definedName name="UpTransport">#REF!</definedName>
    <definedName name="UpTurbid" localSheetId="6">#REF!</definedName>
    <definedName name="UpTurbid">#REF!</definedName>
    <definedName name="UpWQdis2" localSheetId="6">[1]SR!#REF!</definedName>
    <definedName name="UpWQdis2">SR!#REF!</definedName>
    <definedName name="VegClear" localSheetId="6">[1]STR!$G$9</definedName>
    <definedName name="VegClear">STR!#REF!</definedName>
    <definedName name="VegGap11" localSheetId="6">[1]AM!#REF!</definedName>
    <definedName name="VegGap11">AM!#REF!</definedName>
    <definedName name="VegGap14" localSheetId="6">[1]SBM!$G$54</definedName>
    <definedName name="VegGap14">SBM!#REF!</definedName>
    <definedName name="VegGaps8" localSheetId="6">[1]INV!$G$100</definedName>
    <definedName name="VegGaps8">INV!#REF!</definedName>
    <definedName name="VegPct5k15">PH!$G$26</definedName>
    <definedName name="VegPctScape_S">Sen!$G$24</definedName>
    <definedName name="VegWabs3" localSheetId="6">[1]PR!$G$67</definedName>
    <definedName name="VegWabs3">PR!$G$64</definedName>
    <definedName name="VegWrel3" localSheetId="6">[1]PR!$G$147</definedName>
    <definedName name="VegWrel3">PR!#REF!</definedName>
    <definedName name="Visib12">WBF!$G$159</definedName>
    <definedName name="Visibility" localSheetId="6">[1]PU!$G$2</definedName>
    <definedName name="Visibility">PU!$G$32</definedName>
    <definedName name="VisibWet">STR!$G$54</definedName>
    <definedName name="Vremove6" localSheetId="6">[1]OE!$G$116</definedName>
    <definedName name="Vremove6">OE!#REF!</definedName>
    <definedName name="VscoreSRM">SBM!$G$183</definedName>
    <definedName name="VscoreWBF">WBF!$G$172</definedName>
    <definedName name="VscoreWBN">WBN!$G$198</definedName>
    <definedName name="Vwidth11">AM!$G$142</definedName>
    <definedName name="Vwidth14">SBM!$G$124</definedName>
    <definedName name="VwidthAbs_S" localSheetId="6">[1]Sen!$G$40</definedName>
    <definedName name="VwidthAbs_S">Sen!$G$134</definedName>
    <definedName name="VwidthAbs13" localSheetId="6">[1]WBN!$G$56</definedName>
    <definedName name="VwidthAbs13">WBN!$G$119</definedName>
    <definedName name="VwidthAbs4" localSheetId="6">[1]NR!$G$63</definedName>
    <definedName name="VwidthAbs4">NR!$G$97</definedName>
    <definedName name="VwidthAbs5" localSheetId="6">[1]CS!$G$75</definedName>
    <definedName name="VwidthAbs5">CS!$G$75</definedName>
    <definedName name="VwidthAbs6" localSheetId="6">[1]OE!$G$72</definedName>
    <definedName name="VwidthAbs6">OE!$G$66</definedName>
    <definedName name="VwidthRel_S" localSheetId="6">[1]Sen!$G$37</definedName>
    <definedName name="VwidthRel_S">Sen!#REF!</definedName>
    <definedName name="VwidthRel4" localSheetId="6">[1]NR!$G$148</definedName>
    <definedName name="VwidthRel4">NR!#REF!</definedName>
    <definedName name="VwidthRel5" localSheetId="6">[1]CS!$G$72</definedName>
    <definedName name="VwidthRel5">CS!#REF!</definedName>
    <definedName name="VwidthRel6" localSheetId="6">[1]OE!$G$69</definedName>
    <definedName name="VwidthRel6">OE!#REF!</definedName>
    <definedName name="WarmInflo7">WC!$D$61</definedName>
    <definedName name="Warmth1">WS!$G$19</definedName>
    <definedName name="warmth10">FR!$G$8</definedName>
    <definedName name="warmth12">WBF!$G$37</definedName>
    <definedName name="Warmth2">SR!$G$15</definedName>
    <definedName name="Warmth3">PR!$G$15</definedName>
    <definedName name="Warmth4">NR!$G$24</definedName>
    <definedName name="Warmth5">CS!$G$3</definedName>
    <definedName name="Warmth6">OE!$G$10</definedName>
    <definedName name="Warmth7">WC!$G$53</definedName>
    <definedName name="warmth8">INV!$G$13</definedName>
    <definedName name="WatEdgeSlope2">SR!$G$63</definedName>
    <definedName name="Water0">POL!#REF!</definedName>
    <definedName name="Water10">FR!$D$29</definedName>
    <definedName name="Water11">AM!$D$110</definedName>
    <definedName name="Water12">WBF!$D$68</definedName>
    <definedName name="Water13">WBN!$D$71</definedName>
    <definedName name="Water14">SBM!$D$111</definedName>
    <definedName name="Water15">PH!$D$97</definedName>
    <definedName name="Water1a">WS!#REF!</definedName>
    <definedName name="Water2">SFS!#REF!</definedName>
    <definedName name="Water2a">SR!#REF!</definedName>
    <definedName name="Water3">PR!$D$32</definedName>
    <definedName name="Water4">NR!$D$59</definedName>
    <definedName name="Water7">WC!$D$7</definedName>
    <definedName name="Water7w">#REF!</definedName>
    <definedName name="Water8">INV!$D$56</definedName>
    <definedName name="Water9">FA!$D$38</definedName>
    <definedName name="Waterscape11">AM!$G$208</definedName>
    <definedName name="Wave2" localSheetId="6">[1]SR!$G$146</definedName>
    <definedName name="Wave2">SR!#REF!</definedName>
    <definedName name="Waves" localSheetId="6">[1]STR!$G$15</definedName>
    <definedName name="Waves">STR!#REF!</definedName>
    <definedName name="Waves15" localSheetId="6">[1]PD!$G$105</definedName>
    <definedName name="Waves15">PH!#REF!</definedName>
    <definedName name="WBFscore10">AM!$G$200</definedName>
    <definedName name="WBFscores" localSheetId="6">[1]FR!$D$112</definedName>
    <definedName name="WBFscores">FR!$D$126</definedName>
    <definedName name="WBFsiteS">Sen!#REF!</definedName>
    <definedName name="WbirdF" localSheetId="6">[1]INV!$G$162</definedName>
    <definedName name="WbirdF">INV!$G$143</definedName>
    <definedName name="WbirdFeed" localSheetId="6">[1]FA!$G$124</definedName>
    <definedName name="WbirdFeed">FA!$G$142</definedName>
    <definedName name="WbirdFeed10">FR!$G$126</definedName>
    <definedName name="WbirdNest" localSheetId="6">[1]INV!$G$163</definedName>
    <definedName name="WbirdNest">INV!$G$144</definedName>
    <definedName name="WBN4a">WBN!#REF!</definedName>
    <definedName name="WBNsiteS">Sen!$G$56</definedName>
    <definedName name="WeedSource" localSheetId="6">[1]STR!$G$35</definedName>
    <definedName name="WeedSource">STR!$G$31</definedName>
    <definedName name="WeedSourcePD" localSheetId="6">[1]PD!$G$130</definedName>
    <definedName name="WeedSourcePD">PH!$G$92</definedName>
    <definedName name="WellWater" localSheetId="6">#REF!</definedName>
    <definedName name="WellWater">#REF!</definedName>
    <definedName name="WetDistrib13" localSheetId="6">[1]WBN!#REF!</definedName>
    <definedName name="WetDistrib13">WBN!#REF!</definedName>
    <definedName name="WetIntercept">SR!$G$149</definedName>
    <definedName name="WetPct0">POL!#REF!</definedName>
    <definedName name="WetPctCA2">SR!$G$3</definedName>
    <definedName name="WetPctCA4">NR!$G$8</definedName>
    <definedName name="WetSize_S">Sen!$G$3</definedName>
    <definedName name="Wetter" localSheetId="6">[1]STR!$G$2</definedName>
    <definedName name="Wetter">STR!#REF!</definedName>
    <definedName name="wetter1">WS!#REF!</definedName>
    <definedName name="Wetter5">CS!#REF!</definedName>
    <definedName name="WetterEx">STR!#REF!</definedName>
    <definedName name="Wettype10">FR!$G$15</definedName>
    <definedName name="Wettype11">AM!$G$60</definedName>
    <definedName name="Wettype12">WBF!$G$43</definedName>
    <definedName name="Wettype13">WBN!$G$43</definedName>
    <definedName name="Wettype2">SFS!$G$7</definedName>
    <definedName name="Wettype4">NR!$G$25</definedName>
    <definedName name="Wettype5">CS!$G$4</definedName>
    <definedName name="Wettype6">OE!$G$11</definedName>
    <definedName name="Wettype8">INV!$G$15</definedName>
    <definedName name="Wettype9">FA!$G$25</definedName>
    <definedName name="WetTypeDiv11">AM!$G$67</definedName>
    <definedName name="WetTypeDiv12">WBF!$G$50</definedName>
    <definedName name="WetTypeDiv14">SBM!$G$60</definedName>
    <definedName name="WettypePD">PH!#REF!</definedName>
    <definedName name="WettypeS">Sen!$G$62</definedName>
    <definedName name="wetuniq" localSheetId="6">[1]POL!$G$118</definedName>
    <definedName name="wetuniq">POL!#REF!</definedName>
    <definedName name="WidthAbs2" localSheetId="6">[1]SR!$G$50</definedName>
    <definedName name="WidthAbs2">SR!$G$56</definedName>
    <definedName name="WidthPD">PH!$G$122</definedName>
    <definedName name="WoodAbove10">FR!$G$63</definedName>
    <definedName name="WoodAbove11">AM!$G$153</definedName>
    <definedName name="WoodAbove12" localSheetId="6">[1]WBF!#REF!</definedName>
    <definedName name="WoodAbove12">WBF!#REF!</definedName>
    <definedName name="WoodAbove14" localSheetId="6">[1]SBM!$G$22</definedName>
    <definedName name="WoodAbove14">SBM!#REF!</definedName>
    <definedName name="WoodAbove9" localSheetId="6">[1]FA!$G$76</definedName>
    <definedName name="WoodAbove9">FA!$G$80</definedName>
    <definedName name="WoodDown11" localSheetId="6">[1]AM!$G$101</definedName>
    <definedName name="WoodDown11">AM!$G$88</definedName>
    <definedName name="WoodDown14" localSheetId="6">[1]SBM!$G$69</definedName>
    <definedName name="WoodDown14">SBM!$G$89</definedName>
    <definedName name="WoodDown8" localSheetId="6">[1]INV!$G$108</definedName>
    <definedName name="WoodDown8">INV!$G$35</definedName>
    <definedName name="WoodHerbMix11">AM!$G$81</definedName>
    <definedName name="WoodHerbMix15">PH!$G$60</definedName>
    <definedName name="WoodHerbMix8">INV!$G$28</definedName>
    <definedName name="WoodPatt14">SBM!$G$78</definedName>
    <definedName name="WoodSpDom15">PH!$G$57</definedName>
    <definedName name="WoodTypes_S" localSheetId="6">[1]Sen!#REF!</definedName>
    <definedName name="WoodTypes_S">Sen!#REF!</definedName>
    <definedName name="WoodWaterEdge7">WC!#REF!</definedName>
    <definedName name="woody">F!#REF!</definedName>
    <definedName name="Woody12">WBF!#REF!</definedName>
    <definedName name="Woody13">WBN!#REF!</definedName>
    <definedName name="Woody14" localSheetId="6">[1]SBM!$G$37</definedName>
    <definedName name="Woody14">SBM!$G$78</definedName>
    <definedName name="woodydbh0" localSheetId="6">[1]POL!$G$42</definedName>
    <definedName name="woodydbh0">POL!$G$27</definedName>
    <definedName name="WoodyEdge14" localSheetId="6">[1]SBM!$G$31</definedName>
    <definedName name="WoodyEdge14">SBM!#REF!</definedName>
    <definedName name="WoodyHtDiv14">SBM!$G$65</definedName>
    <definedName name="WoodyHtDiv15">PH!$G$55</definedName>
    <definedName name="WoodyHtForm0">POL!$G$17</definedName>
    <definedName name="woodynn0" localSheetId="6">[1]POL!$G$36</definedName>
    <definedName name="woodynn0">POL!#REF!</definedName>
    <definedName name="woodypct0">POL!#REF!</definedName>
    <definedName name="WoodyPct14" localSheetId="6">[1]SBM!$G$25</definedName>
    <definedName name="WoodyPct14">SBM!#REF!</definedName>
    <definedName name="WoodyPct5" localSheetId="6">[1]CS!$G$82</definedName>
    <definedName name="WoodyPct5">CS!#REF!</definedName>
    <definedName name="WoodySens2_C" localSheetId="6">[1]CQ!$G$65</definedName>
    <definedName name="WoodySens2_C">EC!#REF!</definedName>
    <definedName name="WoodySens2_S" localSheetId="6">[1]Sen!$G$86</definedName>
    <definedName name="WoodySens2_S">Sen!$G$79</definedName>
    <definedName name="WoodyTyp4">NR!$G$32</definedName>
    <definedName name="WoodyUniq">AM!$G$190</definedName>
    <definedName name="WoodyUniq0">POL!$G$86</definedName>
    <definedName name="WoodyUniq14">SBM!$G$163</definedName>
    <definedName name="WoodyUniq20">PH!$G$185</definedName>
    <definedName name="WQdisDown4" localSheetId="6">[1]NR!$G$132</definedName>
    <definedName name="WQdisDown4">NR!#REF!</definedName>
    <definedName name="WQdistUp7" localSheetId="6">[1]T!#REF!</definedName>
    <definedName name="WQdistUp7">WC!#REF!</definedName>
    <definedName name="WQdown4">NR!#REF!</definedName>
    <definedName name="WQdown7">WC!#REF!</definedName>
    <definedName name="WQdownDis" localSheetId="6">[1]STR!#REF!</definedName>
    <definedName name="WQdownDis">STR!#REF!</definedName>
    <definedName name="WQdownDis11" localSheetId="6">[1]AM!#REF!</definedName>
    <definedName name="WQdownDis11">AM!#REF!</definedName>
    <definedName name="WQdownDis12" localSheetId="6">[1]WBF!#REF!</definedName>
    <definedName name="WQdownDis12">WBF!#REF!</definedName>
    <definedName name="WQdownDis13" localSheetId="6">[1]WBN!#REF!</definedName>
    <definedName name="WQdownDis13">WBN!#REF!</definedName>
    <definedName name="WQdownDis7" localSheetId="6">[1]T!$G$42</definedName>
    <definedName name="WQdownDis7">WC!#REF!</definedName>
    <definedName name="WQdownDis8" localSheetId="6">[1]INV!#REF!</definedName>
    <definedName name="WQdownDis8">INV!#REF!</definedName>
    <definedName name="WQdownDis9" localSheetId="6">[1]FA!$G$115</definedName>
    <definedName name="WQdownDis9">FA!#REF!</definedName>
    <definedName name="WQNdisUp4" localSheetId="6">[1]NR!#REF!</definedName>
    <definedName name="WQNdisUp4">NR!#REF!</definedName>
    <definedName name="WQprobDownS" localSheetId="6">[1]STR!#REF!</definedName>
    <definedName name="WQprobDownS">STR!#REF!</definedName>
    <definedName name="WQprobUpS" localSheetId="6">[1]STR!$G$62</definedName>
    <definedName name="WQprobUpS">STR!#REF!</definedName>
    <definedName name="WQstress">STR!$G$82</definedName>
    <definedName name="WQup11" localSheetId="6">[1]AM!$G$220</definedName>
    <definedName name="WQup11">AM!#REF!</definedName>
    <definedName name="WQup4">NR!#REF!</definedName>
    <definedName name="WQup7">WC!#REF!</definedName>
    <definedName name="WQup9" localSheetId="6">[1]FA!$G$107</definedName>
    <definedName name="WQup9">FA!#REF!</definedName>
    <definedName name="WQupDis" localSheetId="6">[1]STR!#REF!</definedName>
    <definedName name="WQupDis">STR!#REF!</definedName>
    <definedName name="WQupDis11" localSheetId="6">[1]AM!#REF!</definedName>
    <definedName name="WQupDis11">AM!#REF!</definedName>
    <definedName name="WQupDis12" localSheetId="6">[1]WBF!#REF!</definedName>
    <definedName name="WQupDis12">WBF!#REF!</definedName>
    <definedName name="WQupDis13" localSheetId="6">[1]WBN!#REF!</definedName>
    <definedName name="WQupDis13">WBN!#REF!</definedName>
    <definedName name="WQupdis8" localSheetId="6">[1]INV!#REF!</definedName>
    <definedName name="WQupdis8">INV!#REF!</definedName>
    <definedName name="WQupDis9" localSheetId="6">[1]FA!#REF!</definedName>
    <definedName name="WQupDis9">FA!#REF!</definedName>
    <definedName name="Wscape">WBN!$G$193</definedName>
    <definedName name="Wscape14">SBM!$G$179</definedName>
    <definedName name="Z_B8E02330_2419_4DE6_AD01_7ACC7A5D18DD_.wvu.Cols" localSheetId="7" hidden="1">Scores!$I:$I,Scores!#REF!</definedName>
    <definedName name="Z_B8E02330_2419_4DE6_AD01_7ACC7A5D18DD_.wvu.PrintArea" localSheetId="5" hidden="1">F!$A$2:$D$307</definedName>
    <definedName name="Z_B8E02330_2419_4DE6_AD01_7ACC7A5D18DD_.wvu.PrintArea" localSheetId="3" hidden="1">OF!$A$3:$D$144</definedName>
    <definedName name="Z_B8E02330_2419_4DE6_AD01_7ACC7A5D18DD_.wvu.PrintArea" localSheetId="6" hidden="1">S!$A$2:$F$86</definedName>
    <definedName name="Z_B8E02330_2419_4DE6_AD01_7ACC7A5D18DD_.wvu.PrintArea" localSheetId="7" hidden="1">Scores!$A$1:$M$28</definedName>
  </definedNames>
  <calcPr calcId="191029"/>
  <customWorkbookViews>
    <customWorkbookView name="Paul Adamus - Personal View" guid="{B8E02330-2419-4DE6-AD01-7ACC7A5D18DD}" mergeInterval="0" personalView="1" maximized="1" xWindow="1" yWindow="1" windowWidth="1020" windowHeight="490" tabRatio="1000" activeSheetId="3"/>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 i="26" l="1"/>
  <c r="F6" i="26" s="1"/>
  <c r="C8" i="26"/>
  <c r="C7" i="26"/>
  <c r="C6" i="26"/>
  <c r="C5" i="26"/>
  <c r="C4" i="26"/>
  <c r="C3" i="26"/>
  <c r="D61" i="25"/>
  <c r="F61" i="25" s="1"/>
  <c r="C61" i="25"/>
  <c r="D60" i="25"/>
  <c r="F60" i="25" s="1"/>
  <c r="C60" i="25"/>
  <c r="D59" i="25"/>
  <c r="F59" i="25" s="1"/>
  <c r="C59" i="25"/>
  <c r="D7" i="26" l="1"/>
  <c r="D8" i="26"/>
  <c r="D66" i="22" l="1"/>
  <c r="C66" i="22"/>
  <c r="D65" i="22"/>
  <c r="C65" i="22"/>
  <c r="D64" i="22"/>
  <c r="C64" i="22"/>
  <c r="D63" i="22"/>
  <c r="F63" i="22" s="1"/>
  <c r="C63" i="22"/>
  <c r="F85" i="4" l="1"/>
  <c r="F86" i="4" s="1"/>
  <c r="F67" i="4"/>
  <c r="F68" i="4" s="1"/>
  <c r="F49" i="4"/>
  <c r="F50" i="4" s="1"/>
  <c r="F36" i="4"/>
  <c r="F37" i="4" s="1"/>
  <c r="F23" i="4"/>
  <c r="F24" i="4" s="1"/>
  <c r="O28" i="5" l="1"/>
  <c r="O27" i="5"/>
  <c r="O26" i="5"/>
  <c r="O25" i="5"/>
  <c r="O24" i="5"/>
  <c r="J24" i="5"/>
  <c r="O23" i="5"/>
  <c r="J23" i="5"/>
  <c r="O22" i="5"/>
  <c r="J22" i="5"/>
  <c r="O21" i="5"/>
  <c r="J21" i="5"/>
  <c r="O20" i="5"/>
  <c r="J20" i="5"/>
  <c r="O19" i="5"/>
  <c r="J19" i="5"/>
  <c r="O18" i="5"/>
  <c r="J18" i="5"/>
  <c r="O17" i="5"/>
  <c r="J17" i="5"/>
  <c r="O16" i="5"/>
  <c r="J16" i="5"/>
  <c r="J15" i="5"/>
  <c r="J14" i="5"/>
  <c r="O13" i="5"/>
  <c r="J13" i="5"/>
  <c r="O12" i="5"/>
  <c r="J12" i="5"/>
  <c r="O11" i="5"/>
  <c r="J11" i="5"/>
  <c r="O10" i="5"/>
  <c r="J10" i="5"/>
  <c r="O9" i="5"/>
  <c r="J9" i="5"/>
  <c r="O8" i="5"/>
  <c r="J8" i="5"/>
  <c r="G70" i="25" l="1"/>
  <c r="D13" i="12"/>
  <c r="D12" i="12"/>
  <c r="G69" i="25" l="1"/>
  <c r="G187" i="25" s="1"/>
  <c r="D11" i="13"/>
  <c r="D93" i="10"/>
  <c r="G65" i="21" l="1"/>
  <c r="G55" i="23"/>
  <c r="G55" i="25" l="1"/>
  <c r="G53" i="23"/>
  <c r="G37" i="19"/>
  <c r="G13" i="15"/>
  <c r="G8" i="17"/>
  <c r="G10" i="14"/>
  <c r="G3" i="13"/>
  <c r="G24" i="11"/>
  <c r="G15" i="10"/>
  <c r="G15" i="9"/>
  <c r="G53" i="12"/>
  <c r="G19" i="8"/>
  <c r="G176" i="21"/>
  <c r="G53" i="18"/>
  <c r="C24" i="16" l="1"/>
  <c r="C190" i="11"/>
  <c r="D54" i="23" l="1"/>
  <c r="G54" i="23" s="1"/>
  <c r="D116" i="19"/>
  <c r="D118" i="19"/>
  <c r="D117" i="19"/>
  <c r="C118" i="19"/>
  <c r="C117" i="19"/>
  <c r="C116" i="19"/>
  <c r="C115" i="19"/>
  <c r="B115" i="19"/>
  <c r="A115" i="19"/>
  <c r="C85" i="17"/>
  <c r="D85" i="17"/>
  <c r="G11" i="13"/>
  <c r="D192" i="11"/>
  <c r="D191" i="11"/>
  <c r="D194" i="11"/>
  <c r="G190" i="11" s="1"/>
  <c r="D193" i="11"/>
  <c r="C194" i="11"/>
  <c r="C193" i="11"/>
  <c r="C192" i="11"/>
  <c r="C191"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D129" i="10"/>
  <c r="D128" i="10"/>
  <c r="G127" i="10" s="1"/>
  <c r="D131" i="10"/>
  <c r="D130" i="10"/>
  <c r="C131" i="10"/>
  <c r="C130" i="10"/>
  <c r="C129" i="10"/>
  <c r="C128" i="10"/>
  <c r="C125" i="10"/>
  <c r="C124" i="10"/>
  <c r="C123" i="10"/>
  <c r="C122" i="10"/>
  <c r="C121" i="10"/>
  <c r="C120" i="10"/>
  <c r="C119" i="10"/>
  <c r="C118" i="10"/>
  <c r="C117" i="10"/>
  <c r="C116" i="10"/>
  <c r="C115" i="10"/>
  <c r="C114" i="10"/>
  <c r="C113" i="10"/>
  <c r="C112" i="10"/>
  <c r="C111" i="10"/>
  <c r="C110" i="10"/>
  <c r="C109" i="10"/>
  <c r="C107" i="10"/>
  <c r="C106" i="10"/>
  <c r="C105" i="10"/>
  <c r="C104" i="10"/>
  <c r="C108" i="10"/>
  <c r="C103" i="10"/>
  <c r="D104" i="10"/>
  <c r="D105" i="10"/>
  <c r="D106" i="10"/>
  <c r="D107" i="10"/>
  <c r="D109" i="10"/>
  <c r="D110" i="10"/>
  <c r="D111" i="10"/>
  <c r="D112" i="10"/>
  <c r="G115" i="19" l="1"/>
  <c r="D135" i="23"/>
  <c r="D139" i="23"/>
  <c r="D55" i="25"/>
  <c r="D53" i="23"/>
  <c r="D37" i="19"/>
  <c r="D13" i="15"/>
  <c r="D53" i="18"/>
  <c r="D19" i="8"/>
  <c r="D53" i="12"/>
  <c r="D15" i="9"/>
  <c r="D15" i="10"/>
  <c r="D24" i="11"/>
  <c r="D10" i="14"/>
  <c r="D3" i="13"/>
  <c r="D8" i="17"/>
  <c r="D120" i="15"/>
  <c r="D119" i="15"/>
  <c r="C119" i="15"/>
  <c r="D59" i="18"/>
  <c r="G59" i="18" s="1"/>
  <c r="C59" i="18"/>
  <c r="B59" i="18"/>
  <c r="A59" i="18"/>
  <c r="D14" i="15"/>
  <c r="G14" i="15" s="1"/>
  <c r="C14" i="15"/>
  <c r="B14" i="15"/>
  <c r="A14" i="15"/>
  <c r="G80" i="16"/>
  <c r="G33" i="11"/>
  <c r="C6" i="19" l="1"/>
  <c r="C30" i="24" l="1"/>
  <c r="C29" i="24"/>
  <c r="C28" i="24"/>
  <c r="C27" i="24"/>
  <c r="C26" i="24"/>
  <c r="C59" i="21"/>
  <c r="C42" i="20"/>
  <c r="C41" i="20"/>
  <c r="C40" i="20"/>
  <c r="C39" i="20"/>
  <c r="C38" i="20"/>
  <c r="C37" i="20"/>
  <c r="C36" i="20"/>
  <c r="C35" i="20"/>
  <c r="C34" i="20"/>
  <c r="C33" i="20"/>
  <c r="C32" i="20"/>
  <c r="C42" i="19"/>
  <c r="C41" i="19"/>
  <c r="C40" i="19"/>
  <c r="C39" i="19"/>
  <c r="C38" i="19"/>
  <c r="C37" i="19"/>
  <c r="C36" i="19"/>
  <c r="C35" i="19"/>
  <c r="C34" i="19"/>
  <c r="C33" i="19"/>
  <c r="C32" i="19"/>
  <c r="C58" i="18"/>
  <c r="C57" i="18"/>
  <c r="C56" i="18"/>
  <c r="C55" i="18"/>
  <c r="C54" i="18"/>
  <c r="C53" i="18"/>
  <c r="C49" i="18"/>
  <c r="C52" i="18"/>
  <c r="C51" i="18"/>
  <c r="C50" i="18"/>
  <c r="C48" i="18"/>
  <c r="C47" i="18"/>
  <c r="C46" i="18"/>
  <c r="C45" i="18"/>
  <c r="C44" i="18"/>
  <c r="C13" i="15"/>
  <c r="C12" i="15"/>
  <c r="C11" i="15"/>
  <c r="C10" i="15"/>
  <c r="C9" i="15"/>
  <c r="C14" i="17"/>
  <c r="C13" i="17"/>
  <c r="C12" i="17"/>
  <c r="C11" i="17"/>
  <c r="C10" i="17"/>
  <c r="C9" i="17"/>
  <c r="C8" i="17"/>
  <c r="C7" i="17"/>
  <c r="C6" i="17"/>
  <c r="C5" i="17"/>
  <c r="C4" i="17"/>
  <c r="C3" i="17"/>
  <c r="C23" i="16"/>
  <c r="C22" i="16"/>
  <c r="C21" i="16"/>
  <c r="C20" i="16"/>
  <c r="C19" i="16"/>
  <c r="C18" i="16"/>
  <c r="C17" i="16"/>
  <c r="C16" i="16"/>
  <c r="C15" i="16"/>
  <c r="G9" i="16"/>
  <c r="C14" i="16"/>
  <c r="C13" i="16"/>
  <c r="C12" i="16"/>
  <c r="C11" i="16"/>
  <c r="C10" i="16"/>
  <c r="C23" i="11"/>
  <c r="C22" i="11"/>
  <c r="C21" i="11"/>
  <c r="C20" i="11"/>
  <c r="C19" i="11"/>
  <c r="C18" i="11"/>
  <c r="C17" i="11"/>
  <c r="C16" i="11"/>
  <c r="C15" i="11"/>
  <c r="C14" i="11"/>
  <c r="C13" i="11"/>
  <c r="C12" i="11"/>
  <c r="C11" i="11"/>
  <c r="C10" i="11"/>
  <c r="C9" i="11"/>
  <c r="C8" i="11"/>
  <c r="C53" i="12"/>
  <c r="C15" i="9"/>
  <c r="C15" i="10"/>
  <c r="C8" i="10"/>
  <c r="C14" i="10"/>
  <c r="C13" i="10"/>
  <c r="C12" i="10"/>
  <c r="C11" i="10"/>
  <c r="C10" i="10"/>
  <c r="C9" i="10"/>
  <c r="C7" i="10"/>
  <c r="C6" i="10"/>
  <c r="C5" i="10"/>
  <c r="C4" i="10"/>
  <c r="C3" i="10"/>
  <c r="C118" i="9"/>
  <c r="C117" i="9"/>
  <c r="C116" i="9"/>
  <c r="C115" i="9"/>
  <c r="C114" i="9"/>
  <c r="C113" i="9"/>
  <c r="C112" i="9"/>
  <c r="C111" i="9"/>
  <c r="C110" i="9"/>
  <c r="C109" i="9"/>
  <c r="C108" i="9"/>
  <c r="C107" i="9"/>
  <c r="C106" i="9"/>
  <c r="C105" i="9"/>
  <c r="C104" i="9"/>
  <c r="C103" i="9"/>
  <c r="C102" i="9"/>
  <c r="C101" i="9"/>
  <c r="C100" i="9"/>
  <c r="C99" i="9"/>
  <c r="C98" i="9"/>
  <c r="C97" i="9"/>
  <c r="C96" i="9"/>
  <c r="A96" i="9"/>
  <c r="C48" i="12"/>
  <c r="C47" i="12"/>
  <c r="C46" i="12"/>
  <c r="C52" i="12"/>
  <c r="C51" i="12"/>
  <c r="C50" i="12"/>
  <c r="C49" i="12"/>
  <c r="C45" i="12"/>
  <c r="C6" i="12"/>
  <c r="C5" i="12"/>
  <c r="C4" i="12"/>
  <c r="C3" i="12"/>
  <c r="C6" i="31"/>
  <c r="C5" i="31"/>
  <c r="C4" i="31"/>
  <c r="C3" i="31"/>
  <c r="C19" i="8"/>
  <c r="C18" i="8"/>
  <c r="C17" i="8"/>
  <c r="C16" i="8"/>
  <c r="C15" i="8"/>
  <c r="C14" i="8"/>
  <c r="C13" i="8"/>
  <c r="C12" i="8"/>
  <c r="C11" i="8"/>
  <c r="C10" i="8"/>
  <c r="C9" i="8"/>
  <c r="C8" i="8"/>
  <c r="C7" i="8"/>
  <c r="C6" i="8"/>
  <c r="C5" i="8"/>
  <c r="C4" i="8"/>
  <c r="C3" i="8"/>
  <c r="C9" i="14"/>
  <c r="C8" i="14"/>
  <c r="C7" i="14"/>
  <c r="C6" i="14"/>
  <c r="C5" i="14"/>
  <c r="C4" i="14"/>
  <c r="C3" i="14"/>
  <c r="C10" i="14"/>
  <c r="C3" i="13"/>
  <c r="C24" i="11"/>
  <c r="C54" i="23"/>
  <c r="C53" i="23"/>
  <c r="C22" i="24"/>
  <c r="C25" i="24"/>
  <c r="C24" i="24"/>
  <c r="C23" i="24"/>
  <c r="C21" i="24"/>
  <c r="C20" i="24"/>
  <c r="C19" i="24"/>
  <c r="C18" i="24"/>
  <c r="C17" i="24"/>
  <c r="C58" i="25"/>
  <c r="C57" i="25"/>
  <c r="C56" i="25"/>
  <c r="C55" i="25"/>
  <c r="C54" i="25"/>
  <c r="C53" i="25"/>
  <c r="C52" i="25"/>
  <c r="C51" i="25"/>
  <c r="C50" i="25"/>
  <c r="A50" i="25"/>
  <c r="C30" i="27"/>
  <c r="C29" i="27"/>
  <c r="C28" i="27"/>
  <c r="C27" i="27"/>
  <c r="C26" i="27"/>
  <c r="C25" i="27"/>
  <c r="C24" i="27"/>
  <c r="C23" i="27"/>
  <c r="C22" i="27"/>
  <c r="C186" i="23"/>
  <c r="C87" i="22"/>
  <c r="C173" i="21"/>
  <c r="C172" i="21"/>
  <c r="C188" i="20"/>
  <c r="C187" i="20"/>
  <c r="C158" i="19"/>
  <c r="C157" i="19"/>
  <c r="C199" i="18"/>
  <c r="C87" i="8"/>
  <c r="C86" i="8"/>
  <c r="C85" i="8"/>
  <c r="C84" i="8"/>
  <c r="A84" i="8"/>
  <c r="C83" i="8"/>
  <c r="C82" i="8"/>
  <c r="C81" i="8"/>
  <c r="C80" i="8"/>
  <c r="A80" i="8"/>
  <c r="G49" i="25" l="1"/>
  <c r="G7" i="11"/>
  <c r="G44" i="12"/>
  <c r="G37" i="31"/>
  <c r="G79" i="8"/>
  <c r="B79" i="8"/>
  <c r="C79" i="8"/>
  <c r="D157" i="25" l="1"/>
  <c r="D156" i="25"/>
  <c r="D152" i="25"/>
  <c r="D159" i="25"/>
  <c r="D158" i="25"/>
  <c r="D154" i="25"/>
  <c r="D153" i="25"/>
  <c r="C159" i="25"/>
  <c r="C158" i="25"/>
  <c r="C157" i="25"/>
  <c r="C156" i="25"/>
  <c r="C154" i="25"/>
  <c r="C153" i="25"/>
  <c r="C152" i="25"/>
  <c r="D140" i="23"/>
  <c r="D142" i="23"/>
  <c r="G138" i="23" s="1"/>
  <c r="D141" i="23"/>
  <c r="D137" i="23"/>
  <c r="G134" i="23" s="1"/>
  <c r="D136" i="23"/>
  <c r="C142" i="23"/>
  <c r="C141" i="23"/>
  <c r="C140" i="23"/>
  <c r="C139" i="23"/>
  <c r="C137" i="23"/>
  <c r="C136" i="23"/>
  <c r="C135" i="23"/>
  <c r="D143" i="20"/>
  <c r="D145" i="20"/>
  <c r="G142" i="20" s="1"/>
  <c r="D144" i="20"/>
  <c r="C145" i="20"/>
  <c r="C144" i="20"/>
  <c r="C143" i="20"/>
  <c r="D158" i="18"/>
  <c r="D160" i="18"/>
  <c r="D159" i="18"/>
  <c r="C160" i="18"/>
  <c r="C159" i="18"/>
  <c r="C158" i="18"/>
  <c r="D122" i="15"/>
  <c r="D121" i="15"/>
  <c r="B123" i="15"/>
  <c r="D126" i="15"/>
  <c r="D125" i="15"/>
  <c r="D124" i="15"/>
  <c r="C126" i="15"/>
  <c r="C125" i="15"/>
  <c r="C124" i="15"/>
  <c r="C123" i="15"/>
  <c r="C122" i="15"/>
  <c r="C121" i="15"/>
  <c r="C120" i="15"/>
  <c r="D80" i="17"/>
  <c r="D84" i="17"/>
  <c r="D87" i="17"/>
  <c r="D86" i="17"/>
  <c r="C87" i="17"/>
  <c r="C86" i="17"/>
  <c r="C84" i="17"/>
  <c r="D82" i="17"/>
  <c r="D81" i="17"/>
  <c r="C81" i="17"/>
  <c r="C82" i="17"/>
  <c r="C80" i="17"/>
  <c r="D94" i="10"/>
  <c r="D125" i="11"/>
  <c r="D97" i="16"/>
  <c r="D99" i="16"/>
  <c r="D98" i="16"/>
  <c r="C98" i="16"/>
  <c r="C99" i="16"/>
  <c r="C97" i="16"/>
  <c r="D127" i="11"/>
  <c r="D126" i="11"/>
  <c r="C127" i="11"/>
  <c r="C125" i="11"/>
  <c r="D95" i="10"/>
  <c r="G92" i="10" s="1"/>
  <c r="C95" i="10"/>
  <c r="C93" i="10"/>
  <c r="G155" i="25" l="1"/>
  <c r="G157" i="18"/>
  <c r="G124" i="11"/>
  <c r="G96" i="16"/>
  <c r="G118" i="15"/>
  <c r="G151" i="25"/>
  <c r="G79" i="17"/>
  <c r="G83" i="17"/>
  <c r="G59" i="20"/>
  <c r="D24" i="16" l="1"/>
  <c r="G24" i="16" s="1"/>
  <c r="D14" i="17"/>
  <c r="G14" i="17" s="1"/>
  <c r="A9" i="16"/>
  <c r="B9" i="16"/>
  <c r="C9" i="16"/>
  <c r="B14" i="17" l="1"/>
  <c r="A14" i="17"/>
  <c r="B24" i="16" l="1"/>
  <c r="A24" i="16"/>
  <c r="D78" i="8" l="1"/>
  <c r="F78" i="8" s="1"/>
  <c r="D77" i="8"/>
  <c r="F77" i="8" s="1"/>
  <c r="D76" i="8"/>
  <c r="F76" i="8" s="1"/>
  <c r="D75" i="8"/>
  <c r="F75" i="8" s="1"/>
  <c r="G74" i="8" s="1"/>
  <c r="C78" i="8"/>
  <c r="C77" i="8"/>
  <c r="C76" i="8"/>
  <c r="C75" i="8"/>
  <c r="C74" i="8"/>
  <c r="D72" i="24"/>
  <c r="C72" i="24"/>
  <c r="D61" i="24"/>
  <c r="F61" i="24" s="1"/>
  <c r="C61" i="24"/>
  <c r="D30" i="24"/>
  <c r="D29" i="24"/>
  <c r="D28" i="24"/>
  <c r="D27" i="24"/>
  <c r="B26" i="24"/>
  <c r="A26" i="24"/>
  <c r="D51" i="24"/>
  <c r="C51" i="24"/>
  <c r="D44" i="24"/>
  <c r="C44" i="24"/>
  <c r="D39" i="24"/>
  <c r="C39" i="24"/>
  <c r="D38" i="24"/>
  <c r="C38" i="24"/>
  <c r="D37" i="24"/>
  <c r="C37" i="24"/>
  <c r="C36" i="24"/>
  <c r="B36" i="24"/>
  <c r="A36" i="24"/>
  <c r="D25" i="24"/>
  <c r="D24" i="24"/>
  <c r="D23" i="24"/>
  <c r="B22" i="24"/>
  <c r="A22" i="24"/>
  <c r="D35" i="24"/>
  <c r="C35" i="24"/>
  <c r="D34" i="24"/>
  <c r="C34" i="24"/>
  <c r="D33" i="24"/>
  <c r="C33" i="24"/>
  <c r="D32" i="24"/>
  <c r="C32" i="24"/>
  <c r="C31" i="24"/>
  <c r="B31" i="24"/>
  <c r="A31" i="24"/>
  <c r="D21" i="24"/>
  <c r="D20" i="24"/>
  <c r="D19" i="24"/>
  <c r="D18" i="24"/>
  <c r="D14" i="24"/>
  <c r="F14" i="24" s="1"/>
  <c r="C14" i="24"/>
  <c r="D4" i="24"/>
  <c r="C4" i="24"/>
  <c r="D168" i="25"/>
  <c r="F168" i="25" s="1"/>
  <c r="C168" i="25"/>
  <c r="D150" i="25"/>
  <c r="F150" i="25" s="1"/>
  <c r="C150" i="25"/>
  <c r="D149" i="25"/>
  <c r="F149" i="25" s="1"/>
  <c r="C149" i="25"/>
  <c r="D148" i="25"/>
  <c r="F148" i="25" s="1"/>
  <c r="C148" i="25"/>
  <c r="C147" i="25"/>
  <c r="B147" i="25"/>
  <c r="A147" i="25"/>
  <c r="D146" i="25"/>
  <c r="F146" i="25" s="1"/>
  <c r="C146" i="25"/>
  <c r="D145" i="25"/>
  <c r="F145" i="25" s="1"/>
  <c r="C145" i="25"/>
  <c r="D140" i="25"/>
  <c r="F140" i="25" s="1"/>
  <c r="C140" i="25"/>
  <c r="D139" i="25"/>
  <c r="F139" i="25" s="1"/>
  <c r="C139" i="25"/>
  <c r="D138" i="25"/>
  <c r="F138" i="25" s="1"/>
  <c r="C138" i="25"/>
  <c r="D137" i="25"/>
  <c r="F137" i="25" s="1"/>
  <c r="C137" i="25"/>
  <c r="D136" i="25"/>
  <c r="F136" i="25" s="1"/>
  <c r="C136" i="25"/>
  <c r="D135" i="25"/>
  <c r="F135" i="25" s="1"/>
  <c r="C135" i="25"/>
  <c r="C134" i="25"/>
  <c r="B134" i="25"/>
  <c r="A134" i="25"/>
  <c r="D133" i="25"/>
  <c r="F133" i="25" s="1"/>
  <c r="C133" i="25"/>
  <c r="D132" i="25"/>
  <c r="F132" i="25" s="1"/>
  <c r="C132" i="25"/>
  <c r="D131" i="25"/>
  <c r="F131" i="25" s="1"/>
  <c r="C131" i="25"/>
  <c r="D130" i="25"/>
  <c r="F130" i="25" s="1"/>
  <c r="C130" i="25"/>
  <c r="D129" i="25"/>
  <c r="F129" i="25" s="1"/>
  <c r="C129" i="25"/>
  <c r="C128" i="25"/>
  <c r="B128" i="25"/>
  <c r="A128" i="25"/>
  <c r="D127" i="25"/>
  <c r="F127" i="25" s="1"/>
  <c r="C127" i="25"/>
  <c r="D126" i="25"/>
  <c r="F126" i="25" s="1"/>
  <c r="C126" i="25"/>
  <c r="D125" i="25"/>
  <c r="F125" i="25" s="1"/>
  <c r="C125" i="25"/>
  <c r="D124" i="25"/>
  <c r="F124" i="25" s="1"/>
  <c r="C124" i="25"/>
  <c r="D123" i="25"/>
  <c r="F123" i="25" s="1"/>
  <c r="C123" i="25"/>
  <c r="C122" i="25"/>
  <c r="B122" i="25"/>
  <c r="A122" i="25"/>
  <c r="D121" i="25"/>
  <c r="F121" i="25" s="1"/>
  <c r="C121" i="25"/>
  <c r="D120" i="25"/>
  <c r="F120" i="25" s="1"/>
  <c r="C120" i="25"/>
  <c r="D119" i="25"/>
  <c r="F119" i="25" s="1"/>
  <c r="C119" i="25"/>
  <c r="D118" i="25"/>
  <c r="F118" i="25" s="1"/>
  <c r="C118" i="25"/>
  <c r="D117" i="25"/>
  <c r="F117" i="25" s="1"/>
  <c r="C117" i="25"/>
  <c r="D116" i="25"/>
  <c r="F116" i="25" s="1"/>
  <c r="C116" i="25"/>
  <c r="C115" i="25"/>
  <c r="B115" i="25"/>
  <c r="A115" i="25"/>
  <c r="D114" i="25"/>
  <c r="F114" i="25" s="1"/>
  <c r="C114" i="25"/>
  <c r="D113" i="25"/>
  <c r="F113" i="25" s="1"/>
  <c r="C113" i="25"/>
  <c r="D112" i="25"/>
  <c r="F112" i="25" s="1"/>
  <c r="C112" i="25"/>
  <c r="D111" i="25"/>
  <c r="C111" i="25"/>
  <c r="D110" i="25"/>
  <c r="F110" i="25" s="1"/>
  <c r="C110" i="25"/>
  <c r="C109" i="25"/>
  <c r="B109" i="25"/>
  <c r="A109" i="25"/>
  <c r="D108" i="25"/>
  <c r="F108" i="25" s="1"/>
  <c r="C108" i="25"/>
  <c r="D107" i="25"/>
  <c r="F107" i="25" s="1"/>
  <c r="C107" i="25"/>
  <c r="C106" i="25"/>
  <c r="B106" i="25"/>
  <c r="A106" i="25"/>
  <c r="D104" i="25"/>
  <c r="F104" i="25" s="1"/>
  <c r="C104" i="25"/>
  <c r="C89" i="25"/>
  <c r="B89" i="25"/>
  <c r="A89" i="25"/>
  <c r="C86" i="25"/>
  <c r="D73" i="25"/>
  <c r="F73" i="25" s="1"/>
  <c r="C73" i="25"/>
  <c r="C69" i="25"/>
  <c r="B69" i="25"/>
  <c r="A69" i="25"/>
  <c r="D68" i="25"/>
  <c r="C68" i="25"/>
  <c r="D58" i="25"/>
  <c r="D57" i="25"/>
  <c r="B56" i="25"/>
  <c r="A56" i="25"/>
  <c r="B55" i="25"/>
  <c r="A55" i="25"/>
  <c r="D54" i="25"/>
  <c r="D53" i="25"/>
  <c r="D52" i="25"/>
  <c r="D51" i="25"/>
  <c r="B50" i="25"/>
  <c r="D48" i="25"/>
  <c r="C48" i="25"/>
  <c r="D37" i="25"/>
  <c r="C37" i="25"/>
  <c r="C24" i="25"/>
  <c r="B24" i="25"/>
  <c r="A24" i="25"/>
  <c r="C16" i="25"/>
  <c r="B16" i="25"/>
  <c r="A16" i="25"/>
  <c r="D8" i="25"/>
  <c r="C8" i="25"/>
  <c r="D6" i="25"/>
  <c r="C6" i="25"/>
  <c r="D5" i="25"/>
  <c r="C5" i="25"/>
  <c r="D4" i="25"/>
  <c r="C4" i="25"/>
  <c r="C3" i="25"/>
  <c r="B3" i="25"/>
  <c r="A3" i="25"/>
  <c r="C26" i="26"/>
  <c r="D25" i="26"/>
  <c r="C25" i="26"/>
  <c r="D24" i="26"/>
  <c r="C24" i="26"/>
  <c r="D23" i="26"/>
  <c r="C23" i="26"/>
  <c r="C22" i="26"/>
  <c r="B22" i="26"/>
  <c r="A22" i="26"/>
  <c r="D21" i="26"/>
  <c r="C21" i="26"/>
  <c r="D20" i="26"/>
  <c r="F20" i="26" s="1"/>
  <c r="C20" i="26"/>
  <c r="C19" i="26"/>
  <c r="B19" i="26"/>
  <c r="A19" i="26"/>
  <c r="D17" i="26"/>
  <c r="F17" i="26" s="1"/>
  <c r="C17" i="26"/>
  <c r="D5" i="26"/>
  <c r="D4" i="26"/>
  <c r="B3" i="26"/>
  <c r="A3" i="26"/>
  <c r="D49" i="27"/>
  <c r="C49" i="27"/>
  <c r="D39" i="27"/>
  <c r="C39" i="27"/>
  <c r="D31" i="27"/>
  <c r="G31" i="27" s="1"/>
  <c r="C31" i="27"/>
  <c r="B31" i="27"/>
  <c r="A31" i="27"/>
  <c r="D30" i="27"/>
  <c r="D29" i="27"/>
  <c r="D28" i="27"/>
  <c r="D27" i="27"/>
  <c r="B26" i="27"/>
  <c r="A26" i="27"/>
  <c r="D25" i="27"/>
  <c r="B25" i="27"/>
  <c r="A25" i="27"/>
  <c r="D24" i="27"/>
  <c r="B24" i="27"/>
  <c r="A24" i="27"/>
  <c r="D23" i="27"/>
  <c r="B23" i="27"/>
  <c r="A23" i="27"/>
  <c r="D22" i="27"/>
  <c r="B22" i="27"/>
  <c r="A22" i="27"/>
  <c r="D18" i="27"/>
  <c r="F18" i="27" s="1"/>
  <c r="C18" i="27"/>
  <c r="D14" i="27"/>
  <c r="F14" i="27" s="1"/>
  <c r="C14" i="27"/>
  <c r="D4" i="27"/>
  <c r="C4" i="27"/>
  <c r="B188" i="23"/>
  <c r="D186" i="23"/>
  <c r="G186" i="23" s="1"/>
  <c r="B186" i="23"/>
  <c r="A186" i="23"/>
  <c r="B181" i="23"/>
  <c r="A181" i="23"/>
  <c r="D174" i="23"/>
  <c r="F174" i="23" s="1"/>
  <c r="C174" i="23"/>
  <c r="D162" i="23"/>
  <c r="F162" i="23" s="1"/>
  <c r="C162" i="23"/>
  <c r="D155" i="23"/>
  <c r="F155" i="23" s="1"/>
  <c r="C155" i="23"/>
  <c r="D133" i="23"/>
  <c r="C133" i="23"/>
  <c r="B133" i="23"/>
  <c r="A133" i="23"/>
  <c r="D132" i="23"/>
  <c r="F132" i="23" s="1"/>
  <c r="C132" i="23"/>
  <c r="D131" i="23"/>
  <c r="F131" i="23" s="1"/>
  <c r="C131" i="23"/>
  <c r="D130" i="23"/>
  <c r="F130" i="23" s="1"/>
  <c r="C130" i="23"/>
  <c r="C129" i="23"/>
  <c r="B129" i="23"/>
  <c r="A129" i="23"/>
  <c r="D128" i="23"/>
  <c r="F128" i="23" s="1"/>
  <c r="C128" i="23"/>
  <c r="D127" i="23"/>
  <c r="F127" i="23" s="1"/>
  <c r="C127" i="23"/>
  <c r="D126" i="23"/>
  <c r="F126" i="23" s="1"/>
  <c r="C126" i="23"/>
  <c r="D125" i="23"/>
  <c r="F125" i="23" s="1"/>
  <c r="C125" i="23"/>
  <c r="D124" i="23"/>
  <c r="F124" i="23" s="1"/>
  <c r="C124" i="23"/>
  <c r="D123" i="23"/>
  <c r="F123" i="23" s="1"/>
  <c r="C123" i="23"/>
  <c r="C122" i="23"/>
  <c r="B122" i="23"/>
  <c r="A122" i="23"/>
  <c r="D121" i="23"/>
  <c r="F121" i="23" s="1"/>
  <c r="C121" i="23"/>
  <c r="D120" i="23"/>
  <c r="F120" i="23" s="1"/>
  <c r="C120" i="23"/>
  <c r="D119" i="23"/>
  <c r="F119" i="23" s="1"/>
  <c r="C119" i="23"/>
  <c r="D118" i="23"/>
  <c r="F118" i="23" s="1"/>
  <c r="C118" i="23"/>
  <c r="D117" i="23"/>
  <c r="F117" i="23" s="1"/>
  <c r="C117" i="23"/>
  <c r="C116" i="23"/>
  <c r="B116" i="23"/>
  <c r="A116" i="23"/>
  <c r="D115" i="23"/>
  <c r="F115" i="23" s="1"/>
  <c r="C115" i="23"/>
  <c r="D114" i="23"/>
  <c r="F114" i="23" s="1"/>
  <c r="C114" i="23"/>
  <c r="D113" i="23"/>
  <c r="F113" i="23" s="1"/>
  <c r="C113" i="23"/>
  <c r="D112" i="23"/>
  <c r="F112" i="23" s="1"/>
  <c r="C112" i="23"/>
  <c r="D111" i="23"/>
  <c r="F111" i="23" s="1"/>
  <c r="C111" i="23"/>
  <c r="C110" i="23"/>
  <c r="B110" i="23"/>
  <c r="A110" i="23"/>
  <c r="D109" i="23"/>
  <c r="F109" i="23" s="1"/>
  <c r="C109" i="23"/>
  <c r="D108" i="23"/>
  <c r="F108" i="23" s="1"/>
  <c r="C108" i="23"/>
  <c r="D107" i="23"/>
  <c r="F107" i="23" s="1"/>
  <c r="C107" i="23"/>
  <c r="D106" i="23"/>
  <c r="F106" i="23" s="1"/>
  <c r="C106" i="23"/>
  <c r="D105" i="23"/>
  <c r="F105" i="23" s="1"/>
  <c r="C105" i="23"/>
  <c r="C104" i="23"/>
  <c r="B104" i="23"/>
  <c r="A104" i="23"/>
  <c r="D103" i="23"/>
  <c r="F103" i="23" s="1"/>
  <c r="C103" i="23"/>
  <c r="D102" i="23"/>
  <c r="F102" i="23" s="1"/>
  <c r="C102" i="23"/>
  <c r="D101" i="23"/>
  <c r="F101" i="23" s="1"/>
  <c r="C101" i="23"/>
  <c r="D100" i="23"/>
  <c r="F100" i="23" s="1"/>
  <c r="C100" i="23"/>
  <c r="D99" i="23"/>
  <c r="F99" i="23" s="1"/>
  <c r="C99" i="23"/>
  <c r="D98" i="23"/>
  <c r="F98" i="23" s="1"/>
  <c r="C98" i="23"/>
  <c r="C97" i="23"/>
  <c r="B97" i="23"/>
  <c r="A97" i="23"/>
  <c r="D96" i="23"/>
  <c r="F96" i="23" s="1"/>
  <c r="C96" i="23"/>
  <c r="D95" i="23"/>
  <c r="F95" i="23" s="1"/>
  <c r="C95" i="23"/>
  <c r="D94" i="23"/>
  <c r="F94" i="23" s="1"/>
  <c r="C94" i="23"/>
  <c r="D93" i="23"/>
  <c r="F93" i="23" s="1"/>
  <c r="C93" i="23"/>
  <c r="C92" i="23"/>
  <c r="B92" i="23"/>
  <c r="A92" i="23"/>
  <c r="D91" i="23"/>
  <c r="C91" i="23"/>
  <c r="D90" i="23"/>
  <c r="C90" i="23"/>
  <c r="D89" i="23"/>
  <c r="C89" i="23"/>
  <c r="D88" i="23"/>
  <c r="C88" i="23"/>
  <c r="D87" i="23"/>
  <c r="C87" i="23"/>
  <c r="C86" i="23"/>
  <c r="B86" i="23"/>
  <c r="A86" i="23"/>
  <c r="D85" i="23"/>
  <c r="C85" i="23"/>
  <c r="D84" i="23"/>
  <c r="F84" i="23" s="1"/>
  <c r="C84" i="23"/>
  <c r="C83" i="23"/>
  <c r="B83" i="23"/>
  <c r="A83" i="23"/>
  <c r="D81" i="23"/>
  <c r="C81" i="23"/>
  <c r="D75" i="23"/>
  <c r="C75" i="23"/>
  <c r="C67" i="23"/>
  <c r="B67" i="23"/>
  <c r="A67" i="23"/>
  <c r="C64" i="23"/>
  <c r="D56" i="23"/>
  <c r="G56" i="23" s="1"/>
  <c r="C55" i="23"/>
  <c r="B55" i="23"/>
  <c r="A55" i="23"/>
  <c r="B54" i="23"/>
  <c r="A54" i="23"/>
  <c r="B53" i="23"/>
  <c r="A53" i="23"/>
  <c r="D52" i="23"/>
  <c r="C52" i="23"/>
  <c r="D43" i="23"/>
  <c r="C43" i="23"/>
  <c r="D33" i="23"/>
  <c r="C33" i="23"/>
  <c r="C26" i="23"/>
  <c r="B26" i="23"/>
  <c r="A26" i="23"/>
  <c r="C18" i="23"/>
  <c r="B18" i="23"/>
  <c r="A18" i="23"/>
  <c r="D9" i="23"/>
  <c r="C9" i="23"/>
  <c r="D8" i="23"/>
  <c r="C8" i="23"/>
  <c r="D7" i="23"/>
  <c r="C7" i="23"/>
  <c r="D6" i="23"/>
  <c r="C6" i="23"/>
  <c r="D5" i="23"/>
  <c r="C5" i="23"/>
  <c r="D4" i="23"/>
  <c r="C4" i="23"/>
  <c r="D87" i="22"/>
  <c r="B87" i="22"/>
  <c r="A87" i="22"/>
  <c r="D82" i="22"/>
  <c r="F82" i="22" s="1"/>
  <c r="C82" i="22"/>
  <c r="B82" i="22"/>
  <c r="A82" i="22"/>
  <c r="D77" i="22"/>
  <c r="C77" i="22"/>
  <c r="D72" i="22"/>
  <c r="F72" i="22" s="1"/>
  <c r="C72" i="22"/>
  <c r="D71" i="22"/>
  <c r="C71" i="22"/>
  <c r="D70" i="22"/>
  <c r="C70" i="22"/>
  <c r="D69" i="22"/>
  <c r="C69" i="22"/>
  <c r="D68" i="22"/>
  <c r="C68" i="22"/>
  <c r="C67" i="22"/>
  <c r="B67" i="22"/>
  <c r="A67" i="22"/>
  <c r="D62" i="22"/>
  <c r="C62" i="22"/>
  <c r="C61" i="22"/>
  <c r="B61" i="22"/>
  <c r="A61" i="22"/>
  <c r="D60" i="22"/>
  <c r="C60" i="22"/>
  <c r="D59" i="22"/>
  <c r="C59" i="22"/>
  <c r="C58" i="22"/>
  <c r="B58" i="22"/>
  <c r="A58" i="22"/>
  <c r="D50" i="22"/>
  <c r="C50" i="22"/>
  <c r="D30" i="22"/>
  <c r="C30" i="22"/>
  <c r="D21" i="22"/>
  <c r="F21" i="22" s="1"/>
  <c r="C21" i="22"/>
  <c r="D19" i="22"/>
  <c r="F19" i="22" s="1"/>
  <c r="C19" i="22"/>
  <c r="D18" i="22"/>
  <c r="F18" i="22" s="1"/>
  <c r="C18" i="22"/>
  <c r="C17" i="22"/>
  <c r="B17" i="22"/>
  <c r="A17" i="22"/>
  <c r="C11" i="22"/>
  <c r="B11" i="22"/>
  <c r="A11" i="22"/>
  <c r="C3" i="22"/>
  <c r="B3" i="22"/>
  <c r="A3" i="22"/>
  <c r="D173" i="21"/>
  <c r="G173" i="21" s="1"/>
  <c r="B173" i="21"/>
  <c r="A173" i="21"/>
  <c r="D172" i="21"/>
  <c r="G172" i="21" s="1"/>
  <c r="B172" i="21"/>
  <c r="A172" i="21"/>
  <c r="D171" i="21"/>
  <c r="F171" i="21" s="1"/>
  <c r="C171" i="21"/>
  <c r="D158" i="21"/>
  <c r="F158" i="21" s="1"/>
  <c r="C158" i="21"/>
  <c r="D148" i="21"/>
  <c r="F148" i="21" s="1"/>
  <c r="C148" i="21"/>
  <c r="B148" i="21"/>
  <c r="A148" i="21"/>
  <c r="D143" i="21"/>
  <c r="F143" i="21" s="1"/>
  <c r="C143" i="21"/>
  <c r="D134" i="21"/>
  <c r="F134" i="21" s="1"/>
  <c r="C134" i="21"/>
  <c r="D133" i="21"/>
  <c r="F133" i="21" s="1"/>
  <c r="C133" i="21"/>
  <c r="D132" i="21"/>
  <c r="F132" i="21" s="1"/>
  <c r="C132" i="21"/>
  <c r="C131" i="21"/>
  <c r="B131" i="21"/>
  <c r="A131" i="21"/>
  <c r="D130" i="21"/>
  <c r="F130" i="21" s="1"/>
  <c r="C130" i="21"/>
  <c r="D129" i="21"/>
  <c r="F129" i="21" s="1"/>
  <c r="C129" i="21"/>
  <c r="D128" i="21"/>
  <c r="F128" i="21" s="1"/>
  <c r="C128" i="21"/>
  <c r="D127" i="21"/>
  <c r="F127" i="21" s="1"/>
  <c r="C127" i="21"/>
  <c r="D126" i="21"/>
  <c r="F126" i="21" s="1"/>
  <c r="C126" i="21"/>
  <c r="D125" i="21"/>
  <c r="F125" i="21" s="1"/>
  <c r="C125" i="21"/>
  <c r="C124" i="21"/>
  <c r="B124" i="21"/>
  <c r="A124" i="21"/>
  <c r="D123" i="21"/>
  <c r="F123" i="21" s="1"/>
  <c r="C123" i="21"/>
  <c r="D122" i="21"/>
  <c r="F122" i="21" s="1"/>
  <c r="C122" i="21"/>
  <c r="D121" i="21"/>
  <c r="F121" i="21" s="1"/>
  <c r="C121" i="21"/>
  <c r="D120" i="21"/>
  <c r="F120" i="21" s="1"/>
  <c r="C120" i="21"/>
  <c r="D119" i="21"/>
  <c r="F119" i="21" s="1"/>
  <c r="C119" i="21"/>
  <c r="C118" i="21"/>
  <c r="B118" i="21"/>
  <c r="A118" i="21"/>
  <c r="D117" i="21"/>
  <c r="F117" i="21" s="1"/>
  <c r="C117" i="21"/>
  <c r="D116" i="21"/>
  <c r="F116" i="21" s="1"/>
  <c r="C116" i="21"/>
  <c r="D115" i="21"/>
  <c r="F115" i="21" s="1"/>
  <c r="C115" i="21"/>
  <c r="D114" i="21"/>
  <c r="F114" i="21" s="1"/>
  <c r="C114" i="21"/>
  <c r="D113" i="21"/>
  <c r="F113" i="21" s="1"/>
  <c r="C113" i="21"/>
  <c r="D112" i="21"/>
  <c r="F112" i="21" s="1"/>
  <c r="C112" i="21"/>
  <c r="C111" i="21"/>
  <c r="B111" i="21"/>
  <c r="A111" i="21"/>
  <c r="D105" i="21"/>
  <c r="F105" i="21" s="1"/>
  <c r="C105" i="21"/>
  <c r="C92" i="21"/>
  <c r="B92" i="21"/>
  <c r="A92" i="21"/>
  <c r="C82" i="21"/>
  <c r="D72" i="21"/>
  <c r="C72" i="21"/>
  <c r="C65" i="21"/>
  <c r="B65" i="21"/>
  <c r="A65" i="21"/>
  <c r="D64" i="21"/>
  <c r="C64" i="21"/>
  <c r="D63" i="21"/>
  <c r="C63" i="21"/>
  <c r="D62" i="21"/>
  <c r="C62" i="21"/>
  <c r="D61" i="21"/>
  <c r="C61" i="21"/>
  <c r="C60" i="21"/>
  <c r="B60" i="21"/>
  <c r="A60" i="21"/>
  <c r="D59" i="21"/>
  <c r="B59" i="21"/>
  <c r="A59" i="21"/>
  <c r="D58" i="21"/>
  <c r="C58" i="21"/>
  <c r="C54" i="21"/>
  <c r="D46" i="21"/>
  <c r="C46" i="21"/>
  <c r="D36" i="21"/>
  <c r="C36" i="21"/>
  <c r="C26" i="21"/>
  <c r="B26" i="21"/>
  <c r="A26" i="21"/>
  <c r="C18" i="21"/>
  <c r="B18" i="21"/>
  <c r="A18" i="21"/>
  <c r="D9" i="21"/>
  <c r="C9" i="21"/>
  <c r="D8" i="21"/>
  <c r="C8" i="21"/>
  <c r="D7" i="21"/>
  <c r="C7" i="21"/>
  <c r="D6" i="21"/>
  <c r="C6" i="21"/>
  <c r="D5" i="21"/>
  <c r="C5" i="21"/>
  <c r="D4" i="21"/>
  <c r="C4" i="21"/>
  <c r="D188" i="20"/>
  <c r="G188" i="20" s="1"/>
  <c r="B188" i="20"/>
  <c r="A188" i="20"/>
  <c r="D187" i="20"/>
  <c r="G187" i="20" s="1"/>
  <c r="B187" i="20"/>
  <c r="A187" i="20"/>
  <c r="F186" i="20"/>
  <c r="C186" i="20"/>
  <c r="D173" i="20"/>
  <c r="F173" i="20" s="1"/>
  <c r="C173" i="20"/>
  <c r="D159" i="20"/>
  <c r="F159" i="20" s="1"/>
  <c r="C159" i="20"/>
  <c r="C150" i="20"/>
  <c r="B150" i="20"/>
  <c r="A150" i="20"/>
  <c r="D140" i="20"/>
  <c r="F140" i="20" s="1"/>
  <c r="C140" i="20"/>
  <c r="D139" i="20"/>
  <c r="F139" i="20" s="1"/>
  <c r="C139" i="20"/>
  <c r="D138" i="20"/>
  <c r="F138" i="20" s="1"/>
  <c r="C138" i="20"/>
  <c r="C137" i="20"/>
  <c r="B137" i="20"/>
  <c r="A137" i="20"/>
  <c r="D136" i="20"/>
  <c r="F136" i="20" s="1"/>
  <c r="C136" i="20"/>
  <c r="D135" i="20"/>
  <c r="F135" i="20" s="1"/>
  <c r="C135" i="20"/>
  <c r="D134" i="20"/>
  <c r="F134" i="20" s="1"/>
  <c r="C134" i="20"/>
  <c r="D133" i="20"/>
  <c r="F133" i="20" s="1"/>
  <c r="C133" i="20"/>
  <c r="C132" i="20"/>
  <c r="B132" i="20"/>
  <c r="A132" i="20"/>
  <c r="D131" i="20"/>
  <c r="F131" i="20" s="1"/>
  <c r="C131" i="20"/>
  <c r="D130" i="20"/>
  <c r="F130" i="20" s="1"/>
  <c r="C130" i="20"/>
  <c r="D129" i="20"/>
  <c r="F129" i="20" s="1"/>
  <c r="C129" i="20"/>
  <c r="D128" i="20"/>
  <c r="F128" i="20" s="1"/>
  <c r="C128" i="20"/>
  <c r="D127" i="20"/>
  <c r="F127" i="20" s="1"/>
  <c r="C127" i="20"/>
  <c r="C126" i="20"/>
  <c r="B126" i="20"/>
  <c r="A126" i="20"/>
  <c r="D125" i="20"/>
  <c r="F125" i="20" s="1"/>
  <c r="C125" i="20"/>
  <c r="D124" i="20"/>
  <c r="F124" i="20" s="1"/>
  <c r="C124" i="20"/>
  <c r="D123" i="20"/>
  <c r="F123" i="20" s="1"/>
  <c r="C123" i="20"/>
  <c r="D122" i="20"/>
  <c r="F122" i="20" s="1"/>
  <c r="C122" i="20"/>
  <c r="D121" i="20"/>
  <c r="F121" i="20" s="1"/>
  <c r="C121" i="20"/>
  <c r="D120" i="20"/>
  <c r="F120" i="20" s="1"/>
  <c r="C120" i="20"/>
  <c r="C119" i="20"/>
  <c r="B119" i="20"/>
  <c r="A119" i="20"/>
  <c r="D118" i="20"/>
  <c r="F118" i="20" s="1"/>
  <c r="C118" i="20"/>
  <c r="D117" i="20"/>
  <c r="F117" i="20" s="1"/>
  <c r="C117" i="20"/>
  <c r="D116" i="20"/>
  <c r="F116" i="20" s="1"/>
  <c r="C116" i="20"/>
  <c r="D115" i="20"/>
  <c r="F115" i="20" s="1"/>
  <c r="C115" i="20"/>
  <c r="D114" i="20"/>
  <c r="F114" i="20" s="1"/>
  <c r="C114" i="20"/>
  <c r="D113" i="20"/>
  <c r="F113" i="20" s="1"/>
  <c r="C113" i="20"/>
  <c r="C112" i="20"/>
  <c r="B112" i="20"/>
  <c r="A112" i="20"/>
  <c r="D111" i="20"/>
  <c r="F111" i="20" s="1"/>
  <c r="C111" i="20"/>
  <c r="D110" i="20"/>
  <c r="F110" i="20" s="1"/>
  <c r="C110" i="20"/>
  <c r="D109" i="20"/>
  <c r="F109" i="20" s="1"/>
  <c r="C109" i="20"/>
  <c r="D108" i="20"/>
  <c r="F108" i="20" s="1"/>
  <c r="C108" i="20"/>
  <c r="D107" i="20"/>
  <c r="F107" i="20" s="1"/>
  <c r="C107" i="20"/>
  <c r="C106" i="20"/>
  <c r="B106" i="20"/>
  <c r="A106" i="20"/>
  <c r="D105" i="20"/>
  <c r="F105" i="20" s="1"/>
  <c r="C105" i="20"/>
  <c r="D104" i="20"/>
  <c r="F104" i="20" s="1"/>
  <c r="C104" i="20"/>
  <c r="D103" i="20"/>
  <c r="F103" i="20" s="1"/>
  <c r="C103" i="20"/>
  <c r="C102" i="20"/>
  <c r="B102" i="20"/>
  <c r="A102" i="20"/>
  <c r="D101" i="20"/>
  <c r="F101" i="20" s="1"/>
  <c r="C101" i="20"/>
  <c r="D100" i="20"/>
  <c r="F100" i="20" s="1"/>
  <c r="C100" i="20"/>
  <c r="D99" i="20"/>
  <c r="C99" i="20"/>
  <c r="D98" i="20"/>
  <c r="C98" i="20"/>
  <c r="D97" i="20"/>
  <c r="C97" i="20"/>
  <c r="C96" i="20"/>
  <c r="B96" i="20"/>
  <c r="A96" i="20"/>
  <c r="D95" i="20"/>
  <c r="C95" i="20"/>
  <c r="D94" i="20"/>
  <c r="C94" i="20"/>
  <c r="D93" i="20"/>
  <c r="C93" i="20"/>
  <c r="D92" i="20"/>
  <c r="C92" i="20"/>
  <c r="D91" i="20"/>
  <c r="F91" i="20" s="1"/>
  <c r="C91" i="20"/>
  <c r="C90" i="20"/>
  <c r="B90" i="20"/>
  <c r="A90" i="20"/>
  <c r="D89" i="20"/>
  <c r="C89" i="20"/>
  <c r="D88" i="20"/>
  <c r="C88" i="20"/>
  <c r="D87" i="20"/>
  <c r="C87" i="20"/>
  <c r="D86" i="20"/>
  <c r="C86" i="20"/>
  <c r="D85" i="20"/>
  <c r="C85" i="20"/>
  <c r="C84" i="20"/>
  <c r="B84" i="20"/>
  <c r="A84" i="20"/>
  <c r="D83" i="20"/>
  <c r="C83" i="20"/>
  <c r="D82" i="20"/>
  <c r="C82" i="20"/>
  <c r="D81" i="20"/>
  <c r="F81" i="20" s="1"/>
  <c r="C81" i="20"/>
  <c r="D80" i="20"/>
  <c r="C80" i="20"/>
  <c r="D79" i="20"/>
  <c r="C79" i="20"/>
  <c r="C78" i="20"/>
  <c r="B78" i="20"/>
  <c r="A78" i="20"/>
  <c r="D77" i="20"/>
  <c r="C77" i="20"/>
  <c r="D76" i="20"/>
  <c r="C76" i="20"/>
  <c r="D75" i="20"/>
  <c r="C75" i="20"/>
  <c r="D74" i="20"/>
  <c r="C74" i="20"/>
  <c r="D73" i="20"/>
  <c r="C73" i="20"/>
  <c r="D72" i="20"/>
  <c r="C72" i="20"/>
  <c r="C71" i="20"/>
  <c r="B71" i="20"/>
  <c r="A71" i="20"/>
  <c r="D70" i="20"/>
  <c r="G70" i="20" s="1"/>
  <c r="C70" i="20"/>
  <c r="B70" i="20"/>
  <c r="A70" i="20"/>
  <c r="D69" i="20"/>
  <c r="G69" i="20" s="1"/>
  <c r="C69" i="20"/>
  <c r="B69" i="20"/>
  <c r="A69" i="20"/>
  <c r="D66" i="20"/>
  <c r="C66" i="20"/>
  <c r="D53" i="20"/>
  <c r="C53" i="20"/>
  <c r="D49" i="20"/>
  <c r="C49" i="20"/>
  <c r="D42" i="20"/>
  <c r="G42" i="20" s="1"/>
  <c r="B42" i="20"/>
  <c r="A42" i="20"/>
  <c r="D41" i="20"/>
  <c r="F41" i="20" s="1"/>
  <c r="D40" i="20"/>
  <c r="D39" i="20"/>
  <c r="D38" i="20"/>
  <c r="G37" i="20"/>
  <c r="B37" i="20"/>
  <c r="A37" i="20"/>
  <c r="D36" i="20"/>
  <c r="D35" i="20"/>
  <c r="D34" i="20"/>
  <c r="D33" i="20"/>
  <c r="D24" i="20"/>
  <c r="C24" i="20"/>
  <c r="D15" i="20"/>
  <c r="F15" i="20" s="1"/>
  <c r="C15" i="20"/>
  <c r="D9" i="20"/>
  <c r="C9" i="20"/>
  <c r="D8" i="20"/>
  <c r="C8" i="20"/>
  <c r="D7" i="20"/>
  <c r="C7" i="20"/>
  <c r="D6" i="20"/>
  <c r="C6" i="20"/>
  <c r="D5" i="20"/>
  <c r="C5" i="20"/>
  <c r="D4" i="20"/>
  <c r="C4" i="20"/>
  <c r="D158" i="19"/>
  <c r="G158" i="19" s="1"/>
  <c r="B158" i="19"/>
  <c r="A158" i="19"/>
  <c r="D157" i="19"/>
  <c r="G157" i="19" s="1"/>
  <c r="B157" i="19"/>
  <c r="A157" i="19"/>
  <c r="D156" i="19"/>
  <c r="F156" i="19" s="1"/>
  <c r="C156" i="19"/>
  <c r="D144" i="19"/>
  <c r="F144" i="19" s="1"/>
  <c r="C144" i="19"/>
  <c r="D137" i="19"/>
  <c r="F137" i="19" s="1"/>
  <c r="C137" i="19"/>
  <c r="C123" i="19"/>
  <c r="B123" i="19"/>
  <c r="A123" i="19"/>
  <c r="G114" i="19"/>
  <c r="D113" i="19"/>
  <c r="F113" i="19" s="1"/>
  <c r="C113" i="19"/>
  <c r="D112" i="19"/>
  <c r="F112" i="19" s="1"/>
  <c r="C112" i="19"/>
  <c r="D111" i="19"/>
  <c r="F111" i="19" s="1"/>
  <c r="C111" i="19"/>
  <c r="C110" i="19"/>
  <c r="B110" i="19"/>
  <c r="A110" i="19"/>
  <c r="D109" i="19"/>
  <c r="F109" i="19" s="1"/>
  <c r="C109" i="19"/>
  <c r="D108" i="19"/>
  <c r="F108" i="19" s="1"/>
  <c r="C108" i="19"/>
  <c r="D107" i="19"/>
  <c r="F107" i="19" s="1"/>
  <c r="C107" i="19"/>
  <c r="D106" i="19"/>
  <c r="F106" i="19" s="1"/>
  <c r="C106" i="19"/>
  <c r="D105" i="19"/>
  <c r="F105" i="19" s="1"/>
  <c r="C105" i="19"/>
  <c r="D104" i="19"/>
  <c r="F104" i="19" s="1"/>
  <c r="C104" i="19"/>
  <c r="C103" i="19"/>
  <c r="B103" i="19"/>
  <c r="A103" i="19"/>
  <c r="D102" i="19"/>
  <c r="F102" i="19" s="1"/>
  <c r="C102" i="19"/>
  <c r="D101" i="19"/>
  <c r="F101" i="19" s="1"/>
  <c r="C101" i="19"/>
  <c r="D100" i="19"/>
  <c r="F100" i="19" s="1"/>
  <c r="C100" i="19"/>
  <c r="D99" i="19"/>
  <c r="F99" i="19" s="1"/>
  <c r="C99" i="19"/>
  <c r="D98" i="19"/>
  <c r="F98" i="19" s="1"/>
  <c r="C98" i="19"/>
  <c r="C97" i="19"/>
  <c r="B97" i="19"/>
  <c r="A97" i="19"/>
  <c r="D96" i="19"/>
  <c r="F96" i="19" s="1"/>
  <c r="C96" i="19"/>
  <c r="D95" i="19"/>
  <c r="F95" i="19" s="1"/>
  <c r="C95" i="19"/>
  <c r="D94" i="19"/>
  <c r="C94" i="19"/>
  <c r="C93" i="19"/>
  <c r="B93" i="19"/>
  <c r="A93" i="19"/>
  <c r="D92" i="19"/>
  <c r="C92" i="19"/>
  <c r="D91" i="19"/>
  <c r="C91" i="19"/>
  <c r="D90" i="19"/>
  <c r="C90" i="19"/>
  <c r="D89" i="19"/>
  <c r="C89" i="19"/>
  <c r="D88" i="19"/>
  <c r="C88" i="19"/>
  <c r="C87" i="19"/>
  <c r="B87" i="19"/>
  <c r="A87" i="19"/>
  <c r="D86" i="19"/>
  <c r="C86" i="19"/>
  <c r="D85" i="19"/>
  <c r="F85" i="19" s="1"/>
  <c r="C85" i="19"/>
  <c r="D84" i="19"/>
  <c r="C84" i="19"/>
  <c r="D83" i="19"/>
  <c r="C83" i="19"/>
  <c r="D82" i="19"/>
  <c r="C82" i="19"/>
  <c r="C81" i="19"/>
  <c r="B81" i="19"/>
  <c r="A81" i="19"/>
  <c r="D80" i="19"/>
  <c r="C80" i="19"/>
  <c r="D79" i="19"/>
  <c r="C79" i="19"/>
  <c r="D78" i="19"/>
  <c r="C78" i="19"/>
  <c r="D77" i="19"/>
  <c r="C77" i="19"/>
  <c r="D76" i="19"/>
  <c r="C76" i="19"/>
  <c r="C75" i="19"/>
  <c r="B75" i="19"/>
  <c r="A75" i="19"/>
  <c r="D74" i="19"/>
  <c r="C74" i="19"/>
  <c r="D73" i="19"/>
  <c r="C73" i="19"/>
  <c r="D72" i="19"/>
  <c r="C72" i="19"/>
  <c r="D71" i="19"/>
  <c r="C71" i="19"/>
  <c r="D70" i="19"/>
  <c r="C70" i="19"/>
  <c r="D69" i="19"/>
  <c r="C69" i="19"/>
  <c r="C68" i="19"/>
  <c r="B68" i="19"/>
  <c r="A68" i="19"/>
  <c r="D67" i="19"/>
  <c r="C67" i="19"/>
  <c r="B67" i="19"/>
  <c r="A67" i="19"/>
  <c r="D66" i="19"/>
  <c r="G66" i="19" s="1"/>
  <c r="C66" i="19"/>
  <c r="B66" i="19"/>
  <c r="A66" i="19"/>
  <c r="D63" i="19"/>
  <c r="C63" i="19"/>
  <c r="D54" i="19"/>
  <c r="C54" i="19"/>
  <c r="D53" i="19"/>
  <c r="C53" i="19"/>
  <c r="D52" i="19"/>
  <c r="C52" i="19"/>
  <c r="D51" i="19"/>
  <c r="C51" i="19"/>
  <c r="C50" i="19"/>
  <c r="B50" i="19"/>
  <c r="A50" i="19"/>
  <c r="D49" i="19"/>
  <c r="C49" i="19"/>
  <c r="D42" i="19"/>
  <c r="D41" i="19"/>
  <c r="D40" i="19"/>
  <c r="D39" i="19"/>
  <c r="G38" i="19"/>
  <c r="B38" i="19"/>
  <c r="A38" i="19"/>
  <c r="B37" i="19"/>
  <c r="A37" i="19"/>
  <c r="D36" i="19"/>
  <c r="D35" i="19"/>
  <c r="D34" i="19"/>
  <c r="D33" i="19"/>
  <c r="D27" i="19"/>
  <c r="C27" i="19"/>
  <c r="D17" i="19"/>
  <c r="F17" i="19" s="1"/>
  <c r="C17" i="19"/>
  <c r="D9" i="19"/>
  <c r="C9" i="19"/>
  <c r="D8" i="19"/>
  <c r="C8" i="19"/>
  <c r="D7" i="19"/>
  <c r="C7" i="19"/>
  <c r="D6" i="19"/>
  <c r="D5" i="19"/>
  <c r="C5" i="19"/>
  <c r="D4" i="19"/>
  <c r="C4" i="19"/>
  <c r="C3" i="19"/>
  <c r="B3" i="19"/>
  <c r="A3" i="19"/>
  <c r="B201" i="18"/>
  <c r="B200" i="18"/>
  <c r="D199" i="18"/>
  <c r="B199" i="18"/>
  <c r="A199" i="18"/>
  <c r="D198" i="18"/>
  <c r="C198" i="18"/>
  <c r="D183" i="18"/>
  <c r="F183" i="18" s="1"/>
  <c r="C183" i="18"/>
  <c r="D169" i="18"/>
  <c r="F169" i="18" s="1"/>
  <c r="C169" i="18"/>
  <c r="D154" i="18"/>
  <c r="F154" i="18" s="1"/>
  <c r="C154" i="18"/>
  <c r="D152" i="18"/>
  <c r="F152" i="18" s="1"/>
  <c r="C152" i="18"/>
  <c r="D151" i="18"/>
  <c r="F151" i="18" s="1"/>
  <c r="C151" i="18"/>
  <c r="D150" i="18"/>
  <c r="F150" i="18" s="1"/>
  <c r="C150" i="18"/>
  <c r="C149" i="18"/>
  <c r="B149" i="18"/>
  <c r="A149" i="18"/>
  <c r="D148" i="18"/>
  <c r="F148" i="18" s="1"/>
  <c r="C148" i="18"/>
  <c r="D147" i="18"/>
  <c r="F147" i="18" s="1"/>
  <c r="C147" i="18"/>
  <c r="D146" i="18"/>
  <c r="F146" i="18" s="1"/>
  <c r="C146" i="18"/>
  <c r="D145" i="18"/>
  <c r="F145" i="18" s="1"/>
  <c r="C145" i="18"/>
  <c r="D144" i="18"/>
  <c r="F144" i="18" s="1"/>
  <c r="C144" i="18"/>
  <c r="D143" i="18"/>
  <c r="F143" i="18" s="1"/>
  <c r="C143" i="18"/>
  <c r="C142" i="18"/>
  <c r="B142" i="18"/>
  <c r="A142" i="18"/>
  <c r="D141" i="18"/>
  <c r="F141" i="18" s="1"/>
  <c r="C141" i="18"/>
  <c r="D140" i="18"/>
  <c r="F140" i="18" s="1"/>
  <c r="C140" i="18"/>
  <c r="D139" i="18"/>
  <c r="F139" i="18" s="1"/>
  <c r="C139" i="18"/>
  <c r="D138" i="18"/>
  <c r="F138" i="18" s="1"/>
  <c r="C138" i="18"/>
  <c r="D137" i="18"/>
  <c r="F137" i="18" s="1"/>
  <c r="C137" i="18"/>
  <c r="D136" i="18"/>
  <c r="F136" i="18" s="1"/>
  <c r="C136" i="18"/>
  <c r="C135" i="18"/>
  <c r="B135" i="18"/>
  <c r="A135" i="18"/>
  <c r="D134" i="18"/>
  <c r="F134" i="18" s="1"/>
  <c r="C134" i="18"/>
  <c r="D133" i="18"/>
  <c r="F133" i="18" s="1"/>
  <c r="C133" i="18"/>
  <c r="D132" i="18"/>
  <c r="F132" i="18" s="1"/>
  <c r="C132" i="18"/>
  <c r="D131" i="18"/>
  <c r="F131" i="18" s="1"/>
  <c r="C131" i="18"/>
  <c r="D130" i="18"/>
  <c r="F130" i="18" s="1"/>
  <c r="C130" i="18"/>
  <c r="C129" i="18"/>
  <c r="B129" i="18"/>
  <c r="A129" i="18"/>
  <c r="D128" i="18"/>
  <c r="F128" i="18" s="1"/>
  <c r="C128" i="18"/>
  <c r="D127" i="18"/>
  <c r="F127" i="18" s="1"/>
  <c r="C127" i="18"/>
  <c r="D126" i="18"/>
  <c r="F126" i="18" s="1"/>
  <c r="C126" i="18"/>
  <c r="D125" i="18"/>
  <c r="F125" i="18" s="1"/>
  <c r="C125" i="18"/>
  <c r="D124" i="18"/>
  <c r="F124" i="18" s="1"/>
  <c r="C124" i="18"/>
  <c r="C123" i="18"/>
  <c r="B123" i="18"/>
  <c r="A123" i="18"/>
  <c r="D122" i="18"/>
  <c r="F122" i="18" s="1"/>
  <c r="C122" i="18"/>
  <c r="D121" i="18"/>
  <c r="F121" i="18" s="1"/>
  <c r="C121" i="18"/>
  <c r="D120" i="18"/>
  <c r="F120" i="18" s="1"/>
  <c r="C120" i="18"/>
  <c r="D119" i="18"/>
  <c r="F119" i="18" s="1"/>
  <c r="C119" i="18"/>
  <c r="D118" i="18"/>
  <c r="F118" i="18" s="1"/>
  <c r="C118" i="18"/>
  <c r="C117" i="18"/>
  <c r="B117" i="18"/>
  <c r="A117" i="18"/>
  <c r="D116" i="18"/>
  <c r="F116" i="18" s="1"/>
  <c r="C116" i="18"/>
  <c r="D115" i="18"/>
  <c r="F115" i="18" s="1"/>
  <c r="C115" i="18"/>
  <c r="D114" i="18"/>
  <c r="F114" i="18" s="1"/>
  <c r="C114" i="18"/>
  <c r="D113" i="18"/>
  <c r="F113" i="18" s="1"/>
  <c r="C113" i="18"/>
  <c r="D112" i="18"/>
  <c r="F112" i="18" s="1"/>
  <c r="C112" i="18"/>
  <c r="D111" i="18"/>
  <c r="F111" i="18" s="1"/>
  <c r="C111" i="18"/>
  <c r="C110" i="18"/>
  <c r="B110" i="18"/>
  <c r="A110" i="18"/>
  <c r="D107" i="18"/>
  <c r="F107" i="18" s="1"/>
  <c r="C107" i="18"/>
  <c r="D98" i="18"/>
  <c r="F98" i="18" s="1"/>
  <c r="C98" i="18"/>
  <c r="C85" i="18"/>
  <c r="D75" i="18"/>
  <c r="F75" i="18" s="1"/>
  <c r="C75" i="18"/>
  <c r="D71" i="18"/>
  <c r="C71" i="18"/>
  <c r="D70" i="18"/>
  <c r="C70" i="18"/>
  <c r="D69" i="18"/>
  <c r="C69" i="18"/>
  <c r="D68" i="18"/>
  <c r="C68" i="18"/>
  <c r="C67" i="18"/>
  <c r="B67" i="18"/>
  <c r="A67" i="18"/>
  <c r="D66" i="18"/>
  <c r="C66" i="18"/>
  <c r="D58" i="18"/>
  <c r="D57" i="18"/>
  <c r="D56" i="18"/>
  <c r="D55" i="18"/>
  <c r="F55" i="18" s="1"/>
  <c r="G54" i="18"/>
  <c r="B54" i="18"/>
  <c r="A54" i="18"/>
  <c r="B53" i="18"/>
  <c r="A53" i="18"/>
  <c r="D52" i="18"/>
  <c r="D51" i="18"/>
  <c r="F51" i="18" s="1"/>
  <c r="D50" i="18"/>
  <c r="B49" i="18"/>
  <c r="A49" i="18"/>
  <c r="D48" i="18"/>
  <c r="D47" i="18"/>
  <c r="D46" i="18"/>
  <c r="D45" i="18"/>
  <c r="D43" i="18"/>
  <c r="C43" i="18"/>
  <c r="D33" i="18"/>
  <c r="C33" i="18"/>
  <c r="C19" i="18"/>
  <c r="B19" i="18"/>
  <c r="A19" i="18"/>
  <c r="C11" i="18"/>
  <c r="B11" i="18"/>
  <c r="A11" i="18"/>
  <c r="B145" i="15"/>
  <c r="B144" i="15"/>
  <c r="B143" i="15"/>
  <c r="B142" i="15"/>
  <c r="B141" i="15"/>
  <c r="B140" i="15"/>
  <c r="B137" i="15"/>
  <c r="A137" i="15"/>
  <c r="D131" i="15"/>
  <c r="F131" i="15" s="1"/>
  <c r="C131" i="15"/>
  <c r="D115" i="15"/>
  <c r="F115" i="15" s="1"/>
  <c r="C115" i="15"/>
  <c r="D113" i="15"/>
  <c r="F113" i="15" s="1"/>
  <c r="C113" i="15"/>
  <c r="C112" i="15"/>
  <c r="B112" i="15"/>
  <c r="A112" i="15"/>
  <c r="D109" i="15"/>
  <c r="F109" i="15" s="1"/>
  <c r="C109" i="15"/>
  <c r="D107" i="15"/>
  <c r="F107" i="15" s="1"/>
  <c r="C107" i="15"/>
  <c r="D106" i="15"/>
  <c r="F106" i="15" s="1"/>
  <c r="C106" i="15"/>
  <c r="D105" i="15"/>
  <c r="F105" i="15" s="1"/>
  <c r="C105" i="15"/>
  <c r="C104" i="15"/>
  <c r="B104" i="15"/>
  <c r="A104" i="15"/>
  <c r="D103" i="15"/>
  <c r="F103" i="15" s="1"/>
  <c r="C103" i="15"/>
  <c r="D102" i="15"/>
  <c r="F102" i="15" s="1"/>
  <c r="C102" i="15"/>
  <c r="D101" i="15"/>
  <c r="F101" i="15" s="1"/>
  <c r="C101" i="15"/>
  <c r="D100" i="15"/>
  <c r="F100" i="15" s="1"/>
  <c r="C100" i="15"/>
  <c r="D99" i="15"/>
  <c r="F99" i="15" s="1"/>
  <c r="C99" i="15"/>
  <c r="D98" i="15"/>
  <c r="F98" i="15" s="1"/>
  <c r="C98" i="15"/>
  <c r="C97" i="15"/>
  <c r="B97" i="15"/>
  <c r="A97" i="15"/>
  <c r="D96" i="15"/>
  <c r="F96" i="15" s="1"/>
  <c r="C96" i="15"/>
  <c r="D95" i="15"/>
  <c r="F95" i="15" s="1"/>
  <c r="C95" i="15"/>
  <c r="D94" i="15"/>
  <c r="F94" i="15" s="1"/>
  <c r="C94" i="15"/>
  <c r="D93" i="15"/>
  <c r="C93" i="15"/>
  <c r="D92" i="15"/>
  <c r="C92" i="15"/>
  <c r="C91" i="15"/>
  <c r="B91" i="15"/>
  <c r="A91" i="15"/>
  <c r="D90" i="15"/>
  <c r="C90" i="15"/>
  <c r="D89" i="15"/>
  <c r="C89" i="15"/>
  <c r="D88" i="15"/>
  <c r="C88" i="15"/>
  <c r="C87" i="15"/>
  <c r="B87" i="15"/>
  <c r="A87" i="15"/>
  <c r="D86" i="15"/>
  <c r="C86" i="15"/>
  <c r="D85" i="15"/>
  <c r="F85" i="15" s="1"/>
  <c r="C85" i="15"/>
  <c r="D84" i="15"/>
  <c r="C84" i="15"/>
  <c r="D83" i="15"/>
  <c r="C83" i="15"/>
  <c r="D82" i="15"/>
  <c r="C82" i="15"/>
  <c r="C81" i="15"/>
  <c r="B81" i="15"/>
  <c r="A81" i="15"/>
  <c r="D80" i="15"/>
  <c r="C80" i="15"/>
  <c r="D79" i="15"/>
  <c r="C79" i="15"/>
  <c r="D78" i="15"/>
  <c r="C78" i="15"/>
  <c r="D77" i="15"/>
  <c r="C77" i="15"/>
  <c r="D76" i="15"/>
  <c r="C76" i="15"/>
  <c r="C75" i="15"/>
  <c r="B75" i="15"/>
  <c r="A75" i="15"/>
  <c r="D74" i="15"/>
  <c r="C74" i="15"/>
  <c r="D73" i="15"/>
  <c r="C73" i="15"/>
  <c r="D72" i="15"/>
  <c r="C72" i="15"/>
  <c r="D71" i="15"/>
  <c r="C71" i="15"/>
  <c r="D70" i="15"/>
  <c r="C70" i="15"/>
  <c r="C69" i="15"/>
  <c r="B69" i="15"/>
  <c r="A69" i="15"/>
  <c r="D68" i="15"/>
  <c r="C68" i="15"/>
  <c r="D67" i="15"/>
  <c r="C67" i="15"/>
  <c r="D66" i="15"/>
  <c r="C66" i="15"/>
  <c r="D65" i="15"/>
  <c r="F65" i="15" s="1"/>
  <c r="C65" i="15"/>
  <c r="D64" i="15"/>
  <c r="C64" i="15"/>
  <c r="C63" i="15"/>
  <c r="B63" i="15"/>
  <c r="A63" i="15"/>
  <c r="D62" i="15"/>
  <c r="C62" i="15"/>
  <c r="D61" i="15"/>
  <c r="C61" i="15"/>
  <c r="D60" i="15"/>
  <c r="C60" i="15"/>
  <c r="D59" i="15"/>
  <c r="C59" i="15"/>
  <c r="D58" i="15"/>
  <c r="C58" i="15"/>
  <c r="D57" i="15"/>
  <c r="C57" i="15"/>
  <c r="C56" i="15"/>
  <c r="B56" i="15"/>
  <c r="A56" i="15"/>
  <c r="D55" i="15"/>
  <c r="F55" i="15" s="1"/>
  <c r="C55" i="15"/>
  <c r="D54" i="15"/>
  <c r="C54" i="15"/>
  <c r="C53" i="15"/>
  <c r="B53" i="15"/>
  <c r="A53" i="15"/>
  <c r="D51" i="15"/>
  <c r="C51" i="15"/>
  <c r="B38" i="15"/>
  <c r="A38" i="15"/>
  <c r="C32" i="15"/>
  <c r="D27" i="15"/>
  <c r="G27" i="15" s="1"/>
  <c r="C27" i="15"/>
  <c r="B27" i="15"/>
  <c r="A27" i="15"/>
  <c r="D26" i="15"/>
  <c r="C26" i="15"/>
  <c r="D25" i="15"/>
  <c r="C25" i="15"/>
  <c r="D24" i="15"/>
  <c r="C24" i="15"/>
  <c r="D23" i="15"/>
  <c r="C23" i="15"/>
  <c r="C22" i="15"/>
  <c r="B22" i="15"/>
  <c r="A22" i="15"/>
  <c r="D21" i="15"/>
  <c r="C21" i="15"/>
  <c r="B13" i="15"/>
  <c r="A13" i="15"/>
  <c r="D12" i="15"/>
  <c r="F12" i="15" s="1"/>
  <c r="D11" i="15"/>
  <c r="F11" i="15" s="1"/>
  <c r="D10" i="15"/>
  <c r="F10" i="15" s="1"/>
  <c r="B9" i="15"/>
  <c r="A9" i="15"/>
  <c r="D5" i="15"/>
  <c r="C5" i="15"/>
  <c r="B126" i="17"/>
  <c r="D116" i="17"/>
  <c r="F116" i="17" s="1"/>
  <c r="C116" i="17"/>
  <c r="D106" i="17"/>
  <c r="F106" i="17" s="1"/>
  <c r="C106" i="17"/>
  <c r="B103" i="17"/>
  <c r="A103" i="17"/>
  <c r="D100" i="17"/>
  <c r="F100" i="17" s="1"/>
  <c r="C100" i="17"/>
  <c r="D76" i="17"/>
  <c r="C76" i="17"/>
  <c r="D74" i="17"/>
  <c r="C74" i="17"/>
  <c r="C73" i="17"/>
  <c r="B73" i="17"/>
  <c r="A73" i="17"/>
  <c r="D72" i="17"/>
  <c r="C72" i="17"/>
  <c r="D71" i="17"/>
  <c r="C71" i="17"/>
  <c r="D64" i="17"/>
  <c r="C64" i="17"/>
  <c r="D62" i="17"/>
  <c r="C62" i="17"/>
  <c r="D61" i="17"/>
  <c r="C61" i="17"/>
  <c r="D60" i="17"/>
  <c r="C60" i="17"/>
  <c r="C59" i="17"/>
  <c r="B59" i="17"/>
  <c r="A59" i="17"/>
  <c r="D58" i="17"/>
  <c r="C58" i="17"/>
  <c r="D57" i="17"/>
  <c r="C57" i="17"/>
  <c r="D56" i="17"/>
  <c r="C56" i="17"/>
  <c r="D55" i="17"/>
  <c r="F55" i="17" s="1"/>
  <c r="C55" i="17"/>
  <c r="D54" i="17"/>
  <c r="C54" i="17"/>
  <c r="D53" i="17"/>
  <c r="C53" i="17"/>
  <c r="C52" i="17"/>
  <c r="B52" i="17"/>
  <c r="A52" i="17"/>
  <c r="D51" i="17"/>
  <c r="C51" i="17"/>
  <c r="D50" i="17"/>
  <c r="C50" i="17"/>
  <c r="D49" i="17"/>
  <c r="C49" i="17"/>
  <c r="C48" i="17"/>
  <c r="B48" i="17"/>
  <c r="A48" i="17"/>
  <c r="D47" i="17"/>
  <c r="C47" i="17"/>
  <c r="D46" i="17"/>
  <c r="C46" i="17"/>
  <c r="D45" i="17"/>
  <c r="F45" i="17" s="1"/>
  <c r="C45" i="17"/>
  <c r="D44" i="17"/>
  <c r="C44" i="17"/>
  <c r="D43" i="17"/>
  <c r="C43" i="17"/>
  <c r="C42" i="17"/>
  <c r="B42" i="17"/>
  <c r="A42" i="17"/>
  <c r="D41" i="17"/>
  <c r="F41" i="17" s="1"/>
  <c r="C41" i="17"/>
  <c r="D40" i="17"/>
  <c r="C40" i="17"/>
  <c r="D39" i="17"/>
  <c r="C39" i="17"/>
  <c r="D38" i="17"/>
  <c r="C38" i="17"/>
  <c r="D37" i="17"/>
  <c r="C37" i="17"/>
  <c r="C36" i="17"/>
  <c r="B36" i="17"/>
  <c r="A36" i="17"/>
  <c r="D35" i="17"/>
  <c r="F35" i="17" s="1"/>
  <c r="C35" i="17"/>
  <c r="D34" i="17"/>
  <c r="C34" i="17"/>
  <c r="D33" i="17"/>
  <c r="C33" i="17"/>
  <c r="D32" i="17"/>
  <c r="C32" i="17"/>
  <c r="D31" i="17"/>
  <c r="C31" i="17"/>
  <c r="D30" i="17"/>
  <c r="C30" i="17"/>
  <c r="C29" i="17"/>
  <c r="B29" i="17"/>
  <c r="A29" i="17"/>
  <c r="D28" i="17"/>
  <c r="G28" i="17" s="1"/>
  <c r="C28" i="17"/>
  <c r="B28" i="17"/>
  <c r="A28" i="17"/>
  <c r="C22" i="17"/>
  <c r="B22" i="17"/>
  <c r="A22" i="17"/>
  <c r="D21" i="17"/>
  <c r="C21" i="17"/>
  <c r="D13" i="17"/>
  <c r="F13" i="17" s="1"/>
  <c r="D12" i="17"/>
  <c r="F12" i="17" s="1"/>
  <c r="D11" i="17"/>
  <c r="F11" i="17" s="1"/>
  <c r="D10" i="17"/>
  <c r="F10" i="17" s="1"/>
  <c r="B9" i="17"/>
  <c r="A9" i="17"/>
  <c r="B8" i="17"/>
  <c r="A8" i="17"/>
  <c r="D7" i="17"/>
  <c r="D6" i="17"/>
  <c r="D5" i="17"/>
  <c r="D4" i="17"/>
  <c r="B142" i="16"/>
  <c r="D132" i="16"/>
  <c r="F132" i="16" s="1"/>
  <c r="C132" i="16"/>
  <c r="D122" i="16"/>
  <c r="F122" i="16" s="1"/>
  <c r="C122" i="16"/>
  <c r="B119" i="16"/>
  <c r="A119" i="16"/>
  <c r="D112" i="16"/>
  <c r="F112" i="16" s="1"/>
  <c r="C112" i="16"/>
  <c r="D93" i="16"/>
  <c r="C93" i="16"/>
  <c r="D91" i="16"/>
  <c r="C91" i="16"/>
  <c r="C90" i="16"/>
  <c r="B90" i="16"/>
  <c r="A90" i="16"/>
  <c r="D89" i="16"/>
  <c r="C89" i="16"/>
  <c r="D88" i="16"/>
  <c r="C88" i="16"/>
  <c r="D81" i="16"/>
  <c r="C81" i="16"/>
  <c r="D79" i="16"/>
  <c r="C79" i="16"/>
  <c r="D78" i="16"/>
  <c r="C78" i="16"/>
  <c r="D77" i="16"/>
  <c r="C77" i="16"/>
  <c r="C76" i="16"/>
  <c r="B76" i="16"/>
  <c r="A76" i="16"/>
  <c r="D75" i="16"/>
  <c r="C75" i="16"/>
  <c r="D74" i="16"/>
  <c r="C74" i="16"/>
  <c r="D73" i="16"/>
  <c r="C73" i="16"/>
  <c r="D72" i="16"/>
  <c r="F72" i="16" s="1"/>
  <c r="C72" i="16"/>
  <c r="D71" i="16"/>
  <c r="C71" i="16"/>
  <c r="D70" i="16"/>
  <c r="C70" i="16"/>
  <c r="C69" i="16"/>
  <c r="B69" i="16"/>
  <c r="A69" i="16"/>
  <c r="D68" i="16"/>
  <c r="C68" i="16"/>
  <c r="D67" i="16"/>
  <c r="C67" i="16"/>
  <c r="D66" i="16"/>
  <c r="C66" i="16"/>
  <c r="D65" i="16"/>
  <c r="C65" i="16"/>
  <c r="D64" i="16"/>
  <c r="C64" i="16"/>
  <c r="C63" i="16"/>
  <c r="B63" i="16"/>
  <c r="A63" i="16"/>
  <c r="D62" i="16"/>
  <c r="F62" i="16" s="1"/>
  <c r="C62" i="16"/>
  <c r="D61" i="16"/>
  <c r="C61" i="16"/>
  <c r="D60" i="16"/>
  <c r="C60" i="16"/>
  <c r="D59" i="16"/>
  <c r="C59" i="16"/>
  <c r="D58" i="16"/>
  <c r="C58" i="16"/>
  <c r="C57" i="16"/>
  <c r="B57" i="16"/>
  <c r="A57" i="16"/>
  <c r="D56" i="16"/>
  <c r="C56" i="16"/>
  <c r="D55" i="16"/>
  <c r="C55" i="16"/>
  <c r="D54" i="16"/>
  <c r="C54" i="16"/>
  <c r="D53" i="16"/>
  <c r="C53" i="16"/>
  <c r="D52" i="16"/>
  <c r="F52" i="16" s="1"/>
  <c r="C52" i="16"/>
  <c r="C51" i="16"/>
  <c r="B51" i="16"/>
  <c r="A51" i="16"/>
  <c r="D50" i="16"/>
  <c r="C50" i="16"/>
  <c r="D49" i="16"/>
  <c r="C49" i="16"/>
  <c r="D48" i="16"/>
  <c r="C48" i="16"/>
  <c r="D47" i="16"/>
  <c r="C47" i="16"/>
  <c r="D46" i="16"/>
  <c r="C46" i="16"/>
  <c r="C45" i="16"/>
  <c r="B45" i="16"/>
  <c r="A45" i="16"/>
  <c r="D44" i="16"/>
  <c r="C44" i="16"/>
  <c r="D43" i="16"/>
  <c r="C43" i="16"/>
  <c r="D42" i="16"/>
  <c r="F42" i="16" s="1"/>
  <c r="C42" i="16"/>
  <c r="D41" i="16"/>
  <c r="C41" i="16"/>
  <c r="D40" i="16"/>
  <c r="C40" i="16"/>
  <c r="D39" i="16"/>
  <c r="C39" i="16"/>
  <c r="C38" i="16"/>
  <c r="B38" i="16"/>
  <c r="A38" i="16"/>
  <c r="C32" i="16"/>
  <c r="B32" i="16"/>
  <c r="A32" i="16"/>
  <c r="D31" i="16"/>
  <c r="C31" i="16"/>
  <c r="D23" i="16"/>
  <c r="D22" i="16"/>
  <c r="F22" i="16" s="1"/>
  <c r="D21" i="16"/>
  <c r="D20" i="16"/>
  <c r="F20" i="16" s="1"/>
  <c r="B19" i="16"/>
  <c r="A19" i="16"/>
  <c r="D18" i="16"/>
  <c r="F18" i="16" s="1"/>
  <c r="D17" i="16"/>
  <c r="F17" i="16" s="1"/>
  <c r="D16" i="16"/>
  <c r="F16" i="16" s="1"/>
  <c r="B15" i="16"/>
  <c r="A15" i="16"/>
  <c r="D14" i="16"/>
  <c r="D13" i="16"/>
  <c r="D12" i="16"/>
  <c r="D11" i="16"/>
  <c r="D5" i="16"/>
  <c r="C5" i="16"/>
  <c r="C97" i="14"/>
  <c r="B97" i="14"/>
  <c r="A97" i="14"/>
  <c r="D90" i="14"/>
  <c r="C90" i="14"/>
  <c r="D88" i="14"/>
  <c r="C88" i="14"/>
  <c r="C87" i="14"/>
  <c r="B87" i="14"/>
  <c r="A87" i="14"/>
  <c r="D86" i="14"/>
  <c r="C86" i="14"/>
  <c r="D85" i="14"/>
  <c r="C85" i="14"/>
  <c r="D84" i="14"/>
  <c r="F84" i="14" s="1"/>
  <c r="C84" i="14"/>
  <c r="C83" i="14"/>
  <c r="B83" i="14"/>
  <c r="A83" i="14"/>
  <c r="D82" i="14"/>
  <c r="C82" i="14"/>
  <c r="D81" i="14"/>
  <c r="C81" i="14"/>
  <c r="D76" i="14"/>
  <c r="C76" i="14"/>
  <c r="D75" i="14"/>
  <c r="C75" i="14"/>
  <c r="D74" i="14"/>
  <c r="F74" i="14" s="1"/>
  <c r="C74" i="14"/>
  <c r="C73" i="14"/>
  <c r="B73" i="14"/>
  <c r="A73" i="14"/>
  <c r="D72" i="14"/>
  <c r="C72" i="14"/>
  <c r="D71" i="14"/>
  <c r="C71" i="14"/>
  <c r="D70" i="14"/>
  <c r="C70" i="14"/>
  <c r="D69" i="14"/>
  <c r="C69" i="14"/>
  <c r="D68" i="14"/>
  <c r="C68" i="14"/>
  <c r="D67" i="14"/>
  <c r="C67" i="14"/>
  <c r="C66" i="14"/>
  <c r="B66" i="14"/>
  <c r="A66" i="14"/>
  <c r="D65" i="14"/>
  <c r="C65" i="14"/>
  <c r="D64" i="14"/>
  <c r="F64" i="14" s="1"/>
  <c r="C64" i="14"/>
  <c r="D63" i="14"/>
  <c r="C63" i="14"/>
  <c r="D62" i="14"/>
  <c r="C62" i="14"/>
  <c r="D61" i="14"/>
  <c r="C61" i="14"/>
  <c r="D60" i="14"/>
  <c r="C60" i="14"/>
  <c r="C59" i="14"/>
  <c r="B59" i="14"/>
  <c r="A59" i="14"/>
  <c r="D52" i="14"/>
  <c r="C52" i="14"/>
  <c r="D51" i="14"/>
  <c r="C51" i="14"/>
  <c r="D50" i="14"/>
  <c r="C50" i="14"/>
  <c r="D49" i="14"/>
  <c r="C49" i="14"/>
  <c r="D48" i="14"/>
  <c r="F48" i="14" s="1"/>
  <c r="C48" i="14"/>
  <c r="C47" i="14"/>
  <c r="B47" i="14"/>
  <c r="A47" i="14"/>
  <c r="D46" i="14"/>
  <c r="C46" i="14"/>
  <c r="D45" i="14"/>
  <c r="C45" i="14"/>
  <c r="D44" i="14"/>
  <c r="C44" i="14"/>
  <c r="D43" i="14"/>
  <c r="C43" i="14"/>
  <c r="D42" i="14"/>
  <c r="C42" i="14"/>
  <c r="C41" i="14"/>
  <c r="B41" i="14"/>
  <c r="A41" i="14"/>
  <c r="D40" i="14"/>
  <c r="C40" i="14"/>
  <c r="D39" i="14"/>
  <c r="C39" i="14"/>
  <c r="D38" i="14"/>
  <c r="F38" i="14" s="1"/>
  <c r="C38" i="14"/>
  <c r="D37" i="14"/>
  <c r="C37" i="14"/>
  <c r="D36" i="14"/>
  <c r="C36" i="14"/>
  <c r="C35" i="14"/>
  <c r="B35" i="14"/>
  <c r="A35" i="14"/>
  <c r="D58" i="14"/>
  <c r="C58" i="14"/>
  <c r="D57" i="14"/>
  <c r="C57" i="14"/>
  <c r="D56" i="14"/>
  <c r="C56" i="14"/>
  <c r="D55" i="14"/>
  <c r="C55" i="14"/>
  <c r="D54" i="14"/>
  <c r="C54" i="14"/>
  <c r="C53" i="14"/>
  <c r="B53" i="14"/>
  <c r="A53" i="14"/>
  <c r="D33" i="14"/>
  <c r="C33" i="14"/>
  <c r="C18" i="14"/>
  <c r="B18" i="14"/>
  <c r="A18" i="14"/>
  <c r="D17" i="14"/>
  <c r="C17" i="14"/>
  <c r="B10" i="14"/>
  <c r="A10" i="14"/>
  <c r="D9" i="14"/>
  <c r="D8" i="14"/>
  <c r="D7" i="14"/>
  <c r="D6" i="14"/>
  <c r="D5" i="14"/>
  <c r="D4" i="14"/>
  <c r="B3" i="14"/>
  <c r="A3" i="14"/>
  <c r="D110" i="13"/>
  <c r="F110" i="13" s="1"/>
  <c r="C110" i="13"/>
  <c r="C96" i="13"/>
  <c r="B96" i="13"/>
  <c r="A96" i="13"/>
  <c r="D91" i="13"/>
  <c r="C91" i="13"/>
  <c r="D90" i="13"/>
  <c r="C90" i="13"/>
  <c r="D89" i="13"/>
  <c r="C89" i="13"/>
  <c r="C88" i="13"/>
  <c r="B88" i="13"/>
  <c r="A88" i="13"/>
  <c r="D87" i="13"/>
  <c r="C87" i="13"/>
  <c r="D86" i="13"/>
  <c r="C86" i="13"/>
  <c r="D81" i="13"/>
  <c r="C81" i="13"/>
  <c r="D80" i="13"/>
  <c r="C80" i="13"/>
  <c r="D79" i="13"/>
  <c r="C79" i="13"/>
  <c r="D78" i="13"/>
  <c r="C78" i="13"/>
  <c r="D77" i="13"/>
  <c r="C77" i="13"/>
  <c r="D76" i="13"/>
  <c r="C76" i="13"/>
  <c r="C75" i="13"/>
  <c r="B75" i="13"/>
  <c r="A75" i="13"/>
  <c r="D74" i="13"/>
  <c r="C74" i="13"/>
  <c r="D73" i="13"/>
  <c r="C73" i="13"/>
  <c r="D72" i="13"/>
  <c r="C72" i="13"/>
  <c r="D71" i="13"/>
  <c r="C71" i="13"/>
  <c r="D70" i="13"/>
  <c r="C70" i="13"/>
  <c r="D69" i="13"/>
  <c r="C69" i="13"/>
  <c r="C68" i="13"/>
  <c r="B68" i="13"/>
  <c r="A68" i="13"/>
  <c r="D67" i="13"/>
  <c r="C67" i="13"/>
  <c r="D66" i="13"/>
  <c r="C66" i="13"/>
  <c r="D65" i="13"/>
  <c r="F65" i="13" s="1"/>
  <c r="C65" i="13"/>
  <c r="D64" i="13"/>
  <c r="C64" i="13"/>
  <c r="D63" i="13"/>
  <c r="C63" i="13"/>
  <c r="C62" i="13"/>
  <c r="B62" i="13"/>
  <c r="A62" i="13"/>
  <c r="D61" i="13"/>
  <c r="C61" i="13"/>
  <c r="D60" i="13"/>
  <c r="C60" i="13"/>
  <c r="D59" i="13"/>
  <c r="C59" i="13"/>
  <c r="D58" i="13"/>
  <c r="C58" i="13"/>
  <c r="D57" i="13"/>
  <c r="C57" i="13"/>
  <c r="C56" i="13"/>
  <c r="B56" i="13"/>
  <c r="A56" i="13"/>
  <c r="D55" i="13"/>
  <c r="F55" i="13" s="1"/>
  <c r="C55" i="13"/>
  <c r="D54" i="13"/>
  <c r="C54" i="13"/>
  <c r="D53" i="13"/>
  <c r="C53" i="13"/>
  <c r="D52" i="13"/>
  <c r="C52" i="13"/>
  <c r="D51" i="13"/>
  <c r="C51" i="13"/>
  <c r="C50" i="13"/>
  <c r="B50" i="13"/>
  <c r="A50" i="13"/>
  <c r="D49" i="13"/>
  <c r="C49" i="13"/>
  <c r="D48" i="13"/>
  <c r="C48" i="13"/>
  <c r="D47" i="13"/>
  <c r="C47" i="13"/>
  <c r="D46" i="13"/>
  <c r="C46" i="13"/>
  <c r="D45" i="13"/>
  <c r="F45" i="13" s="1"/>
  <c r="C45" i="13"/>
  <c r="C44" i="13"/>
  <c r="B44" i="13"/>
  <c r="A44" i="13"/>
  <c r="D43" i="13"/>
  <c r="C43" i="13"/>
  <c r="D42" i="13"/>
  <c r="C42" i="13"/>
  <c r="D41" i="13"/>
  <c r="C41" i="13"/>
  <c r="D40" i="13"/>
  <c r="C40" i="13"/>
  <c r="D39" i="13"/>
  <c r="C39" i="13"/>
  <c r="C38" i="13"/>
  <c r="B38" i="13"/>
  <c r="A38" i="13"/>
  <c r="D37" i="13"/>
  <c r="C37" i="13"/>
  <c r="D36" i="13"/>
  <c r="C36" i="13"/>
  <c r="D35" i="13"/>
  <c r="F35" i="13" s="1"/>
  <c r="C35" i="13"/>
  <c r="D34" i="13"/>
  <c r="C34" i="13"/>
  <c r="C33" i="13"/>
  <c r="B33" i="13"/>
  <c r="A33" i="13"/>
  <c r="D31" i="13"/>
  <c r="C31" i="13"/>
  <c r="D25" i="13"/>
  <c r="F25" i="13" s="1"/>
  <c r="C25" i="13"/>
  <c r="D15" i="13"/>
  <c r="F15" i="13" s="1"/>
  <c r="C15" i="13"/>
  <c r="C11" i="13"/>
  <c r="B11" i="13"/>
  <c r="A11" i="13"/>
  <c r="D10" i="13"/>
  <c r="F10" i="13" s="1"/>
  <c r="C10" i="13"/>
  <c r="B3" i="13"/>
  <c r="A3" i="13"/>
  <c r="D199" i="11"/>
  <c r="C199" i="11"/>
  <c r="D189" i="11"/>
  <c r="G189" i="11" s="1"/>
  <c r="C189" i="11"/>
  <c r="B189" i="11"/>
  <c r="A189" i="11"/>
  <c r="C183" i="11"/>
  <c r="B183" i="11"/>
  <c r="A183" i="11"/>
  <c r="D182" i="11"/>
  <c r="F182" i="11" s="1"/>
  <c r="D181" i="11"/>
  <c r="F181" i="11" s="1"/>
  <c r="D180" i="11"/>
  <c r="F180" i="11" s="1"/>
  <c r="B179" i="11"/>
  <c r="A179" i="11"/>
  <c r="D178" i="11"/>
  <c r="F178" i="11" s="1"/>
  <c r="D177" i="11"/>
  <c r="F177" i="11" s="1"/>
  <c r="D176" i="11"/>
  <c r="F176" i="11" s="1"/>
  <c r="B175" i="11"/>
  <c r="A175" i="11"/>
  <c r="D174" i="11"/>
  <c r="F174" i="11" s="1"/>
  <c r="D173" i="11"/>
  <c r="F173" i="11" s="1"/>
  <c r="D172" i="11"/>
  <c r="F172" i="11" s="1"/>
  <c r="D171" i="11"/>
  <c r="F171" i="11" s="1"/>
  <c r="B170" i="11"/>
  <c r="A170" i="11"/>
  <c r="D169" i="11"/>
  <c r="D168" i="11"/>
  <c r="D167" i="11"/>
  <c r="D166" i="11"/>
  <c r="B165" i="11"/>
  <c r="A165" i="11"/>
  <c r="D164" i="11"/>
  <c r="D163" i="11"/>
  <c r="D162" i="11"/>
  <c r="D161" i="11"/>
  <c r="D157" i="11"/>
  <c r="F157" i="11" s="1"/>
  <c r="C157" i="11"/>
  <c r="D147" i="11"/>
  <c r="F147" i="11" s="1"/>
  <c r="C147" i="11"/>
  <c r="C132" i="11"/>
  <c r="B132" i="11"/>
  <c r="A132" i="11"/>
  <c r="D121" i="11"/>
  <c r="F121" i="11" s="1"/>
  <c r="C121" i="11"/>
  <c r="D119" i="11"/>
  <c r="F119" i="11" s="1"/>
  <c r="C119" i="11"/>
  <c r="C118" i="11"/>
  <c r="B118" i="11"/>
  <c r="A118" i="11"/>
  <c r="D117" i="11"/>
  <c r="F117" i="11" s="1"/>
  <c r="C117" i="11"/>
  <c r="D116" i="11"/>
  <c r="F116" i="11" s="1"/>
  <c r="C116" i="11"/>
  <c r="D115" i="11"/>
  <c r="F115" i="11" s="1"/>
  <c r="C115" i="11"/>
  <c r="C114" i="11"/>
  <c r="B114" i="11"/>
  <c r="A114" i="11"/>
  <c r="D113" i="11"/>
  <c r="C113" i="11"/>
  <c r="D112" i="11"/>
  <c r="F112" i="11" s="1"/>
  <c r="C112" i="11"/>
  <c r="D107" i="11"/>
  <c r="F107" i="11" s="1"/>
  <c r="C107" i="11"/>
  <c r="D106" i="11"/>
  <c r="F106" i="11" s="1"/>
  <c r="C106" i="11"/>
  <c r="D105" i="11"/>
  <c r="F105" i="11" s="1"/>
  <c r="C105" i="11"/>
  <c r="C104" i="11"/>
  <c r="B104" i="11"/>
  <c r="A104" i="11"/>
  <c r="D103" i="11"/>
  <c r="F103" i="11" s="1"/>
  <c r="C103" i="11"/>
  <c r="D102" i="11"/>
  <c r="F102" i="11" s="1"/>
  <c r="C102" i="11"/>
  <c r="D101" i="11"/>
  <c r="F101" i="11" s="1"/>
  <c r="C101" i="11"/>
  <c r="D100" i="11"/>
  <c r="F100" i="11" s="1"/>
  <c r="C100" i="11"/>
  <c r="D99" i="11"/>
  <c r="F99" i="11" s="1"/>
  <c r="C99" i="11"/>
  <c r="D98" i="11"/>
  <c r="F98" i="11" s="1"/>
  <c r="C98" i="11"/>
  <c r="C97" i="11"/>
  <c r="B97" i="11"/>
  <c r="A97" i="11"/>
  <c r="D96" i="11"/>
  <c r="F96" i="11" s="1"/>
  <c r="C96" i="11"/>
  <c r="D95" i="11"/>
  <c r="F95" i="11" s="1"/>
  <c r="C95" i="11"/>
  <c r="D94" i="11"/>
  <c r="F94" i="11" s="1"/>
  <c r="C94" i="11"/>
  <c r="D93" i="11"/>
  <c r="F93" i="11" s="1"/>
  <c r="C93" i="11"/>
  <c r="D92" i="11"/>
  <c r="F92" i="11" s="1"/>
  <c r="C92" i="11"/>
  <c r="D91" i="11"/>
  <c r="F91" i="11" s="1"/>
  <c r="C91" i="11"/>
  <c r="C90" i="11"/>
  <c r="B90" i="11"/>
  <c r="A90" i="11"/>
  <c r="D89" i="11"/>
  <c r="C89" i="11"/>
  <c r="D88" i="11"/>
  <c r="C88" i="11"/>
  <c r="D87" i="11"/>
  <c r="C87" i="11"/>
  <c r="D86" i="11"/>
  <c r="C86" i="11"/>
  <c r="D85" i="11"/>
  <c r="C85" i="11"/>
  <c r="C84" i="11"/>
  <c r="B84" i="11"/>
  <c r="A84" i="11"/>
  <c r="D83" i="11"/>
  <c r="C83" i="11"/>
  <c r="D82" i="11"/>
  <c r="F82" i="11" s="1"/>
  <c r="C82" i="11"/>
  <c r="D81" i="11"/>
  <c r="C81" i="11"/>
  <c r="D80" i="11"/>
  <c r="C80" i="11"/>
  <c r="D79" i="11"/>
  <c r="C79" i="11"/>
  <c r="C78" i="11"/>
  <c r="B78" i="11"/>
  <c r="A78" i="11"/>
  <c r="D77" i="11"/>
  <c r="C77" i="11"/>
  <c r="D76" i="11"/>
  <c r="C76" i="11"/>
  <c r="D75" i="11"/>
  <c r="C75" i="11"/>
  <c r="D74" i="11"/>
  <c r="C74" i="11"/>
  <c r="D73" i="11"/>
  <c r="C73" i="11"/>
  <c r="C72" i="11"/>
  <c r="B72" i="11"/>
  <c r="A72" i="11"/>
  <c r="D71" i="11"/>
  <c r="C71" i="11"/>
  <c r="D70" i="11"/>
  <c r="C70" i="11"/>
  <c r="D69" i="11"/>
  <c r="C69" i="11"/>
  <c r="D68" i="11"/>
  <c r="C68" i="11"/>
  <c r="D67" i="11"/>
  <c r="C67" i="11"/>
  <c r="C66" i="11"/>
  <c r="B66" i="11"/>
  <c r="A66" i="11"/>
  <c r="D65" i="11"/>
  <c r="C65" i="11"/>
  <c r="D64" i="11"/>
  <c r="C64" i="11"/>
  <c r="D63" i="11"/>
  <c r="C63" i="11"/>
  <c r="D62" i="11"/>
  <c r="F62" i="11" s="1"/>
  <c r="C62" i="11"/>
  <c r="D61" i="11"/>
  <c r="C61" i="11"/>
  <c r="D60" i="11"/>
  <c r="C60" i="11"/>
  <c r="C59" i="11"/>
  <c r="B59" i="11"/>
  <c r="A59" i="11"/>
  <c r="D57" i="11"/>
  <c r="C57" i="11"/>
  <c r="D47" i="11"/>
  <c r="C47" i="11"/>
  <c r="C37" i="11"/>
  <c r="D32" i="11"/>
  <c r="G32" i="11" s="1"/>
  <c r="C32" i="11"/>
  <c r="B32" i="11"/>
  <c r="A32" i="11"/>
  <c r="D31" i="11"/>
  <c r="C31" i="11"/>
  <c r="B24" i="11"/>
  <c r="A24" i="11"/>
  <c r="D23" i="11"/>
  <c r="D22" i="11"/>
  <c r="D21" i="11"/>
  <c r="D20" i="11"/>
  <c r="D19" i="11"/>
  <c r="D18" i="11"/>
  <c r="F18" i="11" s="1"/>
  <c r="B17" i="11"/>
  <c r="A17" i="11"/>
  <c r="D16" i="11"/>
  <c r="F16" i="11" s="1"/>
  <c r="D15" i="11"/>
  <c r="F15" i="11" s="1"/>
  <c r="D14" i="11"/>
  <c r="F14" i="11" s="1"/>
  <c r="B13" i="11"/>
  <c r="A13" i="11"/>
  <c r="D12" i="11"/>
  <c r="F12" i="11" s="1"/>
  <c r="D11" i="11"/>
  <c r="F11" i="11" s="1"/>
  <c r="D10" i="11"/>
  <c r="F10" i="11" s="1"/>
  <c r="D9" i="11"/>
  <c r="F9" i="11" s="1"/>
  <c r="B8" i="11"/>
  <c r="A8" i="11"/>
  <c r="D6" i="11"/>
  <c r="C6" i="11"/>
  <c r="D140" i="10"/>
  <c r="F140" i="10" s="1"/>
  <c r="C140" i="10"/>
  <c r="G126" i="10"/>
  <c r="D126" i="10"/>
  <c r="C126" i="10"/>
  <c r="B126" i="10"/>
  <c r="A126" i="10"/>
  <c r="D125" i="10"/>
  <c r="F125" i="10" s="1"/>
  <c r="D124" i="10"/>
  <c r="F124" i="10" s="1"/>
  <c r="D123" i="10"/>
  <c r="F123" i="10" s="1"/>
  <c r="B122" i="10"/>
  <c r="A122" i="10"/>
  <c r="D121" i="10"/>
  <c r="F121" i="10" s="1"/>
  <c r="D120" i="10"/>
  <c r="F120" i="10" s="1"/>
  <c r="D119" i="10"/>
  <c r="F119" i="10" s="1"/>
  <c r="B118" i="10"/>
  <c r="A118" i="10"/>
  <c r="D117" i="10"/>
  <c r="F117" i="10" s="1"/>
  <c r="D116" i="10"/>
  <c r="F116" i="10" s="1"/>
  <c r="D115" i="10"/>
  <c r="F115" i="10" s="1"/>
  <c r="D114" i="10"/>
  <c r="F114" i="10" s="1"/>
  <c r="B113" i="10"/>
  <c r="A113" i="10"/>
  <c r="B108" i="10"/>
  <c r="A108" i="10"/>
  <c r="C96" i="10"/>
  <c r="B96" i="10"/>
  <c r="A96" i="10"/>
  <c r="D89" i="10"/>
  <c r="C89" i="10"/>
  <c r="D87" i="10"/>
  <c r="C87" i="10"/>
  <c r="C86" i="10"/>
  <c r="B86" i="10"/>
  <c r="A86" i="10"/>
  <c r="D85" i="10"/>
  <c r="F85" i="10" s="1"/>
  <c r="C85" i="10"/>
  <c r="D84" i="10"/>
  <c r="C84" i="10"/>
  <c r="D83" i="10"/>
  <c r="C83" i="10"/>
  <c r="C82" i="10"/>
  <c r="B82" i="10"/>
  <c r="A82" i="10"/>
  <c r="D81" i="10"/>
  <c r="C81" i="10"/>
  <c r="D80" i="10"/>
  <c r="C80" i="10"/>
  <c r="D74" i="10"/>
  <c r="C74" i="10"/>
  <c r="D73" i="10"/>
  <c r="C73" i="10"/>
  <c r="D72" i="10"/>
  <c r="C72" i="10"/>
  <c r="C71" i="10"/>
  <c r="B71" i="10"/>
  <c r="A71" i="10"/>
  <c r="D70" i="10"/>
  <c r="C70" i="10"/>
  <c r="D69" i="10"/>
  <c r="C69" i="10"/>
  <c r="D68" i="10"/>
  <c r="C68" i="10"/>
  <c r="D67" i="10"/>
  <c r="C67" i="10"/>
  <c r="D66" i="10"/>
  <c r="C66" i="10"/>
  <c r="D65" i="10"/>
  <c r="F65" i="10" s="1"/>
  <c r="C65" i="10"/>
  <c r="C64" i="10"/>
  <c r="B64" i="10"/>
  <c r="A64" i="10"/>
  <c r="D63" i="10"/>
  <c r="C63" i="10"/>
  <c r="D62" i="10"/>
  <c r="C62" i="10"/>
  <c r="D61" i="10"/>
  <c r="C61" i="10"/>
  <c r="D60" i="10"/>
  <c r="C60" i="10"/>
  <c r="D59" i="10"/>
  <c r="C59" i="10"/>
  <c r="D58" i="10"/>
  <c r="C58" i="10"/>
  <c r="C57" i="10"/>
  <c r="B57" i="10"/>
  <c r="A57" i="10"/>
  <c r="D56" i="10"/>
  <c r="C56" i="10"/>
  <c r="D55" i="10"/>
  <c r="F55" i="10" s="1"/>
  <c r="C55" i="10"/>
  <c r="D54" i="10"/>
  <c r="C54" i="10"/>
  <c r="D53" i="10"/>
  <c r="C53" i="10"/>
  <c r="D52" i="10"/>
  <c r="C52" i="10"/>
  <c r="C51" i="10"/>
  <c r="B51" i="10"/>
  <c r="A51" i="10"/>
  <c r="D50" i="10"/>
  <c r="C50" i="10"/>
  <c r="D49" i="10"/>
  <c r="C49" i="10"/>
  <c r="D48" i="10"/>
  <c r="C48" i="10"/>
  <c r="D47" i="10"/>
  <c r="C47" i="10"/>
  <c r="D46" i="10"/>
  <c r="C46" i="10"/>
  <c r="C45" i="10"/>
  <c r="B45" i="10"/>
  <c r="A45" i="10"/>
  <c r="D44" i="10"/>
  <c r="C44" i="10"/>
  <c r="D43" i="10"/>
  <c r="C43" i="10"/>
  <c r="D42" i="10"/>
  <c r="C42" i="10"/>
  <c r="D41" i="10"/>
  <c r="C41" i="10"/>
  <c r="D40" i="10"/>
  <c r="C40" i="10"/>
  <c r="C39" i="10"/>
  <c r="B39" i="10"/>
  <c r="A39" i="10"/>
  <c r="D38" i="10"/>
  <c r="C38" i="10"/>
  <c r="D37" i="10"/>
  <c r="C37" i="10"/>
  <c r="D36" i="10"/>
  <c r="C36" i="10"/>
  <c r="D35" i="10"/>
  <c r="F35" i="10" s="1"/>
  <c r="C35" i="10"/>
  <c r="D34" i="10"/>
  <c r="C34" i="10"/>
  <c r="D33" i="10"/>
  <c r="C33" i="10"/>
  <c r="C32" i="10"/>
  <c r="B32" i="10"/>
  <c r="A32" i="10"/>
  <c r="D31" i="10"/>
  <c r="G31" i="10" s="1"/>
  <c r="C31" i="10"/>
  <c r="B31" i="10"/>
  <c r="A31" i="10"/>
  <c r="D29" i="10"/>
  <c r="C29" i="10"/>
  <c r="D23" i="10"/>
  <c r="C23" i="10"/>
  <c r="B15" i="10"/>
  <c r="A15" i="10"/>
  <c r="D14" i="10"/>
  <c r="F14" i="10" s="1"/>
  <c r="D13" i="10"/>
  <c r="F13" i="10" s="1"/>
  <c r="D12" i="10"/>
  <c r="F12" i="10" s="1"/>
  <c r="D11" i="10"/>
  <c r="F11" i="10" s="1"/>
  <c r="D10" i="10"/>
  <c r="F10" i="10" s="1"/>
  <c r="D9" i="10"/>
  <c r="B8" i="10"/>
  <c r="A8" i="10"/>
  <c r="D7" i="10"/>
  <c r="D6" i="10"/>
  <c r="D5" i="10"/>
  <c r="D4" i="10"/>
  <c r="B3" i="10"/>
  <c r="A3" i="10"/>
  <c r="B144" i="9"/>
  <c r="A144" i="9"/>
  <c r="D137" i="9"/>
  <c r="F137" i="9" s="1"/>
  <c r="C137" i="9"/>
  <c r="D132" i="9"/>
  <c r="G132" i="9" s="1"/>
  <c r="C132" i="9"/>
  <c r="B132" i="9"/>
  <c r="A132" i="9"/>
  <c r="D131" i="9"/>
  <c r="F131" i="9" s="1"/>
  <c r="C131" i="9"/>
  <c r="D130" i="9"/>
  <c r="F130" i="9" s="1"/>
  <c r="C130" i="9"/>
  <c r="D129" i="9"/>
  <c r="F129" i="9" s="1"/>
  <c r="C129" i="9"/>
  <c r="D128" i="9"/>
  <c r="F128" i="9" s="1"/>
  <c r="C128" i="9"/>
  <c r="D127" i="9"/>
  <c r="F127" i="9" s="1"/>
  <c r="C127" i="9"/>
  <c r="C126" i="9"/>
  <c r="B126" i="9"/>
  <c r="A126" i="9"/>
  <c r="D125" i="9"/>
  <c r="C125" i="9"/>
  <c r="D124" i="9"/>
  <c r="C124" i="9"/>
  <c r="D123" i="9"/>
  <c r="C123" i="9"/>
  <c r="D122" i="9"/>
  <c r="C122" i="9"/>
  <c r="D121" i="9"/>
  <c r="C121" i="9"/>
  <c r="D120" i="9"/>
  <c r="C120" i="9"/>
  <c r="G119" i="9"/>
  <c r="C119" i="9"/>
  <c r="B119" i="9"/>
  <c r="A119" i="9"/>
  <c r="D118" i="9"/>
  <c r="F118" i="9" s="1"/>
  <c r="D117" i="9"/>
  <c r="F117" i="9" s="1"/>
  <c r="D116" i="9"/>
  <c r="F116" i="9" s="1"/>
  <c r="B115" i="9"/>
  <c r="A115" i="9"/>
  <c r="D114" i="9"/>
  <c r="F114" i="9" s="1"/>
  <c r="D113" i="9"/>
  <c r="F113" i="9" s="1"/>
  <c r="D112" i="9"/>
  <c r="F112" i="9" s="1"/>
  <c r="B111" i="9"/>
  <c r="A111" i="9"/>
  <c r="D110" i="9"/>
  <c r="F110" i="9" s="1"/>
  <c r="D109" i="9"/>
  <c r="F109" i="9" s="1"/>
  <c r="D108" i="9"/>
  <c r="F108" i="9" s="1"/>
  <c r="D107" i="9"/>
  <c r="F107" i="9" s="1"/>
  <c r="B106" i="9"/>
  <c r="A106" i="9"/>
  <c r="D105" i="9"/>
  <c r="D104" i="9"/>
  <c r="D103" i="9"/>
  <c r="D102" i="9"/>
  <c r="B101" i="9"/>
  <c r="A101" i="9"/>
  <c r="D100" i="9"/>
  <c r="D99" i="9"/>
  <c r="D98" i="9"/>
  <c r="D97" i="9"/>
  <c r="C89" i="9"/>
  <c r="B89" i="9"/>
  <c r="A89" i="9"/>
  <c r="D86" i="9"/>
  <c r="C86" i="9"/>
  <c r="D84" i="9"/>
  <c r="C84" i="9"/>
  <c r="C83" i="9"/>
  <c r="B83" i="9"/>
  <c r="A83" i="9"/>
  <c r="D82" i="9"/>
  <c r="C82" i="9"/>
  <c r="D81" i="9"/>
  <c r="C81" i="9"/>
  <c r="D80" i="9"/>
  <c r="C80" i="9"/>
  <c r="C79" i="9"/>
  <c r="B79" i="9"/>
  <c r="A79" i="9"/>
  <c r="D78" i="9"/>
  <c r="C78" i="9"/>
  <c r="D77" i="9"/>
  <c r="C77" i="9"/>
  <c r="D72" i="9"/>
  <c r="C72" i="9"/>
  <c r="D71" i="9"/>
  <c r="C71" i="9"/>
  <c r="D70" i="9"/>
  <c r="C70" i="9"/>
  <c r="C69" i="9"/>
  <c r="B69" i="9"/>
  <c r="A69" i="9"/>
  <c r="D68" i="9"/>
  <c r="C68" i="9"/>
  <c r="D67" i="9"/>
  <c r="C67" i="9"/>
  <c r="D66" i="9"/>
  <c r="C66" i="9"/>
  <c r="D65" i="9"/>
  <c r="F65" i="9" s="1"/>
  <c r="C65" i="9"/>
  <c r="D64" i="9"/>
  <c r="C64" i="9"/>
  <c r="C63" i="9"/>
  <c r="B63" i="9"/>
  <c r="A63" i="9"/>
  <c r="D62" i="9"/>
  <c r="C62" i="9"/>
  <c r="D61" i="9"/>
  <c r="C61" i="9"/>
  <c r="D60" i="9"/>
  <c r="C60" i="9"/>
  <c r="D59" i="9"/>
  <c r="C59" i="9"/>
  <c r="D58" i="9"/>
  <c r="C58" i="9"/>
  <c r="D57" i="9"/>
  <c r="C57" i="9"/>
  <c r="C56" i="9"/>
  <c r="B56" i="9"/>
  <c r="A56" i="9"/>
  <c r="D55" i="9"/>
  <c r="F55" i="9" s="1"/>
  <c r="C55" i="9"/>
  <c r="D54" i="9"/>
  <c r="C54" i="9"/>
  <c r="D53" i="9"/>
  <c r="C53" i="9"/>
  <c r="D52" i="9"/>
  <c r="C52" i="9"/>
  <c r="D51" i="9"/>
  <c r="C51" i="9"/>
  <c r="D50" i="9"/>
  <c r="C50" i="9"/>
  <c r="C49" i="9"/>
  <c r="B49" i="9"/>
  <c r="A49" i="9"/>
  <c r="D48" i="9"/>
  <c r="C48" i="9"/>
  <c r="D47" i="9"/>
  <c r="C47" i="9"/>
  <c r="D46" i="9"/>
  <c r="C46" i="9"/>
  <c r="D45" i="9"/>
  <c r="F45" i="9" s="1"/>
  <c r="C45" i="9"/>
  <c r="D44" i="9"/>
  <c r="C44" i="9"/>
  <c r="C43" i="9"/>
  <c r="B43" i="9"/>
  <c r="A43" i="9"/>
  <c r="D42" i="9"/>
  <c r="C42" i="9"/>
  <c r="D41" i="9"/>
  <c r="C41" i="9"/>
  <c r="D40" i="9"/>
  <c r="C40" i="9"/>
  <c r="D39" i="9"/>
  <c r="C39" i="9"/>
  <c r="D38" i="9"/>
  <c r="C38" i="9"/>
  <c r="C37" i="9"/>
  <c r="B37" i="9"/>
  <c r="A37" i="9"/>
  <c r="D36" i="9"/>
  <c r="C36" i="9"/>
  <c r="D35" i="9"/>
  <c r="F35" i="9" s="1"/>
  <c r="C35" i="9"/>
  <c r="D34" i="9"/>
  <c r="C34" i="9"/>
  <c r="D33" i="9"/>
  <c r="C33" i="9"/>
  <c r="D32" i="9"/>
  <c r="C32" i="9"/>
  <c r="C31" i="9"/>
  <c r="B31" i="9"/>
  <c r="A31" i="9"/>
  <c r="D30" i="9"/>
  <c r="C30" i="9"/>
  <c r="D29" i="9"/>
  <c r="C29" i="9"/>
  <c r="D28" i="9"/>
  <c r="C28" i="9"/>
  <c r="D27" i="9"/>
  <c r="C27" i="9"/>
  <c r="D26" i="9"/>
  <c r="C26" i="9"/>
  <c r="C25" i="9"/>
  <c r="B25" i="9"/>
  <c r="A25" i="9"/>
  <c r="D23" i="9"/>
  <c r="C23" i="9"/>
  <c r="B15" i="9"/>
  <c r="A15" i="9"/>
  <c r="D14" i="9"/>
  <c r="F14" i="9" s="1"/>
  <c r="C14" i="9"/>
  <c r="D13" i="9"/>
  <c r="F13" i="9" s="1"/>
  <c r="C13" i="9"/>
  <c r="D12" i="9"/>
  <c r="F12" i="9" s="1"/>
  <c r="C12" i="9"/>
  <c r="D11" i="9"/>
  <c r="F11" i="9" s="1"/>
  <c r="C11" i="9"/>
  <c r="D10" i="9"/>
  <c r="F10" i="9" s="1"/>
  <c r="C10" i="9"/>
  <c r="D9" i="9"/>
  <c r="C9" i="9"/>
  <c r="C8" i="9"/>
  <c r="B8" i="9"/>
  <c r="A8" i="9"/>
  <c r="D7" i="9"/>
  <c r="C7" i="9"/>
  <c r="D6" i="9"/>
  <c r="C6" i="9"/>
  <c r="D5" i="9"/>
  <c r="C5" i="9"/>
  <c r="D4" i="9"/>
  <c r="C4" i="9"/>
  <c r="C3" i="9"/>
  <c r="B3" i="9"/>
  <c r="A3" i="9"/>
  <c r="B62" i="12"/>
  <c r="G61" i="12"/>
  <c r="D61" i="12"/>
  <c r="C61" i="12"/>
  <c r="B61" i="12"/>
  <c r="A61" i="12"/>
  <c r="D60" i="12"/>
  <c r="C60" i="12"/>
  <c r="D59" i="12"/>
  <c r="C59" i="12"/>
  <c r="D54" i="12"/>
  <c r="G54" i="12" s="1"/>
  <c r="C54" i="12"/>
  <c r="B54" i="12"/>
  <c r="A54" i="12"/>
  <c r="B53" i="12"/>
  <c r="A53" i="12"/>
  <c r="D52" i="12"/>
  <c r="D51" i="12"/>
  <c r="D50" i="12"/>
  <c r="B49" i="12"/>
  <c r="A49" i="12"/>
  <c r="D48" i="12"/>
  <c r="F48" i="12" s="1"/>
  <c r="D47" i="12"/>
  <c r="D46" i="12"/>
  <c r="B45" i="12"/>
  <c r="A45" i="12"/>
  <c r="D38" i="12"/>
  <c r="C38" i="12"/>
  <c r="D37" i="12"/>
  <c r="C37" i="12"/>
  <c r="D36" i="12"/>
  <c r="C36" i="12"/>
  <c r="D35" i="12"/>
  <c r="C35" i="12"/>
  <c r="D34" i="12"/>
  <c r="C34" i="12"/>
  <c r="D33" i="12"/>
  <c r="C33" i="12"/>
  <c r="C32" i="12"/>
  <c r="B32" i="12"/>
  <c r="A32" i="12"/>
  <c r="D31" i="12"/>
  <c r="F31" i="12" s="1"/>
  <c r="C31" i="12"/>
  <c r="D30" i="12"/>
  <c r="C30" i="12"/>
  <c r="D29" i="12"/>
  <c r="C29" i="12"/>
  <c r="D28" i="12"/>
  <c r="C28" i="12"/>
  <c r="D27" i="12"/>
  <c r="C27" i="12"/>
  <c r="C26" i="12"/>
  <c r="B26" i="12"/>
  <c r="A26" i="12"/>
  <c r="D25" i="12"/>
  <c r="C25" i="12"/>
  <c r="D24" i="12"/>
  <c r="C24" i="12"/>
  <c r="D23" i="12"/>
  <c r="C23" i="12"/>
  <c r="D22" i="12"/>
  <c r="C22" i="12"/>
  <c r="D21" i="12"/>
  <c r="F21" i="12" s="1"/>
  <c r="C21" i="12"/>
  <c r="C20" i="12"/>
  <c r="B20" i="12"/>
  <c r="A20" i="12"/>
  <c r="D19" i="12"/>
  <c r="F19" i="12" s="1"/>
  <c r="C19" i="12"/>
  <c r="D18" i="12"/>
  <c r="F18" i="12" s="1"/>
  <c r="C18" i="12"/>
  <c r="D17" i="12"/>
  <c r="F17" i="12" s="1"/>
  <c r="C17" i="12"/>
  <c r="D16" i="12"/>
  <c r="F16" i="12" s="1"/>
  <c r="C16" i="12"/>
  <c r="D15" i="12"/>
  <c r="F15" i="12" s="1"/>
  <c r="C15" i="12"/>
  <c r="C14" i="12"/>
  <c r="B14" i="12"/>
  <c r="A14" i="12"/>
  <c r="F13" i="12"/>
  <c r="C13" i="12"/>
  <c r="F12" i="12"/>
  <c r="C12" i="12"/>
  <c r="D11" i="12"/>
  <c r="F11" i="12" s="1"/>
  <c r="C11" i="12"/>
  <c r="D10" i="12"/>
  <c r="F10" i="12" s="1"/>
  <c r="C10" i="12"/>
  <c r="D9" i="12"/>
  <c r="C9" i="12"/>
  <c r="D8" i="12"/>
  <c r="C8" i="12"/>
  <c r="C7" i="12"/>
  <c r="B7" i="12"/>
  <c r="A7" i="12"/>
  <c r="D6" i="12"/>
  <c r="D5" i="12"/>
  <c r="D4" i="12"/>
  <c r="B3" i="12"/>
  <c r="A3" i="12"/>
  <c r="D31" i="31"/>
  <c r="F31" i="31" s="1"/>
  <c r="C31" i="31"/>
  <c r="D30" i="31"/>
  <c r="C30" i="31"/>
  <c r="D25" i="31"/>
  <c r="C25" i="31"/>
  <c r="D24" i="31"/>
  <c r="C24" i="31"/>
  <c r="D23" i="31"/>
  <c r="C23" i="31"/>
  <c r="D22" i="31"/>
  <c r="C22" i="31"/>
  <c r="D21" i="31"/>
  <c r="F21" i="31" s="1"/>
  <c r="C21" i="31"/>
  <c r="C20" i="31"/>
  <c r="B20" i="31"/>
  <c r="A20" i="31"/>
  <c r="D18" i="31"/>
  <c r="F18" i="31" s="1"/>
  <c r="C18" i="31"/>
  <c r="D13" i="31"/>
  <c r="F13" i="31" s="1"/>
  <c r="C13" i="31"/>
  <c r="D6" i="31"/>
  <c r="D5" i="31"/>
  <c r="D4" i="31"/>
  <c r="B3" i="31"/>
  <c r="A3" i="31"/>
  <c r="D87" i="8"/>
  <c r="D86" i="8"/>
  <c r="D85" i="8"/>
  <c r="F85" i="8" s="1"/>
  <c r="B84" i="8"/>
  <c r="D83" i="8"/>
  <c r="D82" i="8"/>
  <c r="D81" i="8"/>
  <c r="B80" i="8"/>
  <c r="A79" i="8"/>
  <c r="C68" i="8"/>
  <c r="B68" i="8"/>
  <c r="A68" i="8"/>
  <c r="D61" i="8"/>
  <c r="C61" i="8"/>
  <c r="D59" i="8"/>
  <c r="C59" i="8"/>
  <c r="C58" i="8"/>
  <c r="B58" i="8"/>
  <c r="A58" i="8"/>
  <c r="D57" i="8"/>
  <c r="C57" i="8"/>
  <c r="D56" i="8"/>
  <c r="C56" i="8"/>
  <c r="D55" i="8"/>
  <c r="F55" i="8" s="1"/>
  <c r="C55" i="8"/>
  <c r="C54" i="8"/>
  <c r="B54" i="8"/>
  <c r="A54" i="8"/>
  <c r="D53" i="8"/>
  <c r="C53" i="8"/>
  <c r="D52" i="8"/>
  <c r="C52" i="8"/>
  <c r="D47" i="8"/>
  <c r="C47" i="8"/>
  <c r="D46" i="8"/>
  <c r="C46" i="8"/>
  <c r="D45" i="8"/>
  <c r="F45" i="8" s="1"/>
  <c r="C45" i="8"/>
  <c r="D44" i="8"/>
  <c r="C44" i="8"/>
  <c r="D43" i="8"/>
  <c r="C43" i="8"/>
  <c r="C42" i="8"/>
  <c r="B42" i="8"/>
  <c r="A42" i="8"/>
  <c r="D41" i="8"/>
  <c r="C41" i="8"/>
  <c r="D40" i="8"/>
  <c r="C40" i="8"/>
  <c r="D39" i="8"/>
  <c r="C39" i="8"/>
  <c r="D38" i="8"/>
  <c r="C38" i="8"/>
  <c r="D37" i="8"/>
  <c r="C37" i="8"/>
  <c r="C36" i="8"/>
  <c r="B36" i="8"/>
  <c r="A36" i="8"/>
  <c r="D35" i="8"/>
  <c r="F35" i="8" s="1"/>
  <c r="C35" i="8"/>
  <c r="D34" i="8"/>
  <c r="C34" i="8"/>
  <c r="D33" i="8"/>
  <c r="C33" i="8"/>
  <c r="D32" i="8"/>
  <c r="C32" i="8"/>
  <c r="D31" i="8"/>
  <c r="C31" i="8"/>
  <c r="C30" i="8"/>
  <c r="B30" i="8"/>
  <c r="A30" i="8"/>
  <c r="D28" i="8"/>
  <c r="C28" i="8"/>
  <c r="D22" i="8"/>
  <c r="C22" i="8"/>
  <c r="B19" i="8"/>
  <c r="A19" i="8"/>
  <c r="D18" i="8"/>
  <c r="F18" i="8" s="1"/>
  <c r="D17" i="8"/>
  <c r="F17" i="8" s="1"/>
  <c r="D16" i="8"/>
  <c r="F16" i="8" s="1"/>
  <c r="D15" i="8"/>
  <c r="F15" i="8" s="1"/>
  <c r="D14" i="8"/>
  <c r="F14" i="8" s="1"/>
  <c r="D13" i="8"/>
  <c r="F13" i="8" s="1"/>
  <c r="B12" i="8"/>
  <c r="A12" i="8"/>
  <c r="D11" i="8"/>
  <c r="F11" i="8" s="1"/>
  <c r="D10" i="8"/>
  <c r="F10" i="8" s="1"/>
  <c r="D9" i="8"/>
  <c r="B8" i="8"/>
  <c r="A8" i="8"/>
  <c r="D7" i="8"/>
  <c r="D6" i="8"/>
  <c r="D5" i="8"/>
  <c r="D4" i="8"/>
  <c r="B3" i="8"/>
  <c r="A3" i="8"/>
  <c r="D75" i="24"/>
  <c r="D27" i="26"/>
  <c r="C27" i="26"/>
  <c r="D26" i="26"/>
  <c r="B78" i="24"/>
  <c r="A78" i="24"/>
  <c r="G96" i="9" l="1"/>
  <c r="G104" i="11"/>
  <c r="G14" i="12"/>
  <c r="G101" i="9"/>
  <c r="G106" i="9"/>
  <c r="G12" i="8"/>
  <c r="G160" i="11"/>
  <c r="G123" i="18"/>
  <c r="G149" i="18"/>
  <c r="G104" i="15"/>
  <c r="G110" i="19"/>
  <c r="G131" i="21"/>
  <c r="G137" i="20"/>
  <c r="G129" i="23"/>
  <c r="G134" i="25"/>
  <c r="G115" i="9"/>
  <c r="G108" i="10"/>
  <c r="G32" i="20"/>
  <c r="G175" i="11"/>
  <c r="G32" i="19"/>
  <c r="G10" i="16"/>
  <c r="G122" i="23"/>
  <c r="G106" i="25"/>
  <c r="G147" i="25"/>
  <c r="G60" i="21"/>
  <c r="G114" i="11"/>
  <c r="G165" i="11"/>
  <c r="G3" i="17"/>
  <c r="G103" i="10"/>
  <c r="G179" i="11"/>
  <c r="G15" i="16"/>
  <c r="G44" i="18"/>
  <c r="G110" i="23"/>
  <c r="G111" i="9"/>
  <c r="G118" i="10"/>
  <c r="G122" i="10"/>
  <c r="G13" i="11"/>
  <c r="G17" i="24"/>
  <c r="G54" i="8"/>
  <c r="G97" i="19"/>
  <c r="G9" i="15"/>
  <c r="G102" i="20"/>
  <c r="G119" i="20"/>
  <c r="G104" i="23"/>
  <c r="G122" i="25"/>
  <c r="G117" i="18"/>
  <c r="G142" i="18"/>
  <c r="G113" i="10"/>
  <c r="G8" i="11"/>
  <c r="G126" i="9"/>
  <c r="G90" i="11"/>
  <c r="G9" i="17"/>
  <c r="G97" i="15"/>
  <c r="G129" i="18"/>
  <c r="G103" i="19"/>
  <c r="G118" i="21"/>
  <c r="G116" i="23"/>
  <c r="G109" i="25"/>
  <c r="G128" i="25"/>
  <c r="G110" i="18"/>
  <c r="G135" i="18"/>
  <c r="G106" i="20"/>
  <c r="G112" i="20"/>
  <c r="G126" i="20"/>
  <c r="G124" i="21"/>
  <c r="G97" i="23"/>
  <c r="G115" i="25"/>
  <c r="G97" i="11"/>
  <c r="G170" i="11"/>
  <c r="G132" i="20"/>
  <c r="G111" i="21"/>
  <c r="G92" i="23"/>
  <c r="F113" i="11"/>
  <c r="G133" i="23"/>
  <c r="G148" i="21"/>
  <c r="G82" i="22"/>
  <c r="D159" i="11"/>
  <c r="G159" i="11" s="1"/>
  <c r="G203" i="18" l="1"/>
  <c r="D170" i="21"/>
  <c r="F170" i="21" s="1"/>
  <c r="D169" i="21"/>
  <c r="F169" i="21" s="1"/>
  <c r="D168" i="21"/>
  <c r="F168" i="21" s="1"/>
  <c r="D167" i="21"/>
  <c r="F167" i="21" s="1"/>
  <c r="D166" i="21"/>
  <c r="F166" i="21" s="1"/>
  <c r="D165" i="21"/>
  <c r="F165" i="21" s="1"/>
  <c r="C170" i="21"/>
  <c r="C169" i="21"/>
  <c r="C168" i="21"/>
  <c r="C167" i="21"/>
  <c r="C166" i="21"/>
  <c r="C165" i="21"/>
  <c r="A164" i="21"/>
  <c r="B164" i="21"/>
  <c r="A179" i="20"/>
  <c r="B179" i="20"/>
  <c r="D185" i="20"/>
  <c r="F185" i="20" s="1"/>
  <c r="C185" i="20"/>
  <c r="D184" i="20"/>
  <c r="F184" i="20" s="1"/>
  <c r="C184" i="20"/>
  <c r="D183" i="20"/>
  <c r="F183" i="20" s="1"/>
  <c r="C183" i="20"/>
  <c r="D182" i="20"/>
  <c r="F182" i="20" s="1"/>
  <c r="C182" i="20"/>
  <c r="D181" i="20"/>
  <c r="F181" i="20" s="1"/>
  <c r="C181" i="20"/>
  <c r="D180" i="20"/>
  <c r="F180" i="20" s="1"/>
  <c r="C180" i="20"/>
  <c r="C164" i="21"/>
  <c r="C179" i="20"/>
  <c r="D155" i="19"/>
  <c r="F155" i="19" s="1"/>
  <c r="D154" i="19"/>
  <c r="F154" i="19" s="1"/>
  <c r="D153" i="19"/>
  <c r="F153" i="19" s="1"/>
  <c r="D152" i="19"/>
  <c r="F152" i="19" s="1"/>
  <c r="D151" i="19"/>
  <c r="F151" i="19" s="1"/>
  <c r="D150" i="19"/>
  <c r="F150" i="19" s="1"/>
  <c r="C155" i="19"/>
  <c r="C154" i="19"/>
  <c r="C153" i="19"/>
  <c r="C152" i="19"/>
  <c r="C151" i="19"/>
  <c r="C150" i="19"/>
  <c r="B149" i="19"/>
  <c r="A149" i="19"/>
  <c r="C149" i="19"/>
  <c r="F198" i="18"/>
  <c r="D197" i="18"/>
  <c r="F197" i="18" s="1"/>
  <c r="D196" i="18"/>
  <c r="F196" i="18" s="1"/>
  <c r="D195" i="18"/>
  <c r="F195" i="18" s="1"/>
  <c r="D194" i="18"/>
  <c r="F194" i="18" s="1"/>
  <c r="D193" i="18"/>
  <c r="F193" i="18" s="1"/>
  <c r="D192" i="18"/>
  <c r="F192" i="18" s="1"/>
  <c r="C197" i="18"/>
  <c r="C196" i="18"/>
  <c r="C195" i="18"/>
  <c r="C194" i="18"/>
  <c r="C193" i="18"/>
  <c r="C192" i="18"/>
  <c r="A191" i="18"/>
  <c r="B191" i="18"/>
  <c r="C191" i="18"/>
  <c r="G149" i="19" l="1"/>
  <c r="G164" i="21"/>
  <c r="G179" i="20"/>
  <c r="G191" i="18"/>
  <c r="F68" i="10" l="1"/>
  <c r="F94" i="20" l="1"/>
  <c r="F34" i="9"/>
  <c r="F48" i="10"/>
  <c r="F45" i="14"/>
  <c r="F80" i="15"/>
  <c r="F54" i="13"/>
  <c r="F40" i="8"/>
  <c r="C83" i="25" l="1"/>
  <c r="C84" i="25"/>
  <c r="C85" i="25"/>
  <c r="C87" i="25"/>
  <c r="C88" i="25"/>
  <c r="C79" i="21"/>
  <c r="C61" i="23"/>
  <c r="C34" i="11"/>
  <c r="C34" i="15"/>
  <c r="C33" i="15"/>
  <c r="C31" i="15"/>
  <c r="C30" i="15"/>
  <c r="C29" i="15"/>
  <c r="C87" i="18"/>
  <c r="C86" i="18"/>
  <c r="C84" i="18"/>
  <c r="C83" i="18"/>
  <c r="C82" i="18"/>
  <c r="D67" i="25"/>
  <c r="D65" i="25"/>
  <c r="D64" i="25"/>
  <c r="C67" i="25"/>
  <c r="C66" i="25"/>
  <c r="C65" i="25"/>
  <c r="C64" i="25"/>
  <c r="C63" i="25"/>
  <c r="D48" i="20"/>
  <c r="D46" i="20"/>
  <c r="D45" i="20"/>
  <c r="C48" i="20"/>
  <c r="C47" i="20"/>
  <c r="C46" i="20"/>
  <c r="C45" i="20"/>
  <c r="C44" i="20"/>
  <c r="D63" i="18"/>
  <c r="D62" i="18"/>
  <c r="D46" i="19"/>
  <c r="D45" i="19"/>
  <c r="F45" i="19" s="1"/>
  <c r="C48" i="19"/>
  <c r="C47" i="19"/>
  <c r="C46" i="19"/>
  <c r="C45" i="19"/>
  <c r="C44" i="19"/>
  <c r="C65" i="18"/>
  <c r="C64" i="18"/>
  <c r="C63" i="18"/>
  <c r="C62" i="18"/>
  <c r="C61" i="18"/>
  <c r="D20" i="15"/>
  <c r="D18" i="15"/>
  <c r="D17" i="15"/>
  <c r="D20" i="17"/>
  <c r="C20" i="15"/>
  <c r="C19" i="15"/>
  <c r="C18" i="15"/>
  <c r="C17" i="15"/>
  <c r="C16" i="15"/>
  <c r="C26" i="16"/>
  <c r="C16" i="17"/>
  <c r="C20" i="17"/>
  <c r="C19" i="17"/>
  <c r="C18" i="17"/>
  <c r="D30" i="16"/>
  <c r="F30" i="16" s="1"/>
  <c r="D28" i="16"/>
  <c r="D27" i="16"/>
  <c r="C30" i="16"/>
  <c r="C29" i="16"/>
  <c r="C28" i="16"/>
  <c r="D16" i="14"/>
  <c r="D14" i="14"/>
  <c r="F14" i="14" s="1"/>
  <c r="D13" i="14"/>
  <c r="C16" i="14"/>
  <c r="C15" i="14"/>
  <c r="C14" i="14"/>
  <c r="C13" i="14"/>
  <c r="C12" i="14"/>
  <c r="D9" i="13"/>
  <c r="D7" i="13"/>
  <c r="F7" i="13" s="1"/>
  <c r="D6" i="13"/>
  <c r="F6" i="13" s="1"/>
  <c r="C9" i="13"/>
  <c r="C8" i="13"/>
  <c r="C7" i="13"/>
  <c r="C6" i="13"/>
  <c r="C5" i="13"/>
  <c r="D30" i="11"/>
  <c r="D28" i="11"/>
  <c r="D27" i="11"/>
  <c r="C30" i="11"/>
  <c r="C29" i="11"/>
  <c r="C28" i="11"/>
  <c r="C27" i="11"/>
  <c r="C26" i="11"/>
  <c r="G4" i="13" l="1"/>
  <c r="D12" i="31"/>
  <c r="F12" i="31" s="1"/>
  <c r="D10" i="31"/>
  <c r="F10" i="31" s="1"/>
  <c r="D9" i="31"/>
  <c r="F9" i="31" s="1"/>
  <c r="G7" i="31" s="1"/>
  <c r="C12" i="31"/>
  <c r="C11" i="31"/>
  <c r="C10" i="31"/>
  <c r="C9" i="31"/>
  <c r="C8" i="31"/>
  <c r="F67" i="25"/>
  <c r="F48" i="20"/>
  <c r="D48" i="19"/>
  <c r="F48" i="19" s="1"/>
  <c r="D65" i="18"/>
  <c r="F65" i="18" s="1"/>
  <c r="F20" i="15"/>
  <c r="F21" i="17"/>
  <c r="F31" i="16"/>
  <c r="F16" i="14"/>
  <c r="F30" i="11"/>
  <c r="D23" i="22" l="1"/>
  <c r="F23" i="22" s="1"/>
  <c r="D22" i="22"/>
  <c r="F22" i="22" s="1"/>
  <c r="D20" i="22"/>
  <c r="F20" i="22" s="1"/>
  <c r="C23" i="22"/>
  <c r="C22" i="22"/>
  <c r="C20" i="22"/>
  <c r="G18" i="22" l="1"/>
  <c r="G17" i="22" s="1"/>
  <c r="A159" i="11"/>
  <c r="B159" i="11"/>
  <c r="G22" i="27"/>
  <c r="A181" i="18"/>
  <c r="D154" i="20"/>
  <c r="F154" i="20" s="1"/>
  <c r="D153" i="20"/>
  <c r="F153" i="20" s="1"/>
  <c r="D152" i="20"/>
  <c r="F152" i="20" s="1"/>
  <c r="D151" i="20"/>
  <c r="F151" i="20" s="1"/>
  <c r="C154" i="20"/>
  <c r="C153" i="20"/>
  <c r="C152" i="20"/>
  <c r="C151" i="20"/>
  <c r="D127" i="19"/>
  <c r="F127" i="19" s="1"/>
  <c r="D126" i="19"/>
  <c r="F126" i="19" s="1"/>
  <c r="D125" i="19"/>
  <c r="F125" i="19" s="1"/>
  <c r="D124" i="19"/>
  <c r="F124" i="19" s="1"/>
  <c r="C127" i="19"/>
  <c r="C126" i="19"/>
  <c r="C125" i="19"/>
  <c r="C124" i="19"/>
  <c r="D101" i="14"/>
  <c r="F101" i="14" s="1"/>
  <c r="D100" i="14"/>
  <c r="F100" i="14" s="1"/>
  <c r="D99" i="14"/>
  <c r="F99" i="14" s="1"/>
  <c r="D98" i="14"/>
  <c r="F98" i="14" s="1"/>
  <c r="C101" i="14"/>
  <c r="C100" i="14"/>
  <c r="C99" i="14"/>
  <c r="C98" i="14"/>
  <c r="D100" i="13"/>
  <c r="F100" i="13" s="1"/>
  <c r="D99" i="13"/>
  <c r="F99" i="13" s="1"/>
  <c r="D98" i="13"/>
  <c r="F98" i="13" s="1"/>
  <c r="D97" i="13"/>
  <c r="F97" i="13" s="1"/>
  <c r="C100" i="13"/>
  <c r="C99" i="13"/>
  <c r="C98" i="13"/>
  <c r="C97" i="13"/>
  <c r="D136" i="11"/>
  <c r="F136" i="11" s="1"/>
  <c r="D135" i="11"/>
  <c r="F135" i="11" s="1"/>
  <c r="D134" i="11"/>
  <c r="F134" i="11" s="1"/>
  <c r="D133" i="11"/>
  <c r="F133" i="11" s="1"/>
  <c r="C136" i="11"/>
  <c r="C135" i="11"/>
  <c r="C134" i="11"/>
  <c r="C133" i="11"/>
  <c r="D100" i="10"/>
  <c r="F100" i="10" s="1"/>
  <c r="D99" i="10"/>
  <c r="F99" i="10" s="1"/>
  <c r="D98" i="10"/>
  <c r="F98" i="10" s="1"/>
  <c r="D97" i="10"/>
  <c r="F97" i="10" s="1"/>
  <c r="C100" i="10"/>
  <c r="C99" i="10"/>
  <c r="C98" i="10"/>
  <c r="C97" i="10"/>
  <c r="D93" i="9"/>
  <c r="D92" i="9"/>
  <c r="D91" i="9"/>
  <c r="D90" i="9"/>
  <c r="C93" i="9"/>
  <c r="C92" i="9"/>
  <c r="C91" i="9"/>
  <c r="C90" i="9"/>
  <c r="D72" i="8"/>
  <c r="D71" i="8"/>
  <c r="D70" i="8"/>
  <c r="D69" i="8"/>
  <c r="C72" i="8"/>
  <c r="C71" i="8"/>
  <c r="C70" i="8"/>
  <c r="C69" i="8"/>
  <c r="G97" i="14" l="1"/>
  <c r="G123" i="19"/>
  <c r="G150" i="20"/>
  <c r="G96" i="10"/>
  <c r="G132" i="11"/>
  <c r="G96" i="13"/>
  <c r="D178" i="23"/>
  <c r="G178" i="23" s="1"/>
  <c r="D16" i="24"/>
  <c r="G16" i="24" s="1"/>
  <c r="G25" i="27"/>
  <c r="G24" i="27"/>
  <c r="G23" i="27"/>
  <c r="G56" i="27" l="1"/>
  <c r="A94" i="9"/>
  <c r="B94" i="9"/>
  <c r="C94" i="9"/>
  <c r="D94" i="9"/>
  <c r="G94" i="9" s="1"/>
  <c r="D48" i="21" l="1"/>
  <c r="G48" i="21" s="1"/>
  <c r="D35" i="18"/>
  <c r="G35" i="18" s="1"/>
  <c r="C181" i="23"/>
  <c r="D181" i="23"/>
  <c r="G181" i="23" s="1"/>
  <c r="A180" i="23"/>
  <c r="C180" i="23"/>
  <c r="D180" i="23"/>
  <c r="G180" i="23" s="1"/>
  <c r="B180" i="23"/>
  <c r="G22" i="15"/>
  <c r="G67" i="18" l="1"/>
  <c r="G50" i="19"/>
  <c r="D25" i="23" l="1"/>
  <c r="F25" i="23" s="1"/>
  <c r="D24" i="23"/>
  <c r="F24" i="23" s="1"/>
  <c r="D23" i="23"/>
  <c r="D22" i="23"/>
  <c r="F22" i="23" s="1"/>
  <c r="D21" i="23"/>
  <c r="F21" i="23" s="1"/>
  <c r="D20" i="23"/>
  <c r="F20" i="23" s="1"/>
  <c r="D19" i="23"/>
  <c r="F19" i="23" s="1"/>
  <c r="D17" i="23"/>
  <c r="F17" i="23" s="1"/>
  <c r="D16" i="23"/>
  <c r="F16" i="23" s="1"/>
  <c r="D15" i="23"/>
  <c r="F15" i="23" s="1"/>
  <c r="D14" i="23"/>
  <c r="F14" i="23" s="1"/>
  <c r="D13" i="23"/>
  <c r="F13" i="23" s="1"/>
  <c r="D12" i="23"/>
  <c r="F12" i="23" s="1"/>
  <c r="D11" i="23"/>
  <c r="F11" i="23" s="1"/>
  <c r="D62" i="23"/>
  <c r="F62" i="23" s="1"/>
  <c r="D63" i="23"/>
  <c r="F63" i="23" s="1"/>
  <c r="D65" i="23"/>
  <c r="F65" i="23" s="1"/>
  <c r="D66" i="23"/>
  <c r="F66" i="23" s="1"/>
  <c r="D10" i="22"/>
  <c r="F10" i="22" s="1"/>
  <c r="D9" i="22"/>
  <c r="F9" i="22" s="1"/>
  <c r="D8" i="22"/>
  <c r="F8" i="22" s="1"/>
  <c r="D7" i="22"/>
  <c r="F7" i="22" s="1"/>
  <c r="D6" i="22"/>
  <c r="F6" i="22" s="1"/>
  <c r="D5" i="22"/>
  <c r="F5" i="22" s="1"/>
  <c r="D4" i="22"/>
  <c r="C10" i="22"/>
  <c r="C9" i="22"/>
  <c r="C8" i="22"/>
  <c r="C7" i="22"/>
  <c r="C6" i="22"/>
  <c r="C5" i="22"/>
  <c r="C4" i="22"/>
  <c r="D44" i="22"/>
  <c r="F44" i="22" s="1"/>
  <c r="D45" i="22"/>
  <c r="F45" i="22" s="1"/>
  <c r="D46" i="22"/>
  <c r="F46" i="22" s="1"/>
  <c r="D47" i="22"/>
  <c r="F47" i="22" s="1"/>
  <c r="F62" i="22"/>
  <c r="F64" i="22"/>
  <c r="F65" i="22"/>
  <c r="F66" i="22"/>
  <c r="F59" i="22"/>
  <c r="F60" i="22"/>
  <c r="D26" i="22"/>
  <c r="G24" i="22" s="1"/>
  <c r="F68" i="22"/>
  <c r="F69" i="22"/>
  <c r="F70" i="22"/>
  <c r="F71" i="22"/>
  <c r="D53" i="22"/>
  <c r="F53" i="22" s="1"/>
  <c r="D54" i="22"/>
  <c r="F54" i="22" s="1"/>
  <c r="D55" i="22"/>
  <c r="F55" i="22" s="1"/>
  <c r="D56" i="22"/>
  <c r="F56" i="22" s="1"/>
  <c r="D57" i="22"/>
  <c r="F57" i="22" s="1"/>
  <c r="D28" i="22"/>
  <c r="D29" i="22"/>
  <c r="F29" i="22" s="1"/>
  <c r="D31" i="22"/>
  <c r="F31" i="22" s="1"/>
  <c r="D32" i="22"/>
  <c r="F32" i="22" s="1"/>
  <c r="D33" i="22"/>
  <c r="D34" i="22"/>
  <c r="F34" i="22" s="1"/>
  <c r="D35" i="22"/>
  <c r="F35" i="22" s="1"/>
  <c r="F30" i="22"/>
  <c r="F33" i="22"/>
  <c r="D37" i="22"/>
  <c r="F37" i="22" s="1"/>
  <c r="D38" i="22"/>
  <c r="F38" i="22" s="1"/>
  <c r="D39" i="22"/>
  <c r="F39" i="22" s="1"/>
  <c r="D41" i="22"/>
  <c r="F41" i="22" s="1"/>
  <c r="D42" i="22"/>
  <c r="F42" i="22" s="1"/>
  <c r="D49" i="22"/>
  <c r="F49" i="22" s="1"/>
  <c r="F50" i="22"/>
  <c r="D51" i="22"/>
  <c r="F51" i="22" s="1"/>
  <c r="D83" i="22"/>
  <c r="G83" i="22" s="1"/>
  <c r="D12" i="22"/>
  <c r="F12" i="22" s="1"/>
  <c r="D13" i="22"/>
  <c r="F13" i="22" s="1"/>
  <c r="D14" i="22"/>
  <c r="F14" i="22" s="1"/>
  <c r="D15" i="22"/>
  <c r="F15" i="22" s="1"/>
  <c r="D16" i="22"/>
  <c r="F16" i="22" s="1"/>
  <c r="D74" i="22"/>
  <c r="F74" i="22" s="1"/>
  <c r="D75" i="22"/>
  <c r="F75" i="22" s="1"/>
  <c r="D76" i="22"/>
  <c r="F76" i="22" s="1"/>
  <c r="F77" i="22"/>
  <c r="D78" i="22"/>
  <c r="F78" i="22" s="1"/>
  <c r="D80" i="22"/>
  <c r="G79" i="22" s="1"/>
  <c r="D25" i="22"/>
  <c r="F25" i="22" s="1"/>
  <c r="B24" i="22"/>
  <c r="A24" i="22"/>
  <c r="C26" i="22"/>
  <c r="C25" i="22"/>
  <c r="C24" i="22"/>
  <c r="D81" i="22"/>
  <c r="F81" i="22" s="1"/>
  <c r="B79" i="22"/>
  <c r="A79" i="22"/>
  <c r="C81" i="22"/>
  <c r="C80" i="22"/>
  <c r="C79" i="22"/>
  <c r="C78" i="22"/>
  <c r="C76" i="22"/>
  <c r="C75" i="22"/>
  <c r="C74" i="22"/>
  <c r="C73" i="22"/>
  <c r="A73" i="22"/>
  <c r="B73" i="22"/>
  <c r="A83" i="22"/>
  <c r="C83" i="22"/>
  <c r="B83" i="22"/>
  <c r="D205" i="11"/>
  <c r="F205" i="11" s="1"/>
  <c r="D206" i="11"/>
  <c r="F206" i="11" s="1"/>
  <c r="D207" i="11"/>
  <c r="F207" i="11" s="1"/>
  <c r="D208" i="11"/>
  <c r="F208" i="11" s="1"/>
  <c r="D202" i="11"/>
  <c r="F202" i="11" s="1"/>
  <c r="D203" i="11"/>
  <c r="F203" i="11" s="1"/>
  <c r="D213" i="11"/>
  <c r="G213" i="11" s="1"/>
  <c r="D184" i="11"/>
  <c r="F184" i="11" s="1"/>
  <c r="D185" i="11"/>
  <c r="F185" i="11" s="1"/>
  <c r="D186" i="11"/>
  <c r="F186" i="11" s="1"/>
  <c r="D187" i="11"/>
  <c r="F187" i="11" s="1"/>
  <c r="D188" i="11"/>
  <c r="F188" i="11" s="1"/>
  <c r="D148" i="11"/>
  <c r="F148" i="11" s="1"/>
  <c r="D149" i="11"/>
  <c r="F149" i="11" s="1"/>
  <c r="D150" i="11"/>
  <c r="F150" i="11" s="1"/>
  <c r="D151" i="11"/>
  <c r="F151" i="11" s="1"/>
  <c r="D153" i="11"/>
  <c r="F153" i="11" s="1"/>
  <c r="D154" i="11"/>
  <c r="F154" i="11" s="1"/>
  <c r="D155" i="11"/>
  <c r="F155" i="11" s="1"/>
  <c r="D156" i="11"/>
  <c r="F156" i="11" s="1"/>
  <c r="D158" i="11"/>
  <c r="F158" i="11" s="1"/>
  <c r="D196" i="11"/>
  <c r="F196" i="11" s="1"/>
  <c r="D197" i="11"/>
  <c r="F197" i="11" s="1"/>
  <c r="D198" i="11"/>
  <c r="F198" i="11" s="1"/>
  <c r="F199" i="11"/>
  <c r="D200" i="11"/>
  <c r="D210" i="11"/>
  <c r="F210" i="11" s="1"/>
  <c r="D211" i="11"/>
  <c r="D212" i="11"/>
  <c r="F212" i="11" s="1"/>
  <c r="A96" i="16"/>
  <c r="B96" i="16"/>
  <c r="C96" i="16"/>
  <c r="F46" i="16"/>
  <c r="F47" i="16"/>
  <c r="F48" i="16"/>
  <c r="F49" i="16"/>
  <c r="F50" i="16"/>
  <c r="F85" i="11"/>
  <c r="F86" i="11"/>
  <c r="F87" i="11"/>
  <c r="F88" i="11"/>
  <c r="F89" i="11"/>
  <c r="D120" i="11"/>
  <c r="F120" i="11" s="1"/>
  <c r="D122" i="11"/>
  <c r="F122" i="11" s="1"/>
  <c r="D123" i="11"/>
  <c r="F123" i="11" s="1"/>
  <c r="F19" i="11"/>
  <c r="F20" i="11"/>
  <c r="F21" i="11"/>
  <c r="F22" i="11"/>
  <c r="F23" i="11"/>
  <c r="D41" i="11"/>
  <c r="F41" i="11" s="1"/>
  <c r="D42" i="11"/>
  <c r="F42" i="11" s="1"/>
  <c r="D43" i="11"/>
  <c r="F43" i="11" s="1"/>
  <c r="D44" i="11"/>
  <c r="F44" i="11" s="1"/>
  <c r="A7" i="11"/>
  <c r="B190" i="11"/>
  <c r="A190" i="11"/>
  <c r="B152" i="11"/>
  <c r="A152" i="11"/>
  <c r="C158" i="11"/>
  <c r="C156" i="11"/>
  <c r="C155" i="11"/>
  <c r="C154" i="11"/>
  <c r="C153" i="11"/>
  <c r="C152" i="11"/>
  <c r="D143" i="10"/>
  <c r="F143" i="10" s="1"/>
  <c r="D144" i="10"/>
  <c r="F144" i="10" s="1"/>
  <c r="D145" i="10"/>
  <c r="F145" i="10" s="1"/>
  <c r="D146" i="10"/>
  <c r="F146" i="10" s="1"/>
  <c r="D133" i="10"/>
  <c r="F133" i="10" s="1"/>
  <c r="D134" i="10"/>
  <c r="F134" i="10" s="1"/>
  <c r="D135" i="10"/>
  <c r="F135" i="10" s="1"/>
  <c r="D137" i="10"/>
  <c r="F137" i="10" s="1"/>
  <c r="D138" i="10"/>
  <c r="F138" i="10" s="1"/>
  <c r="D139" i="10"/>
  <c r="F139" i="10" s="1"/>
  <c r="D141" i="10"/>
  <c r="F141" i="10" s="1"/>
  <c r="D147" i="10"/>
  <c r="G147" i="10" s="1"/>
  <c r="A160" i="11"/>
  <c r="B160" i="11"/>
  <c r="A103" i="10"/>
  <c r="B103" i="10"/>
  <c r="F58" i="16"/>
  <c r="F59" i="16"/>
  <c r="F60" i="16"/>
  <c r="F61" i="16"/>
  <c r="F39" i="16"/>
  <c r="F40" i="16"/>
  <c r="F41" i="16"/>
  <c r="F43" i="16"/>
  <c r="F44" i="16"/>
  <c r="F64" i="16"/>
  <c r="F65" i="16"/>
  <c r="F66" i="16"/>
  <c r="F67" i="16"/>
  <c r="F68" i="16"/>
  <c r="F77" i="16"/>
  <c r="F78" i="16"/>
  <c r="F79" i="16"/>
  <c r="F91" i="16"/>
  <c r="D92" i="16"/>
  <c r="F92" i="16" s="1"/>
  <c r="F93" i="16"/>
  <c r="D94" i="16"/>
  <c r="F94" i="16" s="1"/>
  <c r="D95" i="16"/>
  <c r="F95" i="16" s="1"/>
  <c r="F21" i="16"/>
  <c r="G19" i="16" s="1"/>
  <c r="G150" i="16" s="1"/>
  <c r="D85" i="16"/>
  <c r="F85" i="16" s="1"/>
  <c r="D86" i="16"/>
  <c r="F86" i="16" s="1"/>
  <c r="D87" i="16"/>
  <c r="F87" i="16" s="1"/>
  <c r="F88" i="16"/>
  <c r="F89" i="16"/>
  <c r="F27" i="16"/>
  <c r="F28" i="16"/>
  <c r="F70" i="16"/>
  <c r="F71" i="16"/>
  <c r="F73" i="16"/>
  <c r="F74" i="16"/>
  <c r="F75" i="16"/>
  <c r="F53" i="16"/>
  <c r="F54" i="16"/>
  <c r="F55" i="16"/>
  <c r="F56" i="16"/>
  <c r="D101" i="16"/>
  <c r="F101" i="16" s="1"/>
  <c r="D102" i="16"/>
  <c r="F102" i="16" s="1"/>
  <c r="D103" i="16"/>
  <c r="F103" i="16" s="1"/>
  <c r="D105" i="16"/>
  <c r="F105" i="16" s="1"/>
  <c r="D106" i="16"/>
  <c r="F106" i="16" s="1"/>
  <c r="D107" i="16"/>
  <c r="F107" i="16" s="1"/>
  <c r="D4" i="16"/>
  <c r="F5" i="16"/>
  <c r="D6" i="16"/>
  <c r="F6" i="16" s="1"/>
  <c r="D7" i="16"/>
  <c r="F7" i="16" s="1"/>
  <c r="D8" i="16"/>
  <c r="F8" i="16" s="1"/>
  <c r="D33" i="16"/>
  <c r="D34" i="16"/>
  <c r="F34" i="16" s="1"/>
  <c r="D35" i="16"/>
  <c r="F35" i="16" s="1"/>
  <c r="D36" i="16"/>
  <c r="F36" i="16" s="1"/>
  <c r="D37" i="16"/>
  <c r="F37" i="16" s="1"/>
  <c r="D109" i="16"/>
  <c r="F109" i="16" s="1"/>
  <c r="D110" i="16"/>
  <c r="F110" i="16" s="1"/>
  <c r="D111" i="16"/>
  <c r="F111" i="16" s="1"/>
  <c r="D113" i="16"/>
  <c r="F113" i="16" s="1"/>
  <c r="D115" i="16"/>
  <c r="F115" i="16" s="1"/>
  <c r="D116" i="16"/>
  <c r="F116" i="16" s="1"/>
  <c r="D118" i="16"/>
  <c r="G118" i="16" s="1"/>
  <c r="D119" i="16"/>
  <c r="G119" i="16" s="1"/>
  <c r="D117" i="16"/>
  <c r="G117" i="16" s="1"/>
  <c r="C44" i="12"/>
  <c r="A44" i="12"/>
  <c r="B44" i="12"/>
  <c r="C37" i="31"/>
  <c r="A37" i="31"/>
  <c r="B37" i="31"/>
  <c r="F69" i="8"/>
  <c r="F70" i="8"/>
  <c r="F71" i="8"/>
  <c r="F72" i="8"/>
  <c r="F57" i="8"/>
  <c r="F59" i="8"/>
  <c r="D60" i="8"/>
  <c r="F60" i="8" s="1"/>
  <c r="F61" i="8"/>
  <c r="D62" i="8"/>
  <c r="F62" i="8" s="1"/>
  <c r="D63" i="8"/>
  <c r="F63" i="8" s="1"/>
  <c r="F43" i="8"/>
  <c r="F44" i="8"/>
  <c r="F46" i="8"/>
  <c r="F47" i="8"/>
  <c r="D25" i="8"/>
  <c r="F25" i="8" s="1"/>
  <c r="D26" i="8"/>
  <c r="F26" i="8" s="1"/>
  <c r="D27" i="8"/>
  <c r="F27" i="8" s="1"/>
  <c r="F28" i="8"/>
  <c r="D29" i="8"/>
  <c r="F29" i="8" s="1"/>
  <c r="D67" i="8"/>
  <c r="D65" i="8"/>
  <c r="F65" i="8" s="1"/>
  <c r="D66" i="8"/>
  <c r="F66" i="8" s="1"/>
  <c r="F4" i="8"/>
  <c r="F5" i="8"/>
  <c r="F6" i="8"/>
  <c r="F7" i="8"/>
  <c r="D67" i="21"/>
  <c r="F67" i="21" s="1"/>
  <c r="D68" i="21"/>
  <c r="G66" i="21" s="1"/>
  <c r="D80" i="21"/>
  <c r="F80" i="21" s="1"/>
  <c r="D81" i="21"/>
  <c r="F81" i="21" s="1"/>
  <c r="D83" i="21"/>
  <c r="F83" i="21" s="1"/>
  <c r="D84" i="21"/>
  <c r="F84" i="21" s="1"/>
  <c r="D70" i="21"/>
  <c r="D71" i="21"/>
  <c r="F71" i="21" s="1"/>
  <c r="F72" i="21"/>
  <c r="D73" i="21"/>
  <c r="F73" i="21" s="1"/>
  <c r="D74" i="21"/>
  <c r="F74" i="21" s="1"/>
  <c r="D75" i="21"/>
  <c r="F75" i="21" s="1"/>
  <c r="D76" i="21"/>
  <c r="F76" i="21" s="1"/>
  <c r="D77" i="21"/>
  <c r="F77" i="21" s="1"/>
  <c r="F70" i="21"/>
  <c r="A101" i="10"/>
  <c r="F40" i="10"/>
  <c r="F41" i="10"/>
  <c r="F42" i="10"/>
  <c r="F43" i="10"/>
  <c r="F44" i="10"/>
  <c r="C159" i="19"/>
  <c r="D42" i="25"/>
  <c r="F42" i="25" s="1"/>
  <c r="D41" i="25"/>
  <c r="F41" i="25" s="1"/>
  <c r="D44" i="25"/>
  <c r="F44" i="25" s="1"/>
  <c r="C44" i="25"/>
  <c r="D43" i="25"/>
  <c r="F43" i="25" s="1"/>
  <c r="C43" i="25"/>
  <c r="C42" i="25"/>
  <c r="C41" i="25"/>
  <c r="D40" i="25"/>
  <c r="C40" i="25"/>
  <c r="D30" i="19"/>
  <c r="F30" i="19" s="1"/>
  <c r="D31" i="19"/>
  <c r="F31" i="19" s="1"/>
  <c r="C31" i="19"/>
  <c r="C30" i="19"/>
  <c r="D29" i="19"/>
  <c r="F29" i="19" s="1"/>
  <c r="C29" i="19"/>
  <c r="D28" i="19"/>
  <c r="F28" i="19" s="1"/>
  <c r="C28" i="19"/>
  <c r="F27" i="19"/>
  <c r="D23" i="19"/>
  <c r="F23" i="19" s="1"/>
  <c r="D22" i="19"/>
  <c r="F22" i="19" s="1"/>
  <c r="D24" i="19"/>
  <c r="F24" i="19" s="1"/>
  <c r="C24" i="19"/>
  <c r="C23" i="19"/>
  <c r="C22" i="19"/>
  <c r="D21" i="19"/>
  <c r="F21" i="19" s="1"/>
  <c r="C21" i="19"/>
  <c r="D20" i="19"/>
  <c r="C20" i="19"/>
  <c r="C25" i="23"/>
  <c r="D22" i="21"/>
  <c r="F22" i="21" s="1"/>
  <c r="D21" i="21"/>
  <c r="F21" i="21" s="1"/>
  <c r="D25" i="21"/>
  <c r="F25" i="21" s="1"/>
  <c r="D24" i="21"/>
  <c r="F24" i="21" s="1"/>
  <c r="D23" i="21"/>
  <c r="F23" i="21" s="1"/>
  <c r="D20" i="21"/>
  <c r="F20" i="21" s="1"/>
  <c r="D19" i="21"/>
  <c r="F19" i="21" s="1"/>
  <c r="C25" i="21"/>
  <c r="C24" i="21"/>
  <c r="C23" i="21"/>
  <c r="C22" i="21"/>
  <c r="C21" i="21"/>
  <c r="C20" i="21"/>
  <c r="C19" i="21"/>
  <c r="D15" i="18"/>
  <c r="F15" i="18" s="1"/>
  <c r="D14" i="18"/>
  <c r="F14" i="18" s="1"/>
  <c r="D18" i="18"/>
  <c r="F18" i="18" s="1"/>
  <c r="C18" i="18"/>
  <c r="D17" i="18"/>
  <c r="F17" i="18" s="1"/>
  <c r="C17" i="18"/>
  <c r="D16" i="18"/>
  <c r="F16" i="18" s="1"/>
  <c r="C16" i="18"/>
  <c r="C15" i="18"/>
  <c r="C14" i="18"/>
  <c r="D13" i="18"/>
  <c r="F13" i="18" s="1"/>
  <c r="C13" i="18"/>
  <c r="D9" i="25"/>
  <c r="F9" i="25" s="1"/>
  <c r="C9" i="25"/>
  <c r="F8" i="25"/>
  <c r="D7" i="25"/>
  <c r="F7" i="25" s="1"/>
  <c r="C7" i="25"/>
  <c r="F6" i="25"/>
  <c r="F5" i="25"/>
  <c r="C48" i="21"/>
  <c r="C36" i="18"/>
  <c r="C4" i="18"/>
  <c r="D164" i="23"/>
  <c r="F164" i="23" s="1"/>
  <c r="D163" i="23"/>
  <c r="F163" i="23" s="1"/>
  <c r="D161" i="23"/>
  <c r="F161" i="23" s="1"/>
  <c r="C164" i="23"/>
  <c r="C163" i="23"/>
  <c r="C161" i="23"/>
  <c r="B160" i="23"/>
  <c r="A160" i="23"/>
  <c r="C160" i="23"/>
  <c r="B134" i="23"/>
  <c r="A134" i="23"/>
  <c r="B138" i="23"/>
  <c r="A138" i="23"/>
  <c r="C138" i="23"/>
  <c r="C134" i="23"/>
  <c r="D140" i="21"/>
  <c r="F140" i="21" s="1"/>
  <c r="D141" i="21"/>
  <c r="F141" i="21" s="1"/>
  <c r="D142" i="21"/>
  <c r="F142" i="21" s="1"/>
  <c r="D144" i="21"/>
  <c r="F144" i="21" s="1"/>
  <c r="C144" i="21"/>
  <c r="C142" i="21"/>
  <c r="C141" i="21"/>
  <c r="C140" i="21"/>
  <c r="C139" i="21"/>
  <c r="A139" i="21"/>
  <c r="B139" i="21"/>
  <c r="D17" i="21"/>
  <c r="F17" i="21" s="1"/>
  <c r="D16" i="21"/>
  <c r="F16" i="21" s="1"/>
  <c r="D15" i="21"/>
  <c r="F15" i="21" s="1"/>
  <c r="D14" i="21"/>
  <c r="F14" i="21" s="1"/>
  <c r="D13" i="21"/>
  <c r="F13" i="21" s="1"/>
  <c r="D12" i="21"/>
  <c r="F12" i="21" s="1"/>
  <c r="D11" i="21"/>
  <c r="F11" i="21" s="1"/>
  <c r="C17" i="21"/>
  <c r="C16" i="21"/>
  <c r="C15" i="21"/>
  <c r="C14" i="21"/>
  <c r="C13" i="21"/>
  <c r="C12" i="21"/>
  <c r="C157" i="18"/>
  <c r="A157" i="18"/>
  <c r="B157" i="18"/>
  <c r="D187" i="18"/>
  <c r="G187" i="18" s="1"/>
  <c r="A187" i="18"/>
  <c r="B187" i="18"/>
  <c r="D103" i="17"/>
  <c r="G103" i="17" s="1"/>
  <c r="B113" i="13"/>
  <c r="C126" i="11"/>
  <c r="B124" i="11"/>
  <c r="A124" i="11"/>
  <c r="C124" i="11"/>
  <c r="F7" i="20"/>
  <c r="F4" i="20"/>
  <c r="F5" i="20"/>
  <c r="F6" i="20"/>
  <c r="F8" i="20"/>
  <c r="F9" i="20"/>
  <c r="D64" i="20"/>
  <c r="F64" i="20" s="1"/>
  <c r="D65" i="20"/>
  <c r="F65" i="20" s="1"/>
  <c r="F66" i="20"/>
  <c r="D67" i="20"/>
  <c r="F67" i="20" s="1"/>
  <c r="D68" i="20"/>
  <c r="D60" i="20"/>
  <c r="F60" i="20" s="1"/>
  <c r="D61" i="20"/>
  <c r="F61" i="20" s="1"/>
  <c r="D62" i="20"/>
  <c r="F62" i="20" s="1"/>
  <c r="F60" i="14"/>
  <c r="F61" i="14"/>
  <c r="F62" i="14"/>
  <c r="F63" i="14"/>
  <c r="F65" i="14"/>
  <c r="D25" i="14"/>
  <c r="F25" i="14" s="1"/>
  <c r="D26" i="14"/>
  <c r="F26" i="14" s="1"/>
  <c r="D27" i="14"/>
  <c r="F27" i="14" s="1"/>
  <c r="D28" i="14"/>
  <c r="F28" i="14" s="1"/>
  <c r="F49" i="14"/>
  <c r="F50" i="14"/>
  <c r="F51" i="14"/>
  <c r="F52" i="14"/>
  <c r="F58" i="14"/>
  <c r="F57" i="14"/>
  <c r="F56" i="14"/>
  <c r="F55" i="14"/>
  <c r="F54" i="14"/>
  <c r="F85" i="14"/>
  <c r="F86" i="14"/>
  <c r="F88" i="14"/>
  <c r="D89" i="14"/>
  <c r="F89" i="14" s="1"/>
  <c r="F90" i="14"/>
  <c r="D91" i="14"/>
  <c r="F91" i="14" s="1"/>
  <c r="D92" i="14"/>
  <c r="F92" i="14" s="1"/>
  <c r="F75" i="14"/>
  <c r="F76" i="14"/>
  <c r="D78" i="14"/>
  <c r="F78" i="14" s="1"/>
  <c r="D79" i="14"/>
  <c r="F79" i="14" s="1"/>
  <c r="D80" i="14"/>
  <c r="F80" i="14" s="1"/>
  <c r="F81" i="14"/>
  <c r="F82" i="14"/>
  <c r="F4" i="14"/>
  <c r="F5" i="14"/>
  <c r="F6" i="14"/>
  <c r="F7" i="14"/>
  <c r="F8" i="14"/>
  <c r="F9" i="14"/>
  <c r="D96" i="14"/>
  <c r="D94" i="14"/>
  <c r="F94" i="14" s="1"/>
  <c r="D95" i="14"/>
  <c r="F95" i="14" s="1"/>
  <c r="F13" i="14"/>
  <c r="F17" i="14"/>
  <c r="F36" i="14"/>
  <c r="F37" i="14"/>
  <c r="F39" i="14"/>
  <c r="F40" i="14"/>
  <c r="F42" i="14"/>
  <c r="F43" i="14"/>
  <c r="F44" i="14"/>
  <c r="F46" i="14"/>
  <c r="D19" i="14"/>
  <c r="F19" i="14" s="1"/>
  <c r="D20" i="14"/>
  <c r="F20" i="14" s="1"/>
  <c r="D21" i="14"/>
  <c r="F21" i="14" s="1"/>
  <c r="D22" i="14"/>
  <c r="F22" i="14" s="1"/>
  <c r="D23" i="14"/>
  <c r="F23" i="14" s="1"/>
  <c r="D29" i="13"/>
  <c r="F29" i="13" s="1"/>
  <c r="D28" i="13"/>
  <c r="F28" i="13" s="1"/>
  <c r="D30" i="13"/>
  <c r="F30" i="13" s="1"/>
  <c r="F31" i="13"/>
  <c r="D32" i="13"/>
  <c r="F32" i="13" s="1"/>
  <c r="D113" i="13"/>
  <c r="G113" i="13" s="1"/>
  <c r="D102" i="13"/>
  <c r="F102" i="13" s="1"/>
  <c r="D22" i="13"/>
  <c r="F22" i="13" s="1"/>
  <c r="D23" i="13"/>
  <c r="F23" i="13" s="1"/>
  <c r="D24" i="13"/>
  <c r="F24" i="13" s="1"/>
  <c r="D26" i="13"/>
  <c r="F26" i="13" s="1"/>
  <c r="D75" i="10"/>
  <c r="G75" i="10" s="1"/>
  <c r="F48" i="9"/>
  <c r="F47" i="9"/>
  <c r="F46" i="9"/>
  <c r="F44" i="9"/>
  <c r="F30" i="12"/>
  <c r="F29" i="12"/>
  <c r="F28" i="12"/>
  <c r="F27" i="12"/>
  <c r="D102" i="17"/>
  <c r="G102" i="17" s="1"/>
  <c r="D97" i="17"/>
  <c r="F97" i="17" s="1"/>
  <c r="D98" i="17"/>
  <c r="F98" i="17" s="1"/>
  <c r="D99" i="17"/>
  <c r="F99" i="17" s="1"/>
  <c r="D101" i="17"/>
  <c r="F101" i="17" s="1"/>
  <c r="F52" i="10"/>
  <c r="F53" i="10"/>
  <c r="F54" i="10"/>
  <c r="F56" i="10"/>
  <c r="F46" i="10"/>
  <c r="F47" i="10"/>
  <c r="F49" i="10"/>
  <c r="F50" i="10"/>
  <c r="F33" i="10"/>
  <c r="F34" i="10"/>
  <c r="F36" i="10"/>
  <c r="F37" i="10"/>
  <c r="F38" i="10"/>
  <c r="D108" i="21"/>
  <c r="F7" i="21"/>
  <c r="F4" i="21"/>
  <c r="F5" i="21"/>
  <c r="F6" i="21"/>
  <c r="F8" i="21"/>
  <c r="F9" i="21"/>
  <c r="D93" i="21"/>
  <c r="F93" i="21" s="1"/>
  <c r="D94" i="21"/>
  <c r="F94" i="21" s="1"/>
  <c r="D95" i="21"/>
  <c r="F95" i="21" s="1"/>
  <c r="D96" i="21"/>
  <c r="F96" i="21" s="1"/>
  <c r="D97" i="21"/>
  <c r="F97" i="21" s="1"/>
  <c r="D56" i="21"/>
  <c r="F56" i="21" s="1"/>
  <c r="D57" i="21"/>
  <c r="F57" i="21" s="1"/>
  <c r="F58" i="21"/>
  <c r="D51" i="20"/>
  <c r="F51" i="20" s="1"/>
  <c r="D52" i="20"/>
  <c r="F52" i="20" s="1"/>
  <c r="F53" i="20"/>
  <c r="D54" i="20"/>
  <c r="F54" i="20" s="1"/>
  <c r="D55" i="20"/>
  <c r="F55" i="20" s="1"/>
  <c r="D56" i="20"/>
  <c r="F56" i="20" s="1"/>
  <c r="D57" i="20"/>
  <c r="F57" i="20" s="1"/>
  <c r="D58" i="20"/>
  <c r="F58" i="20" s="1"/>
  <c r="F82" i="19"/>
  <c r="F83" i="19"/>
  <c r="F84" i="19"/>
  <c r="F86" i="19"/>
  <c r="F77" i="19"/>
  <c r="F78" i="19"/>
  <c r="F79" i="19"/>
  <c r="F80" i="19"/>
  <c r="F88" i="19"/>
  <c r="F89" i="19"/>
  <c r="F90" i="19"/>
  <c r="F91" i="19"/>
  <c r="F92" i="19"/>
  <c r="F94" i="19"/>
  <c r="G93" i="19" s="1"/>
  <c r="F69" i="19"/>
  <c r="F70" i="19"/>
  <c r="F71" i="19"/>
  <c r="F72" i="19"/>
  <c r="F73" i="19"/>
  <c r="F74" i="19"/>
  <c r="F43" i="17"/>
  <c r="F44" i="17"/>
  <c r="F46" i="17"/>
  <c r="F47" i="17"/>
  <c r="F49" i="17"/>
  <c r="F50" i="17"/>
  <c r="F51" i="17"/>
  <c r="F38" i="17"/>
  <c r="F39" i="17"/>
  <c r="F40" i="17"/>
  <c r="F60" i="17"/>
  <c r="F61" i="17"/>
  <c r="F62" i="17"/>
  <c r="F74" i="17"/>
  <c r="D75" i="17"/>
  <c r="F75" i="17" s="1"/>
  <c r="F76" i="17"/>
  <c r="D77" i="17"/>
  <c r="F77" i="17" s="1"/>
  <c r="D78" i="17"/>
  <c r="F78" i="17" s="1"/>
  <c r="F30" i="17"/>
  <c r="F31" i="17"/>
  <c r="F32" i="17"/>
  <c r="F33" i="17"/>
  <c r="F34" i="17"/>
  <c r="D61" i="19"/>
  <c r="F61" i="19" s="1"/>
  <c r="D62" i="19"/>
  <c r="F62" i="19" s="1"/>
  <c r="F63" i="19"/>
  <c r="D64" i="19"/>
  <c r="F64" i="19" s="1"/>
  <c r="D65" i="19"/>
  <c r="F65" i="19" s="1"/>
  <c r="D56" i="19"/>
  <c r="F56" i="19" s="1"/>
  <c r="D57" i="19"/>
  <c r="D58" i="19"/>
  <c r="F58" i="19" s="1"/>
  <c r="D59" i="19"/>
  <c r="F59" i="19" s="1"/>
  <c r="F4" i="19"/>
  <c r="F5" i="19"/>
  <c r="F6" i="19"/>
  <c r="F7" i="19"/>
  <c r="F8" i="19"/>
  <c r="F9" i="19"/>
  <c r="F46" i="19"/>
  <c r="F49" i="19"/>
  <c r="D26" i="19"/>
  <c r="D120" i="19"/>
  <c r="F120" i="19" s="1"/>
  <c r="D121" i="19"/>
  <c r="F121" i="19" s="1"/>
  <c r="D122" i="19"/>
  <c r="F122" i="19" s="1"/>
  <c r="D11" i="19"/>
  <c r="F11" i="19" s="1"/>
  <c r="D12" i="19"/>
  <c r="F12" i="19" s="1"/>
  <c r="D13" i="19"/>
  <c r="F13" i="19" s="1"/>
  <c r="D14" i="19"/>
  <c r="F14" i="19" s="1"/>
  <c r="D15" i="19"/>
  <c r="F15" i="19" s="1"/>
  <c r="D16" i="19"/>
  <c r="F16" i="19" s="1"/>
  <c r="D19" i="19"/>
  <c r="F19" i="19" s="1"/>
  <c r="D129" i="19"/>
  <c r="F129" i="19" s="1"/>
  <c r="D130" i="19"/>
  <c r="F130" i="19" s="1"/>
  <c r="D131" i="19"/>
  <c r="F131" i="19" s="1"/>
  <c r="D132" i="19"/>
  <c r="F132" i="19" s="1"/>
  <c r="D133" i="19"/>
  <c r="F133" i="19" s="1"/>
  <c r="D134" i="19"/>
  <c r="D136" i="19"/>
  <c r="F136" i="19" s="1"/>
  <c r="D138" i="19"/>
  <c r="F138" i="19" s="1"/>
  <c r="D139" i="19"/>
  <c r="F139" i="19" s="1"/>
  <c r="D140" i="19"/>
  <c r="G67" i="19"/>
  <c r="D114" i="19"/>
  <c r="D80" i="25"/>
  <c r="F80" i="25" s="1"/>
  <c r="D81" i="25"/>
  <c r="F81" i="25" s="1"/>
  <c r="D58" i="23"/>
  <c r="F58" i="23" s="1"/>
  <c r="D59" i="23"/>
  <c r="F59" i="23" s="1"/>
  <c r="D14" i="26"/>
  <c r="F23" i="26"/>
  <c r="F24" i="26"/>
  <c r="F25" i="26"/>
  <c r="F26" i="26"/>
  <c r="F27" i="26"/>
  <c r="D10" i="26"/>
  <c r="F10" i="26" s="1"/>
  <c r="D11" i="26"/>
  <c r="F11" i="26" s="1"/>
  <c r="D12" i="26"/>
  <c r="F12" i="26" s="1"/>
  <c r="D13" i="26"/>
  <c r="F13" i="26" s="1"/>
  <c r="F21" i="26"/>
  <c r="G19" i="26" s="1"/>
  <c r="D16" i="26"/>
  <c r="F16" i="26" s="1"/>
  <c r="D18" i="26"/>
  <c r="F18" i="26" s="1"/>
  <c r="F4" i="26"/>
  <c r="F5" i="26"/>
  <c r="F7" i="26"/>
  <c r="F85" i="23"/>
  <c r="G83" i="23" s="1"/>
  <c r="D74" i="23"/>
  <c r="F74" i="23" s="1"/>
  <c r="F75" i="23"/>
  <c r="D76" i="23"/>
  <c r="F76" i="23" s="1"/>
  <c r="F87" i="23"/>
  <c r="F88" i="23"/>
  <c r="F89" i="23"/>
  <c r="F90" i="23"/>
  <c r="D68" i="23"/>
  <c r="D69" i="23"/>
  <c r="F69" i="23" s="1"/>
  <c r="D70" i="23"/>
  <c r="F70" i="23" s="1"/>
  <c r="D71" i="23"/>
  <c r="F71" i="23" s="1"/>
  <c r="D72" i="23"/>
  <c r="F72" i="23" s="1"/>
  <c r="D78" i="23"/>
  <c r="F78" i="23" s="1"/>
  <c r="D79" i="23"/>
  <c r="F79" i="23" s="1"/>
  <c r="D80" i="23"/>
  <c r="F80" i="23" s="1"/>
  <c r="F81" i="23"/>
  <c r="D82" i="23"/>
  <c r="F82" i="23" s="1"/>
  <c r="F7" i="23"/>
  <c r="F4" i="23"/>
  <c r="F5" i="23"/>
  <c r="F6" i="23"/>
  <c r="F8" i="23"/>
  <c r="F9" i="23"/>
  <c r="D150" i="23"/>
  <c r="F150" i="23" s="1"/>
  <c r="D148" i="23"/>
  <c r="F148" i="23" s="1"/>
  <c r="D149" i="23"/>
  <c r="F149" i="23" s="1"/>
  <c r="D144" i="23"/>
  <c r="F144" i="23" s="1"/>
  <c r="D145" i="23"/>
  <c r="F145" i="23" s="1"/>
  <c r="D146" i="23"/>
  <c r="F146" i="23" s="1"/>
  <c r="D152" i="23"/>
  <c r="F152" i="23" s="1"/>
  <c r="D153" i="23"/>
  <c r="F153" i="23" s="1"/>
  <c r="D154" i="23"/>
  <c r="F154" i="23" s="1"/>
  <c r="D156" i="23"/>
  <c r="F156" i="23" s="1"/>
  <c r="D158" i="23"/>
  <c r="F158" i="23" s="1"/>
  <c r="D159" i="23"/>
  <c r="F159" i="23" s="1"/>
  <c r="D27" i="23"/>
  <c r="F27" i="23" s="1"/>
  <c r="D28" i="23"/>
  <c r="F28" i="23" s="1"/>
  <c r="D29" i="23"/>
  <c r="F29" i="23" s="1"/>
  <c r="D30" i="23"/>
  <c r="F30" i="23" s="1"/>
  <c r="D31" i="23"/>
  <c r="F31" i="23" s="1"/>
  <c r="D46" i="23"/>
  <c r="D47" i="23"/>
  <c r="F47" i="23" s="1"/>
  <c r="D48" i="23"/>
  <c r="F48" i="23" s="1"/>
  <c r="D49" i="23"/>
  <c r="F49" i="23" s="1"/>
  <c r="D50" i="23"/>
  <c r="F50" i="23" s="1"/>
  <c r="D51" i="23"/>
  <c r="F51" i="23" s="1"/>
  <c r="F52" i="23"/>
  <c r="D166" i="23"/>
  <c r="F166" i="23" s="1"/>
  <c r="D167" i="23"/>
  <c r="F167" i="23" s="1"/>
  <c r="D168" i="23"/>
  <c r="F168" i="23" s="1"/>
  <c r="D169" i="23"/>
  <c r="F169" i="23" s="1"/>
  <c r="D170" i="23"/>
  <c r="F170" i="23" s="1"/>
  <c r="D171" i="23"/>
  <c r="D173" i="23"/>
  <c r="F173" i="23" s="1"/>
  <c r="D175" i="23"/>
  <c r="F175" i="23" s="1"/>
  <c r="D176" i="23"/>
  <c r="F176" i="23" s="1"/>
  <c r="D177" i="23"/>
  <c r="D179" i="23"/>
  <c r="G179" i="23" s="1"/>
  <c r="D182" i="23"/>
  <c r="G182" i="23" s="1"/>
  <c r="F33" i="23"/>
  <c r="D34" i="23"/>
  <c r="F34" i="23" s="1"/>
  <c r="D35" i="23"/>
  <c r="F35" i="23" s="1"/>
  <c r="D36" i="23"/>
  <c r="F36" i="23" s="1"/>
  <c r="D37" i="23"/>
  <c r="D39" i="23"/>
  <c r="D40" i="23"/>
  <c r="F40" i="23" s="1"/>
  <c r="D41" i="23"/>
  <c r="F41" i="23" s="1"/>
  <c r="D42" i="23"/>
  <c r="F42" i="23" s="1"/>
  <c r="F43" i="23"/>
  <c r="D44" i="23"/>
  <c r="F44" i="23" s="1"/>
  <c r="C66" i="23"/>
  <c r="C65" i="23"/>
  <c r="C63" i="23"/>
  <c r="C62" i="23"/>
  <c r="A60" i="23"/>
  <c r="B60" i="23"/>
  <c r="C60" i="23"/>
  <c r="D86" i="21"/>
  <c r="F86" i="21" s="1"/>
  <c r="D87" i="21"/>
  <c r="F87" i="21" s="1"/>
  <c r="D88" i="21"/>
  <c r="F88" i="21" s="1"/>
  <c r="D90" i="21"/>
  <c r="G89" i="21" s="1"/>
  <c r="D91" i="21"/>
  <c r="F91" i="21" s="1"/>
  <c r="D30" i="15"/>
  <c r="F30" i="15" s="1"/>
  <c r="D31" i="15"/>
  <c r="F31" i="15" s="1"/>
  <c r="D33" i="15"/>
  <c r="F33" i="15" s="1"/>
  <c r="D34" i="15"/>
  <c r="F34" i="15" s="1"/>
  <c r="D83" i="18"/>
  <c r="F83" i="18" s="1"/>
  <c r="D84" i="18"/>
  <c r="F84" i="18" s="1"/>
  <c r="D86" i="18"/>
  <c r="F86" i="18" s="1"/>
  <c r="D87" i="18"/>
  <c r="F87" i="18" s="1"/>
  <c r="D35" i="11"/>
  <c r="F35" i="11" s="1"/>
  <c r="D36" i="11"/>
  <c r="F36" i="11" s="1"/>
  <c r="D38" i="11"/>
  <c r="F38" i="11" s="1"/>
  <c r="D39" i="11"/>
  <c r="F39" i="11" s="1"/>
  <c r="D73" i="18"/>
  <c r="D74" i="18"/>
  <c r="F74" i="18" s="1"/>
  <c r="D76" i="18"/>
  <c r="F76" i="18" s="1"/>
  <c r="D77" i="18"/>
  <c r="F77" i="18" s="1"/>
  <c r="D78" i="18"/>
  <c r="F78" i="18" s="1"/>
  <c r="D79" i="18"/>
  <c r="F79" i="18" s="1"/>
  <c r="D80" i="18"/>
  <c r="F80" i="18" s="1"/>
  <c r="C28" i="15"/>
  <c r="A28" i="15"/>
  <c r="B28" i="15"/>
  <c r="C39" i="11"/>
  <c r="C38" i="11"/>
  <c r="C36" i="11"/>
  <c r="C35" i="11"/>
  <c r="C33" i="11"/>
  <c r="A33" i="11"/>
  <c r="B33" i="11"/>
  <c r="C81" i="18"/>
  <c r="A81" i="18"/>
  <c r="B81" i="18"/>
  <c r="D108" i="18"/>
  <c r="F108" i="18" s="1"/>
  <c r="D109" i="18"/>
  <c r="F109" i="18" s="1"/>
  <c r="D105" i="18"/>
  <c r="F105" i="18" s="1"/>
  <c r="D106" i="18"/>
  <c r="F106" i="18" s="1"/>
  <c r="C109" i="18"/>
  <c r="C108" i="18"/>
  <c r="C106" i="18"/>
  <c r="C105" i="18"/>
  <c r="C104" i="18"/>
  <c r="A104" i="18"/>
  <c r="B104" i="18"/>
  <c r="D89" i="18"/>
  <c r="G88" i="18" s="1"/>
  <c r="D90" i="18"/>
  <c r="F90" i="18" s="1"/>
  <c r="D13" i="13"/>
  <c r="D14" i="13"/>
  <c r="F14" i="13" s="1"/>
  <c r="D16" i="13"/>
  <c r="F16" i="13" s="1"/>
  <c r="D17" i="13"/>
  <c r="F17" i="13" s="1"/>
  <c r="D18" i="13"/>
  <c r="F18" i="13" s="1"/>
  <c r="D19" i="13"/>
  <c r="F19" i="13" s="1"/>
  <c r="D20" i="13"/>
  <c r="F20" i="13" s="1"/>
  <c r="F93" i="15"/>
  <c r="F92" i="15"/>
  <c r="D114" i="15"/>
  <c r="F114" i="15" s="1"/>
  <c r="D116" i="15"/>
  <c r="F116" i="15" s="1"/>
  <c r="D117" i="15"/>
  <c r="F117" i="15" s="1"/>
  <c r="F82" i="15"/>
  <c r="F83" i="15"/>
  <c r="F84" i="15"/>
  <c r="F86" i="15"/>
  <c r="D39" i="15"/>
  <c r="F39" i="15" s="1"/>
  <c r="D40" i="15"/>
  <c r="F40" i="15" s="1"/>
  <c r="D41" i="15"/>
  <c r="F41" i="15" s="1"/>
  <c r="D42" i="15"/>
  <c r="F42" i="15" s="1"/>
  <c r="D43" i="15"/>
  <c r="F43" i="15" s="1"/>
  <c r="D36" i="15"/>
  <c r="G35" i="15" s="1"/>
  <c r="D37" i="15"/>
  <c r="F37" i="15" s="1"/>
  <c r="D4" i="15"/>
  <c r="F5" i="15"/>
  <c r="D6" i="15"/>
  <c r="F6" i="15" s="1"/>
  <c r="D7" i="15"/>
  <c r="F7" i="15" s="1"/>
  <c r="D8" i="15"/>
  <c r="F8" i="15" s="1"/>
  <c r="F17" i="15"/>
  <c r="F18" i="15"/>
  <c r="F21" i="15"/>
  <c r="D71" i="25"/>
  <c r="F71" i="25" s="1"/>
  <c r="D72" i="25"/>
  <c r="F72" i="25" s="1"/>
  <c r="D74" i="25"/>
  <c r="F74" i="25" s="1"/>
  <c r="D75" i="25"/>
  <c r="F75" i="25" s="1"/>
  <c r="D76" i="25"/>
  <c r="F76" i="25" s="1"/>
  <c r="D77" i="25"/>
  <c r="F77" i="25" s="1"/>
  <c r="D78" i="25"/>
  <c r="F78" i="25" s="1"/>
  <c r="D84" i="25"/>
  <c r="F84" i="25" s="1"/>
  <c r="D85" i="25"/>
  <c r="F85" i="25" s="1"/>
  <c r="D87" i="25"/>
  <c r="F87" i="25" s="1"/>
  <c r="D88" i="25"/>
  <c r="F88" i="25" s="1"/>
  <c r="F67" i="13"/>
  <c r="F66" i="13"/>
  <c r="F64" i="13"/>
  <c r="F63" i="13"/>
  <c r="F37" i="8"/>
  <c r="F38" i="8"/>
  <c r="F39" i="8"/>
  <c r="F41" i="8"/>
  <c r="D101" i="10"/>
  <c r="G101" i="10" s="1"/>
  <c r="C101" i="10"/>
  <c r="B101" i="10"/>
  <c r="C178" i="23"/>
  <c r="A178" i="23"/>
  <c r="B178" i="23"/>
  <c r="D109" i="13"/>
  <c r="F109" i="13" s="1"/>
  <c r="D111" i="13"/>
  <c r="F111" i="13" s="1"/>
  <c r="D112" i="13"/>
  <c r="F112" i="13" s="1"/>
  <c r="C112" i="13"/>
  <c r="C111" i="13"/>
  <c r="C109" i="13"/>
  <c r="C108" i="13"/>
  <c r="A108" i="13"/>
  <c r="B108" i="13"/>
  <c r="D50" i="24"/>
  <c r="F50" i="24" s="1"/>
  <c r="F51" i="24"/>
  <c r="D52" i="24"/>
  <c r="F52" i="24" s="1"/>
  <c r="D53" i="24"/>
  <c r="F53" i="24" s="1"/>
  <c r="C53" i="24"/>
  <c r="C52" i="24"/>
  <c r="C50" i="24"/>
  <c r="C49" i="24"/>
  <c r="A49" i="24"/>
  <c r="B49" i="24"/>
  <c r="B155" i="25"/>
  <c r="A155" i="25"/>
  <c r="C155" i="25"/>
  <c r="C151" i="25"/>
  <c r="A151" i="25"/>
  <c r="B151" i="25"/>
  <c r="A83" i="17"/>
  <c r="B83" i="17"/>
  <c r="C83" i="17"/>
  <c r="B127" i="10"/>
  <c r="A127" i="10"/>
  <c r="C127" i="10"/>
  <c r="A118" i="15"/>
  <c r="B118" i="15"/>
  <c r="C118" i="15"/>
  <c r="C142" i="20"/>
  <c r="A142" i="20"/>
  <c r="B142" i="20"/>
  <c r="C79" i="17"/>
  <c r="A79" i="17"/>
  <c r="B79" i="17"/>
  <c r="C94" i="10"/>
  <c r="C92" i="10"/>
  <c r="A92" i="10"/>
  <c r="B92" i="10"/>
  <c r="D17" i="17"/>
  <c r="F17" i="17" s="1"/>
  <c r="D18" i="17"/>
  <c r="F18" i="17" s="1"/>
  <c r="F53" i="17"/>
  <c r="F54" i="17"/>
  <c r="F56" i="17"/>
  <c r="F57" i="17"/>
  <c r="D89" i="17"/>
  <c r="F89" i="17" s="1"/>
  <c r="D90" i="17"/>
  <c r="F90" i="17" s="1"/>
  <c r="D91" i="17"/>
  <c r="F91" i="17" s="1"/>
  <c r="D93" i="17"/>
  <c r="F93" i="17" s="1"/>
  <c r="D94" i="17"/>
  <c r="F94" i="17" s="1"/>
  <c r="D95" i="17"/>
  <c r="F95" i="17" s="1"/>
  <c r="D23" i="17"/>
  <c r="D24" i="17"/>
  <c r="F24" i="17" s="1"/>
  <c r="D25" i="17"/>
  <c r="F25" i="17" s="1"/>
  <c r="D26" i="17"/>
  <c r="F26" i="17" s="1"/>
  <c r="D27" i="17"/>
  <c r="F27" i="17" s="1"/>
  <c r="D164" i="18"/>
  <c r="D162" i="18"/>
  <c r="F162" i="18" s="1"/>
  <c r="D163" i="18"/>
  <c r="F163" i="18" s="1"/>
  <c r="D92" i="18"/>
  <c r="F92" i="18" s="1"/>
  <c r="D93" i="18"/>
  <c r="D94" i="18"/>
  <c r="F94" i="18" s="1"/>
  <c r="D95" i="18"/>
  <c r="F95" i="18" s="1"/>
  <c r="D97" i="18"/>
  <c r="F97" i="18" s="1"/>
  <c r="D99" i="18"/>
  <c r="F99" i="18" s="1"/>
  <c r="D101" i="18"/>
  <c r="F62" i="18"/>
  <c r="F63" i="18"/>
  <c r="F66" i="18"/>
  <c r="F50" i="18"/>
  <c r="F52" i="18"/>
  <c r="D166" i="18"/>
  <c r="F166" i="18" s="1"/>
  <c r="D167" i="18"/>
  <c r="F167" i="18" s="1"/>
  <c r="D168" i="18"/>
  <c r="F168" i="18" s="1"/>
  <c r="D170" i="18"/>
  <c r="F170" i="18" s="1"/>
  <c r="D172" i="18"/>
  <c r="F172" i="18" s="1"/>
  <c r="D173" i="18"/>
  <c r="F173" i="18" s="1"/>
  <c r="D12" i="18"/>
  <c r="F12" i="18" s="1"/>
  <c r="D20" i="18"/>
  <c r="F20" i="18" s="1"/>
  <c r="D21" i="18"/>
  <c r="F21" i="18" s="1"/>
  <c r="D22" i="18"/>
  <c r="F22" i="18" s="1"/>
  <c r="D23" i="18"/>
  <c r="F23" i="18" s="1"/>
  <c r="D24" i="18"/>
  <c r="D4" i="18"/>
  <c r="F4" i="18" s="1"/>
  <c r="D5" i="18"/>
  <c r="F5" i="18" s="1"/>
  <c r="D6" i="18"/>
  <c r="F6" i="18" s="1"/>
  <c r="D7" i="18"/>
  <c r="F7" i="18" s="1"/>
  <c r="D8" i="18"/>
  <c r="F8" i="18" s="1"/>
  <c r="D9" i="18"/>
  <c r="F9" i="18" s="1"/>
  <c r="D10" i="18"/>
  <c r="F10" i="18" s="1"/>
  <c r="D175" i="18"/>
  <c r="F175" i="18" s="1"/>
  <c r="D176" i="18"/>
  <c r="F176" i="18" s="1"/>
  <c r="D177" i="18"/>
  <c r="F177" i="18" s="1"/>
  <c r="D178" i="18"/>
  <c r="F178" i="18" s="1"/>
  <c r="D179" i="18"/>
  <c r="F179" i="18" s="1"/>
  <c r="D180" i="18"/>
  <c r="D182" i="18"/>
  <c r="F182" i="18" s="1"/>
  <c r="D184" i="18"/>
  <c r="F184" i="18" s="1"/>
  <c r="D185" i="18"/>
  <c r="F185" i="18" s="1"/>
  <c r="D186" i="18"/>
  <c r="D29" i="18"/>
  <c r="F29" i="18" s="1"/>
  <c r="D30" i="18"/>
  <c r="F30" i="18" s="1"/>
  <c r="D31" i="18"/>
  <c r="F31" i="18" s="1"/>
  <c r="D32" i="18"/>
  <c r="F32" i="18" s="1"/>
  <c r="F33" i="18"/>
  <c r="D34" i="18"/>
  <c r="F34" i="18" s="1"/>
  <c r="D37" i="18"/>
  <c r="D38" i="18"/>
  <c r="F38" i="18" s="1"/>
  <c r="D39" i="18"/>
  <c r="F39" i="18" s="1"/>
  <c r="D40" i="18"/>
  <c r="F40" i="18" s="1"/>
  <c r="D41" i="18"/>
  <c r="F41" i="18" s="1"/>
  <c r="D42" i="18"/>
  <c r="F42" i="18" s="1"/>
  <c r="F43" i="18"/>
  <c r="F45" i="20"/>
  <c r="F46" i="20"/>
  <c r="F49" i="20"/>
  <c r="D26" i="20"/>
  <c r="D30" i="20"/>
  <c r="F30" i="20" s="1"/>
  <c r="D31" i="20"/>
  <c r="F31" i="20" s="1"/>
  <c r="D147" i="20"/>
  <c r="F147" i="20" s="1"/>
  <c r="D148" i="20"/>
  <c r="F148" i="20" s="1"/>
  <c r="D149" i="20"/>
  <c r="F149" i="20" s="1"/>
  <c r="D18" i="20"/>
  <c r="F18" i="20" s="1"/>
  <c r="D19" i="20"/>
  <c r="F19" i="20" s="1"/>
  <c r="D20" i="20"/>
  <c r="F20" i="20" s="1"/>
  <c r="D21" i="20"/>
  <c r="F21" i="20" s="1"/>
  <c r="D22" i="20"/>
  <c r="F22" i="20" s="1"/>
  <c r="D23" i="20"/>
  <c r="F23" i="20" s="1"/>
  <c r="F24" i="20"/>
  <c r="F85" i="20"/>
  <c r="F86" i="20"/>
  <c r="F87" i="20"/>
  <c r="F88" i="20"/>
  <c r="F89" i="20"/>
  <c r="F82" i="20"/>
  <c r="F83" i="20"/>
  <c r="F72" i="20"/>
  <c r="F73" i="20"/>
  <c r="F74" i="20"/>
  <c r="F75" i="20"/>
  <c r="F76" i="20"/>
  <c r="F77" i="20"/>
  <c r="F92" i="20"/>
  <c r="F93" i="20"/>
  <c r="F95" i="20"/>
  <c r="F97" i="20"/>
  <c r="F98" i="20"/>
  <c r="F99" i="20"/>
  <c r="D165" i="20"/>
  <c r="F165" i="20" s="1"/>
  <c r="D166" i="20"/>
  <c r="F166" i="20" s="1"/>
  <c r="D167" i="20"/>
  <c r="F167" i="20" s="1"/>
  <c r="D168" i="20"/>
  <c r="F168" i="20" s="1"/>
  <c r="D169" i="20"/>
  <c r="F169" i="20" s="1"/>
  <c r="D170" i="20"/>
  <c r="D172" i="20"/>
  <c r="F172" i="20" s="1"/>
  <c r="D174" i="20"/>
  <c r="F174" i="20" s="1"/>
  <c r="D175" i="20"/>
  <c r="F175" i="20" s="1"/>
  <c r="D176" i="20"/>
  <c r="D162" i="20"/>
  <c r="F162" i="20" s="1"/>
  <c r="D163" i="20"/>
  <c r="F163" i="20" s="1"/>
  <c r="D156" i="20"/>
  <c r="F156" i="20" s="1"/>
  <c r="D157" i="20"/>
  <c r="F157" i="20" s="1"/>
  <c r="D158" i="20"/>
  <c r="F158" i="20" s="1"/>
  <c r="D160" i="20"/>
  <c r="F160" i="20" s="1"/>
  <c r="D11" i="20"/>
  <c r="F11" i="20" s="1"/>
  <c r="D12" i="20"/>
  <c r="F12" i="20" s="1"/>
  <c r="D13" i="20"/>
  <c r="F13" i="20" s="1"/>
  <c r="D14" i="20"/>
  <c r="F14" i="20" s="1"/>
  <c r="D16" i="20"/>
  <c r="F16" i="20" s="1"/>
  <c r="D99" i="21"/>
  <c r="F99" i="21" s="1"/>
  <c r="D100" i="21"/>
  <c r="F100" i="21" s="1"/>
  <c r="D101" i="21"/>
  <c r="F101" i="21" s="1"/>
  <c r="D102" i="21"/>
  <c r="F102" i="21" s="1"/>
  <c r="D104" i="21"/>
  <c r="F104" i="21" s="1"/>
  <c r="D106" i="21"/>
  <c r="F106" i="21" s="1"/>
  <c r="D146" i="21"/>
  <c r="F146" i="21" s="1"/>
  <c r="D147" i="21"/>
  <c r="F147" i="21" s="1"/>
  <c r="D27" i="21"/>
  <c r="F27" i="21" s="1"/>
  <c r="D28" i="21"/>
  <c r="F28" i="21" s="1"/>
  <c r="D29" i="21"/>
  <c r="F29" i="21" s="1"/>
  <c r="D30" i="21"/>
  <c r="F30" i="21" s="1"/>
  <c r="D31" i="21"/>
  <c r="G59" i="21"/>
  <c r="D136" i="21"/>
  <c r="F136" i="21" s="1"/>
  <c r="D137" i="21"/>
  <c r="F137" i="21" s="1"/>
  <c r="D138" i="21"/>
  <c r="F138" i="21" s="1"/>
  <c r="D50" i="21"/>
  <c r="D51" i="21"/>
  <c r="F51" i="21" s="1"/>
  <c r="D52" i="21"/>
  <c r="F52" i="21" s="1"/>
  <c r="D53" i="21"/>
  <c r="F53" i="21" s="1"/>
  <c r="D54" i="21"/>
  <c r="F54" i="21" s="1"/>
  <c r="D150" i="21"/>
  <c r="F150" i="21" s="1"/>
  <c r="D151" i="21"/>
  <c r="F151" i="21" s="1"/>
  <c r="D152" i="21"/>
  <c r="F152" i="21" s="1"/>
  <c r="D153" i="21"/>
  <c r="F153" i="21" s="1"/>
  <c r="D154" i="21"/>
  <c r="F154" i="21" s="1"/>
  <c r="D155" i="21"/>
  <c r="F155" i="21" s="1"/>
  <c r="D157" i="21"/>
  <c r="F157" i="21" s="1"/>
  <c r="D159" i="21"/>
  <c r="F159" i="21" s="1"/>
  <c r="D160" i="21"/>
  <c r="F160" i="21" s="1"/>
  <c r="F36" i="21"/>
  <c r="D37" i="21"/>
  <c r="F37" i="21" s="1"/>
  <c r="D38" i="21"/>
  <c r="F38" i="21" s="1"/>
  <c r="D39" i="21"/>
  <c r="F39" i="21" s="1"/>
  <c r="D40" i="21"/>
  <c r="D42" i="21"/>
  <c r="D43" i="21"/>
  <c r="F43" i="21" s="1"/>
  <c r="D44" i="21"/>
  <c r="F44" i="21" s="1"/>
  <c r="D45" i="21"/>
  <c r="F45" i="21" s="1"/>
  <c r="F46" i="21"/>
  <c r="D47" i="21"/>
  <c r="F47" i="21" s="1"/>
  <c r="D56" i="12"/>
  <c r="F56" i="12" s="1"/>
  <c r="D57" i="12"/>
  <c r="F57" i="12" s="1"/>
  <c r="D58" i="12"/>
  <c r="F58" i="12" s="1"/>
  <c r="F59" i="12"/>
  <c r="F60" i="12"/>
  <c r="F4" i="12"/>
  <c r="F5" i="12"/>
  <c r="F6" i="12"/>
  <c r="F46" i="12"/>
  <c r="F47" i="12"/>
  <c r="F67" i="11"/>
  <c r="F68" i="11"/>
  <c r="F69" i="11"/>
  <c r="F70" i="11"/>
  <c r="F71" i="11"/>
  <c r="C7" i="11"/>
  <c r="B7" i="11"/>
  <c r="G75" i="24"/>
  <c r="D10" i="24"/>
  <c r="F10" i="24" s="1"/>
  <c r="D11" i="24"/>
  <c r="F11" i="24" s="1"/>
  <c r="D12" i="24"/>
  <c r="F12" i="24" s="1"/>
  <c r="D13" i="24"/>
  <c r="F13" i="24" s="1"/>
  <c r="D15" i="24"/>
  <c r="F15" i="24" s="1"/>
  <c r="D47" i="24"/>
  <c r="F47" i="24" s="1"/>
  <c r="D48" i="24"/>
  <c r="F48" i="24" s="1"/>
  <c r="D76" i="24"/>
  <c r="G76" i="24" s="1"/>
  <c r="D77" i="24"/>
  <c r="G77" i="24" s="1"/>
  <c r="D78" i="24"/>
  <c r="G78" i="24" s="1"/>
  <c r="D79" i="24"/>
  <c r="G79" i="24" s="1"/>
  <c r="F23" i="24"/>
  <c r="F24" i="24"/>
  <c r="F25" i="24"/>
  <c r="D41" i="24"/>
  <c r="F41" i="24" s="1"/>
  <c r="D42" i="24"/>
  <c r="F42" i="24" s="1"/>
  <c r="D43" i="24"/>
  <c r="F43" i="24" s="1"/>
  <c r="F44" i="24"/>
  <c r="D45" i="24"/>
  <c r="F45" i="24" s="1"/>
  <c r="F32" i="24"/>
  <c r="F33" i="24"/>
  <c r="F34" i="24"/>
  <c r="F35" i="24"/>
  <c r="D59" i="24"/>
  <c r="F59" i="24" s="1"/>
  <c r="D60" i="24"/>
  <c r="D62" i="24"/>
  <c r="F62" i="24" s="1"/>
  <c r="D64" i="24"/>
  <c r="F64" i="24" s="1"/>
  <c r="D65" i="24"/>
  <c r="F65" i="24" s="1"/>
  <c r="D66" i="24"/>
  <c r="F66" i="24" s="1"/>
  <c r="D67" i="24"/>
  <c r="F67" i="24" s="1"/>
  <c r="D68" i="24"/>
  <c r="F68" i="24" s="1"/>
  <c r="D69" i="24"/>
  <c r="F69" i="24" s="1"/>
  <c r="D71" i="24"/>
  <c r="F71" i="24" s="1"/>
  <c r="F72" i="24"/>
  <c r="D73" i="24"/>
  <c r="F73" i="24" s="1"/>
  <c r="D74" i="24"/>
  <c r="F74" i="24" s="1"/>
  <c r="D55" i="24"/>
  <c r="F55" i="24" s="1"/>
  <c r="D56" i="24"/>
  <c r="F56" i="24" s="1"/>
  <c r="D57" i="24"/>
  <c r="F57" i="24" s="1"/>
  <c r="F27" i="24"/>
  <c r="F28" i="24"/>
  <c r="F29" i="24"/>
  <c r="F30" i="24"/>
  <c r="F4" i="24"/>
  <c r="D5" i="24"/>
  <c r="F5" i="24" s="1"/>
  <c r="D6" i="24"/>
  <c r="F6" i="24" s="1"/>
  <c r="D7" i="24"/>
  <c r="F7" i="24" s="1"/>
  <c r="D8" i="24"/>
  <c r="F8" i="24" s="1"/>
  <c r="D142" i="25"/>
  <c r="F142" i="25" s="1"/>
  <c r="D143" i="25"/>
  <c r="F143" i="25" s="1"/>
  <c r="D144" i="25"/>
  <c r="F144" i="25" s="1"/>
  <c r="D171" i="25"/>
  <c r="F171" i="25" s="1"/>
  <c r="D172" i="25"/>
  <c r="F172" i="25" s="1"/>
  <c r="D173" i="25"/>
  <c r="F173" i="25" s="1"/>
  <c r="D174" i="25"/>
  <c r="F174" i="25" s="1"/>
  <c r="D101" i="25"/>
  <c r="F101" i="25" s="1"/>
  <c r="D102" i="25"/>
  <c r="F102" i="25" s="1"/>
  <c r="D103" i="25"/>
  <c r="F103" i="25" s="1"/>
  <c r="D105" i="25"/>
  <c r="F105" i="25" s="1"/>
  <c r="D161" i="25"/>
  <c r="F161" i="25" s="1"/>
  <c r="D162" i="25"/>
  <c r="F162" i="25" s="1"/>
  <c r="D163" i="25"/>
  <c r="F163" i="25" s="1"/>
  <c r="F51" i="25"/>
  <c r="F52" i="25"/>
  <c r="F53" i="25"/>
  <c r="F54" i="25"/>
  <c r="D96" i="25"/>
  <c r="F96" i="25" s="1"/>
  <c r="D97" i="25"/>
  <c r="F97" i="25" s="1"/>
  <c r="D98" i="25"/>
  <c r="F98" i="25" s="1"/>
  <c r="D99" i="25"/>
  <c r="F99" i="25" s="1"/>
  <c r="D46" i="25"/>
  <c r="F46" i="25" s="1"/>
  <c r="D47" i="25"/>
  <c r="F47" i="25" s="1"/>
  <c r="F48" i="25"/>
  <c r="F4" i="25"/>
  <c r="F57" i="25"/>
  <c r="F58" i="25"/>
  <c r="F64" i="25"/>
  <c r="F65" i="25"/>
  <c r="F68" i="25"/>
  <c r="D90" i="25"/>
  <c r="F90" i="25" s="1"/>
  <c r="D91" i="25"/>
  <c r="F91" i="25" s="1"/>
  <c r="D92" i="25"/>
  <c r="F92" i="25" s="1"/>
  <c r="D93" i="25"/>
  <c r="F93" i="25" s="1"/>
  <c r="D94" i="25"/>
  <c r="F94" i="25" s="1"/>
  <c r="D181" i="25"/>
  <c r="D176" i="25"/>
  <c r="F176" i="25" s="1"/>
  <c r="D177" i="25"/>
  <c r="F177" i="25" s="1"/>
  <c r="D178" i="25"/>
  <c r="F178" i="25" s="1"/>
  <c r="D179" i="25"/>
  <c r="F179" i="25" s="1"/>
  <c r="D180" i="25"/>
  <c r="F180" i="25" s="1"/>
  <c r="D165" i="25"/>
  <c r="F165" i="25" s="1"/>
  <c r="D166" i="25"/>
  <c r="F166" i="25" s="1"/>
  <c r="D167" i="25"/>
  <c r="F167" i="25" s="1"/>
  <c r="D169" i="25"/>
  <c r="F169" i="25" s="1"/>
  <c r="D17" i="25"/>
  <c r="F17" i="25" s="1"/>
  <c r="D18" i="25"/>
  <c r="F18" i="25" s="1"/>
  <c r="D19" i="25"/>
  <c r="F19" i="25" s="1"/>
  <c r="D20" i="25"/>
  <c r="F20" i="25" s="1"/>
  <c r="D21" i="25"/>
  <c r="F21" i="25" s="1"/>
  <c r="D22" i="25"/>
  <c r="F22" i="25" s="1"/>
  <c r="D23" i="25"/>
  <c r="F23" i="25" s="1"/>
  <c r="D11" i="25"/>
  <c r="F11" i="25" s="1"/>
  <c r="D12" i="25"/>
  <c r="F12" i="25" s="1"/>
  <c r="D13" i="25"/>
  <c r="F13" i="25" s="1"/>
  <c r="D14" i="25"/>
  <c r="F14" i="25" s="1"/>
  <c r="D15" i="25"/>
  <c r="F15" i="25" s="1"/>
  <c r="D25" i="25"/>
  <c r="F25" i="25" s="1"/>
  <c r="D26" i="25"/>
  <c r="F26" i="25" s="1"/>
  <c r="D27" i="25"/>
  <c r="F27" i="25" s="1"/>
  <c r="D28" i="25"/>
  <c r="F28" i="25" s="1"/>
  <c r="D29" i="25"/>
  <c r="D31" i="25"/>
  <c r="F31" i="25" s="1"/>
  <c r="D32" i="25"/>
  <c r="F32" i="25" s="1"/>
  <c r="D33" i="25"/>
  <c r="F33" i="25" s="1"/>
  <c r="D34" i="25"/>
  <c r="F34" i="25" s="1"/>
  <c r="D35" i="25"/>
  <c r="F35" i="25" s="1"/>
  <c r="D36" i="25"/>
  <c r="F36" i="25" s="1"/>
  <c r="F37" i="25"/>
  <c r="D39" i="25"/>
  <c r="F39" i="25" s="1"/>
  <c r="F27" i="27"/>
  <c r="F28" i="27"/>
  <c r="F29" i="27"/>
  <c r="F30" i="27"/>
  <c r="D33" i="27"/>
  <c r="F33" i="27" s="1"/>
  <c r="D34" i="27"/>
  <c r="F34" i="27" s="1"/>
  <c r="D35" i="27"/>
  <c r="F35" i="27" s="1"/>
  <c r="D41" i="27"/>
  <c r="F41" i="27" s="1"/>
  <c r="D42" i="27"/>
  <c r="F42" i="27" s="1"/>
  <c r="D43" i="27"/>
  <c r="F43" i="27" s="1"/>
  <c r="D44" i="27"/>
  <c r="F44" i="27" s="1"/>
  <c r="D45" i="27"/>
  <c r="F45" i="27" s="1"/>
  <c r="D46" i="27"/>
  <c r="D48" i="27"/>
  <c r="F48" i="27" s="1"/>
  <c r="F49" i="27"/>
  <c r="D50" i="27"/>
  <c r="F50" i="27" s="1"/>
  <c r="D51" i="27"/>
  <c r="F51" i="27" s="1"/>
  <c r="D21" i="27"/>
  <c r="F21" i="27" s="1"/>
  <c r="D17" i="27"/>
  <c r="F17" i="27" s="1"/>
  <c r="D19" i="27"/>
  <c r="F19" i="27" s="1"/>
  <c r="D20" i="27"/>
  <c r="F20" i="27" s="1"/>
  <c r="D10" i="27"/>
  <c r="F10" i="27" s="1"/>
  <c r="D11" i="27"/>
  <c r="F11" i="27" s="1"/>
  <c r="D12" i="27"/>
  <c r="F12" i="27" s="1"/>
  <c r="D13" i="27"/>
  <c r="F13" i="27" s="1"/>
  <c r="D15" i="27"/>
  <c r="F15" i="27" s="1"/>
  <c r="F4" i="27"/>
  <c r="D5" i="27"/>
  <c r="F5" i="27" s="1"/>
  <c r="D6" i="27"/>
  <c r="F6" i="27" s="1"/>
  <c r="D7" i="27"/>
  <c r="F7" i="27" s="1"/>
  <c r="D8" i="27"/>
  <c r="D37" i="27"/>
  <c r="D38" i="27"/>
  <c r="D52" i="27"/>
  <c r="D53" i="27"/>
  <c r="F66" i="15"/>
  <c r="F67" i="15"/>
  <c r="F68" i="15"/>
  <c r="F57" i="15"/>
  <c r="F58" i="15"/>
  <c r="F59" i="15"/>
  <c r="F60" i="15"/>
  <c r="F61" i="15"/>
  <c r="F62" i="15"/>
  <c r="F70" i="15"/>
  <c r="F71" i="15"/>
  <c r="F72" i="15"/>
  <c r="F73" i="15"/>
  <c r="F74" i="15"/>
  <c r="F76" i="15"/>
  <c r="F77" i="15"/>
  <c r="F78" i="15"/>
  <c r="F79" i="15"/>
  <c r="F124" i="15"/>
  <c r="F125" i="15"/>
  <c r="D128" i="15"/>
  <c r="F128" i="15" s="1"/>
  <c r="D129" i="15"/>
  <c r="F129" i="15" s="1"/>
  <c r="D130" i="15"/>
  <c r="F130" i="15" s="1"/>
  <c r="D132" i="15"/>
  <c r="F132" i="15" s="1"/>
  <c r="D134" i="15"/>
  <c r="F134" i="15" s="1"/>
  <c r="D135" i="15"/>
  <c r="F135" i="15" s="1"/>
  <c r="F88" i="15"/>
  <c r="F89" i="15"/>
  <c r="F90" i="15"/>
  <c r="D45" i="15"/>
  <c r="F45" i="15" s="1"/>
  <c r="D46" i="15"/>
  <c r="F46" i="15" s="1"/>
  <c r="D47" i="15"/>
  <c r="F47" i="15" s="1"/>
  <c r="D48" i="15"/>
  <c r="F48" i="15" s="1"/>
  <c r="D50" i="15"/>
  <c r="F50" i="15" s="1"/>
  <c r="F51" i="15"/>
  <c r="D52" i="15"/>
  <c r="F52" i="15" s="1"/>
  <c r="F54" i="15"/>
  <c r="G53" i="15" s="1"/>
  <c r="D137" i="15"/>
  <c r="G137" i="15" s="1"/>
  <c r="D138" i="15"/>
  <c r="G138" i="15" s="1"/>
  <c r="D136" i="15"/>
  <c r="G136" i="15" s="1"/>
  <c r="D30" i="14"/>
  <c r="F30" i="14" s="1"/>
  <c r="D31" i="14"/>
  <c r="F31" i="14" s="1"/>
  <c r="D32" i="14"/>
  <c r="F32" i="14" s="1"/>
  <c r="F33" i="14"/>
  <c r="D34" i="14"/>
  <c r="F34" i="14" s="1"/>
  <c r="D108" i="14"/>
  <c r="D103" i="14"/>
  <c r="F103" i="14" s="1"/>
  <c r="D104" i="14"/>
  <c r="F104" i="14" s="1"/>
  <c r="D105" i="14"/>
  <c r="F105" i="14" s="1"/>
  <c r="D106" i="14"/>
  <c r="F106" i="14" s="1"/>
  <c r="D107" i="14"/>
  <c r="F107" i="14" s="1"/>
  <c r="D83" i="13"/>
  <c r="F83" i="13" s="1"/>
  <c r="D84" i="13"/>
  <c r="F84" i="13" s="1"/>
  <c r="D85" i="13"/>
  <c r="F85" i="13" s="1"/>
  <c r="F86" i="13"/>
  <c r="F87" i="13"/>
  <c r="F89" i="13"/>
  <c r="F90" i="13"/>
  <c r="F91" i="13"/>
  <c r="F57" i="13"/>
  <c r="F58" i="13"/>
  <c r="F59" i="13"/>
  <c r="F60" i="13"/>
  <c r="F61" i="13"/>
  <c r="F34" i="13"/>
  <c r="F36" i="13"/>
  <c r="F37" i="13"/>
  <c r="F46" i="13"/>
  <c r="F47" i="13"/>
  <c r="F48" i="13"/>
  <c r="F49" i="13"/>
  <c r="F51" i="13"/>
  <c r="F52" i="13"/>
  <c r="F53" i="13"/>
  <c r="D93" i="13"/>
  <c r="F93" i="13" s="1"/>
  <c r="D94" i="13"/>
  <c r="F94" i="13" s="1"/>
  <c r="D95" i="13"/>
  <c r="F95" i="13" s="1"/>
  <c r="F40" i="13"/>
  <c r="F41" i="13"/>
  <c r="F42" i="13"/>
  <c r="F43" i="13"/>
  <c r="F60" i="11"/>
  <c r="F61" i="11"/>
  <c r="F63" i="11"/>
  <c r="F64" i="11"/>
  <c r="F65" i="11"/>
  <c r="F73" i="11"/>
  <c r="F74" i="11"/>
  <c r="F75" i="11"/>
  <c r="F76" i="11"/>
  <c r="F77" i="11"/>
  <c r="F79" i="11"/>
  <c r="F80" i="11"/>
  <c r="F81" i="11"/>
  <c r="F83" i="11"/>
  <c r="D4" i="11"/>
  <c r="F4" i="11" s="1"/>
  <c r="D5" i="11"/>
  <c r="F5" i="11" s="1"/>
  <c r="F6" i="11"/>
  <c r="D50" i="11"/>
  <c r="D46" i="11"/>
  <c r="F46" i="11" s="1"/>
  <c r="F47" i="11"/>
  <c r="D48" i="11"/>
  <c r="F48" i="11" s="1"/>
  <c r="D109" i="11"/>
  <c r="F109" i="11" s="1"/>
  <c r="D110" i="11"/>
  <c r="F110" i="11" s="1"/>
  <c r="D111" i="11"/>
  <c r="F111" i="11" s="1"/>
  <c r="D129" i="11"/>
  <c r="F129" i="11" s="1"/>
  <c r="D130" i="11"/>
  <c r="F130" i="11" s="1"/>
  <c r="D131" i="11"/>
  <c r="F131" i="11" s="1"/>
  <c r="D54" i="11"/>
  <c r="F54" i="11" s="1"/>
  <c r="D55" i="11"/>
  <c r="F55" i="11" s="1"/>
  <c r="D56" i="11"/>
  <c r="F56" i="11" s="1"/>
  <c r="F57" i="11"/>
  <c r="D58" i="11"/>
  <c r="F58" i="11" s="1"/>
  <c r="F27" i="11"/>
  <c r="F28" i="11"/>
  <c r="F31" i="11"/>
  <c r="D143" i="11"/>
  <c r="D138" i="11"/>
  <c r="F138" i="11" s="1"/>
  <c r="D139" i="11"/>
  <c r="F139" i="11" s="1"/>
  <c r="D140" i="11"/>
  <c r="F140" i="11" s="1"/>
  <c r="D141" i="11"/>
  <c r="F141" i="11" s="1"/>
  <c r="D142" i="11"/>
  <c r="F142" i="11" s="1"/>
  <c r="D144" i="11"/>
  <c r="G144" i="11" s="1"/>
  <c r="D26" i="10"/>
  <c r="F26" i="10" s="1"/>
  <c r="D27" i="10"/>
  <c r="F27" i="10" s="1"/>
  <c r="D28" i="10"/>
  <c r="F28" i="10" s="1"/>
  <c r="F29" i="10"/>
  <c r="D30" i="10"/>
  <c r="F30" i="10" s="1"/>
  <c r="F83" i="10"/>
  <c r="F84" i="10"/>
  <c r="F9" i="10"/>
  <c r="G8" i="10" s="1"/>
  <c r="D22" i="10"/>
  <c r="F22" i="10" s="1"/>
  <c r="F23" i="10"/>
  <c r="D24" i="10"/>
  <c r="F24" i="10" s="1"/>
  <c r="D17" i="10"/>
  <c r="F17" i="10" s="1"/>
  <c r="D18" i="10"/>
  <c r="F18" i="10" s="1"/>
  <c r="D19" i="10"/>
  <c r="F19" i="10" s="1"/>
  <c r="D20" i="10"/>
  <c r="F20" i="10" s="1"/>
  <c r="F4" i="10"/>
  <c r="F5" i="10"/>
  <c r="F6" i="10"/>
  <c r="F7" i="10"/>
  <c r="F87" i="10"/>
  <c r="D88" i="10"/>
  <c r="F88" i="10" s="1"/>
  <c r="F89" i="10"/>
  <c r="D90" i="10"/>
  <c r="F90" i="10" s="1"/>
  <c r="D91" i="10"/>
  <c r="F91" i="10" s="1"/>
  <c r="F58" i="10"/>
  <c r="F59" i="10"/>
  <c r="F60" i="10"/>
  <c r="F61" i="10"/>
  <c r="F62" i="10"/>
  <c r="F63" i="10"/>
  <c r="F72" i="10"/>
  <c r="F73" i="10"/>
  <c r="F74" i="10"/>
  <c r="F78" i="9"/>
  <c r="D74" i="9"/>
  <c r="F74" i="9" s="1"/>
  <c r="D75" i="9"/>
  <c r="F75" i="9" s="1"/>
  <c r="D76" i="9"/>
  <c r="F76" i="9" s="1"/>
  <c r="F77" i="9"/>
  <c r="F22" i="31"/>
  <c r="F23" i="31"/>
  <c r="F24" i="31"/>
  <c r="F25" i="31"/>
  <c r="F9" i="9"/>
  <c r="G8" i="9" s="1"/>
  <c r="F32" i="9"/>
  <c r="F33" i="9"/>
  <c r="F36" i="9"/>
  <c r="F26" i="9"/>
  <c r="F27" i="9"/>
  <c r="F28" i="9"/>
  <c r="F29" i="9"/>
  <c r="F30" i="9"/>
  <c r="D22" i="9"/>
  <c r="F22" i="9" s="1"/>
  <c r="F23" i="9"/>
  <c r="D24" i="9"/>
  <c r="F24" i="9" s="1"/>
  <c r="D17" i="9"/>
  <c r="F17" i="9" s="1"/>
  <c r="D18" i="9"/>
  <c r="D19" i="9"/>
  <c r="F19" i="9" s="1"/>
  <c r="D20" i="9"/>
  <c r="F20" i="9" s="1"/>
  <c r="F4" i="9"/>
  <c r="F5" i="9"/>
  <c r="F6" i="9"/>
  <c r="F7" i="9"/>
  <c r="F90" i="9"/>
  <c r="F91" i="9"/>
  <c r="F92" i="9"/>
  <c r="F93" i="9"/>
  <c r="F84" i="9"/>
  <c r="D85" i="9"/>
  <c r="F85" i="9" s="1"/>
  <c r="F86" i="9"/>
  <c r="D87" i="9"/>
  <c r="F87" i="9" s="1"/>
  <c r="D88" i="9"/>
  <c r="F88" i="9" s="1"/>
  <c r="F70" i="9"/>
  <c r="F71" i="9"/>
  <c r="F72" i="9"/>
  <c r="F50" i="9"/>
  <c r="F51" i="9"/>
  <c r="F52" i="9"/>
  <c r="F53" i="9"/>
  <c r="F54" i="9"/>
  <c r="D40" i="12"/>
  <c r="F40" i="12" s="1"/>
  <c r="D41" i="12"/>
  <c r="F41" i="12" s="1"/>
  <c r="D42" i="12"/>
  <c r="F42" i="12" s="1"/>
  <c r="F33" i="12"/>
  <c r="F34" i="12"/>
  <c r="F35" i="12"/>
  <c r="F36" i="12"/>
  <c r="F37" i="12"/>
  <c r="F38" i="12"/>
  <c r="F22" i="12"/>
  <c r="F23" i="12"/>
  <c r="F24" i="12"/>
  <c r="F25" i="12"/>
  <c r="F8" i="12"/>
  <c r="F9" i="12"/>
  <c r="D27" i="31"/>
  <c r="F27" i="31" s="1"/>
  <c r="D28" i="31"/>
  <c r="F28" i="31" s="1"/>
  <c r="D29" i="31"/>
  <c r="F29" i="31" s="1"/>
  <c r="F30" i="31"/>
  <c r="D15" i="31"/>
  <c r="F15" i="31" s="1"/>
  <c r="D16" i="31"/>
  <c r="F16" i="31" s="1"/>
  <c r="D17" i="31"/>
  <c r="F17" i="31" s="1"/>
  <c r="D19" i="31"/>
  <c r="F19" i="31" s="1"/>
  <c r="F4" i="31"/>
  <c r="F5" i="31"/>
  <c r="F6" i="31"/>
  <c r="D33" i="31"/>
  <c r="F33" i="31" s="1"/>
  <c r="D34" i="31"/>
  <c r="F34" i="31" s="1"/>
  <c r="D35" i="31"/>
  <c r="F35" i="31" s="1"/>
  <c r="F31" i="8"/>
  <c r="F32" i="8"/>
  <c r="F33" i="8"/>
  <c r="F34" i="8"/>
  <c r="D49" i="8"/>
  <c r="F49" i="8" s="1"/>
  <c r="D50" i="8"/>
  <c r="F50" i="8" s="1"/>
  <c r="D51" i="8"/>
  <c r="F51" i="8" s="1"/>
  <c r="F52" i="8"/>
  <c r="F53" i="8"/>
  <c r="B49" i="25"/>
  <c r="A49" i="25"/>
  <c r="C49" i="25"/>
  <c r="C29" i="25"/>
  <c r="C28" i="25"/>
  <c r="C27" i="25"/>
  <c r="C26" i="25"/>
  <c r="C25" i="25"/>
  <c r="C23" i="25"/>
  <c r="C22" i="25"/>
  <c r="C21" i="25"/>
  <c r="C20" i="25"/>
  <c r="C19" i="25"/>
  <c r="C18" i="25"/>
  <c r="C17" i="25"/>
  <c r="C36" i="25"/>
  <c r="C35" i="25"/>
  <c r="C34" i="25"/>
  <c r="C33" i="25"/>
  <c r="C32" i="25"/>
  <c r="C31" i="25"/>
  <c r="D184" i="23"/>
  <c r="G184" i="23" s="1"/>
  <c r="D185" i="23"/>
  <c r="G185" i="23" s="1"/>
  <c r="C185" i="23"/>
  <c r="B185" i="23"/>
  <c r="A185" i="23"/>
  <c r="C184" i="23"/>
  <c r="A184" i="23"/>
  <c r="B184" i="23"/>
  <c r="C3" i="23"/>
  <c r="C51" i="23"/>
  <c r="C50" i="23"/>
  <c r="C49" i="23"/>
  <c r="C48" i="23"/>
  <c r="C47" i="23"/>
  <c r="C31" i="23"/>
  <c r="C30" i="23"/>
  <c r="C29" i="23"/>
  <c r="C28" i="23"/>
  <c r="C27" i="23"/>
  <c r="B10" i="23"/>
  <c r="A10" i="23"/>
  <c r="C17" i="23"/>
  <c r="C16" i="23"/>
  <c r="C15" i="23"/>
  <c r="C14" i="23"/>
  <c r="C13" i="23"/>
  <c r="C12" i="23"/>
  <c r="C11" i="23"/>
  <c r="C10" i="23"/>
  <c r="C24" i="23"/>
  <c r="C23" i="23"/>
  <c r="C22" i="23"/>
  <c r="C21" i="23"/>
  <c r="C20" i="23"/>
  <c r="C19" i="23"/>
  <c r="A3" i="23"/>
  <c r="B3" i="23"/>
  <c r="C16" i="22"/>
  <c r="C15" i="22"/>
  <c r="C14" i="22"/>
  <c r="C13" i="22"/>
  <c r="C12" i="22"/>
  <c r="D85" i="22"/>
  <c r="G85" i="22" s="1"/>
  <c r="D86" i="22"/>
  <c r="G86" i="22" s="1"/>
  <c r="G87" i="22"/>
  <c r="C86" i="22"/>
  <c r="B86" i="22"/>
  <c r="A86" i="22"/>
  <c r="B85" i="22"/>
  <c r="A85" i="22"/>
  <c r="C85" i="22"/>
  <c r="D162" i="21"/>
  <c r="G162" i="21" s="1"/>
  <c r="D163" i="21"/>
  <c r="G163" i="21" s="1"/>
  <c r="A163" i="21"/>
  <c r="A162" i="21"/>
  <c r="C163" i="21"/>
  <c r="C162" i="21"/>
  <c r="B163" i="21"/>
  <c r="B162" i="21"/>
  <c r="C3" i="21"/>
  <c r="A3" i="21"/>
  <c r="B3" i="21"/>
  <c r="C3" i="20"/>
  <c r="A3" i="20"/>
  <c r="B3" i="20"/>
  <c r="D142" i="19"/>
  <c r="G142" i="19" s="1"/>
  <c r="D145" i="19"/>
  <c r="F145" i="19" s="1"/>
  <c r="D146" i="19"/>
  <c r="F146" i="19" s="1"/>
  <c r="D147" i="19"/>
  <c r="F147" i="19" s="1"/>
  <c r="D148" i="19"/>
  <c r="F148" i="19" s="1"/>
  <c r="D160" i="19"/>
  <c r="F160" i="19" s="1"/>
  <c r="D161" i="19"/>
  <c r="F161" i="19" s="1"/>
  <c r="D162" i="19"/>
  <c r="F162" i="19" s="1"/>
  <c r="D178" i="20"/>
  <c r="G178" i="20" s="1"/>
  <c r="G198" i="20" s="1"/>
  <c r="G199" i="18"/>
  <c r="D189" i="18"/>
  <c r="G189" i="18" s="1"/>
  <c r="D190" i="18"/>
  <c r="A178" i="20"/>
  <c r="B178" i="20"/>
  <c r="C178" i="20"/>
  <c r="C31" i="20"/>
  <c r="C30" i="20"/>
  <c r="D29" i="20"/>
  <c r="C29" i="20"/>
  <c r="D28" i="20"/>
  <c r="C28" i="20"/>
  <c r="D27" i="20"/>
  <c r="C27" i="20"/>
  <c r="C23" i="20"/>
  <c r="C22" i="20"/>
  <c r="C21" i="20"/>
  <c r="C20" i="20"/>
  <c r="C19" i="20"/>
  <c r="D163" i="19"/>
  <c r="G163" i="19" s="1"/>
  <c r="A163" i="19"/>
  <c r="B163" i="19"/>
  <c r="C163" i="19"/>
  <c r="A159" i="19"/>
  <c r="B159" i="19"/>
  <c r="C162" i="19"/>
  <c r="C161" i="19"/>
  <c r="C160" i="19"/>
  <c r="A142" i="19"/>
  <c r="B142" i="19"/>
  <c r="C142" i="19"/>
  <c r="C10" i="18"/>
  <c r="C9" i="18"/>
  <c r="C8" i="18"/>
  <c r="C7" i="18"/>
  <c r="C6" i="18"/>
  <c r="C5" i="18"/>
  <c r="C42" i="18"/>
  <c r="C41" i="18"/>
  <c r="C40" i="18"/>
  <c r="C39" i="18"/>
  <c r="C38" i="18"/>
  <c r="C11" i="19"/>
  <c r="C16" i="19"/>
  <c r="C15" i="19"/>
  <c r="C14" i="19"/>
  <c r="C13" i="19"/>
  <c r="C12" i="19"/>
  <c r="C190" i="18"/>
  <c r="B190" i="18"/>
  <c r="A190" i="18"/>
  <c r="C189" i="18"/>
  <c r="A189" i="18"/>
  <c r="B189" i="18"/>
  <c r="A209" i="11"/>
  <c r="B209" i="11"/>
  <c r="C212" i="11"/>
  <c r="C211" i="11"/>
  <c r="C210" i="11"/>
  <c r="C209" i="11"/>
  <c r="A204" i="11"/>
  <c r="A201" i="11"/>
  <c r="A195" i="11"/>
  <c r="B204" i="11"/>
  <c r="B201" i="11"/>
  <c r="B195" i="11"/>
  <c r="C208" i="11"/>
  <c r="C207" i="11"/>
  <c r="C206" i="11"/>
  <c r="C205" i="11"/>
  <c r="C204" i="11"/>
  <c r="C203" i="11"/>
  <c r="C202" i="11"/>
  <c r="C201" i="11"/>
  <c r="C200" i="11"/>
  <c r="C198" i="11"/>
  <c r="C197" i="11"/>
  <c r="C196" i="11"/>
  <c r="C195" i="11"/>
  <c r="D107" i="17"/>
  <c r="F107" i="17" s="1"/>
  <c r="D108" i="17"/>
  <c r="F108" i="17" s="1"/>
  <c r="D109" i="17"/>
  <c r="F109" i="17" s="1"/>
  <c r="D110" i="17"/>
  <c r="F110" i="17" s="1"/>
  <c r="D112" i="17"/>
  <c r="F112" i="17" s="1"/>
  <c r="D113" i="17"/>
  <c r="F113" i="17" s="1"/>
  <c r="D114" i="17"/>
  <c r="F114" i="17" s="1"/>
  <c r="D115" i="17"/>
  <c r="F115" i="17" s="1"/>
  <c r="D117" i="17"/>
  <c r="F117" i="17" s="1"/>
  <c r="D141" i="16"/>
  <c r="D125" i="17" s="1"/>
  <c r="D119" i="17"/>
  <c r="F119" i="17" s="1"/>
  <c r="D120" i="17"/>
  <c r="F120" i="17" s="1"/>
  <c r="D121" i="17"/>
  <c r="F121" i="17" s="1"/>
  <c r="D122" i="17"/>
  <c r="F122" i="17" s="1"/>
  <c r="D123" i="17"/>
  <c r="F123" i="17" s="1"/>
  <c r="D124" i="17"/>
  <c r="F124" i="17" s="1"/>
  <c r="A118" i="17"/>
  <c r="B118" i="17"/>
  <c r="C124" i="17"/>
  <c r="C123" i="17"/>
  <c r="C122" i="17"/>
  <c r="C121" i="17"/>
  <c r="C120" i="17"/>
  <c r="C119" i="17"/>
  <c r="C118" i="17"/>
  <c r="A125" i="17"/>
  <c r="B125" i="17"/>
  <c r="C125" i="17"/>
  <c r="D123" i="16"/>
  <c r="F123" i="16" s="1"/>
  <c r="D124" i="16"/>
  <c r="F124" i="16" s="1"/>
  <c r="D125" i="16"/>
  <c r="F125" i="16" s="1"/>
  <c r="D126" i="16"/>
  <c r="F126" i="16" s="1"/>
  <c r="D128" i="16"/>
  <c r="F128" i="16" s="1"/>
  <c r="D129" i="16"/>
  <c r="F129" i="16" s="1"/>
  <c r="D130" i="16"/>
  <c r="F130" i="16" s="1"/>
  <c r="D131" i="16"/>
  <c r="F131" i="16" s="1"/>
  <c r="D133" i="16"/>
  <c r="F133" i="16" s="1"/>
  <c r="D135" i="16"/>
  <c r="F135" i="16" s="1"/>
  <c r="D136" i="16"/>
  <c r="F136" i="16" s="1"/>
  <c r="D137" i="16"/>
  <c r="F137" i="16" s="1"/>
  <c r="D138" i="16"/>
  <c r="F138" i="16" s="1"/>
  <c r="D139" i="16"/>
  <c r="F139" i="16" s="1"/>
  <c r="D140" i="16"/>
  <c r="F140" i="16" s="1"/>
  <c r="A141" i="16"/>
  <c r="B141" i="16"/>
  <c r="C141" i="16"/>
  <c r="A134" i="16"/>
  <c r="B134" i="16"/>
  <c r="C140" i="16"/>
  <c r="C139" i="16"/>
  <c r="C138" i="16"/>
  <c r="C137" i="16"/>
  <c r="C136" i="16"/>
  <c r="C135" i="16"/>
  <c r="C134" i="16"/>
  <c r="A142" i="10"/>
  <c r="B142" i="10"/>
  <c r="C146" i="10"/>
  <c r="C145" i="10"/>
  <c r="C144" i="10"/>
  <c r="C143" i="10"/>
  <c r="C142" i="10"/>
  <c r="D134" i="9"/>
  <c r="F134" i="9" s="1"/>
  <c r="D135" i="9"/>
  <c r="F135" i="9" s="1"/>
  <c r="D136" i="9"/>
  <c r="F136" i="9" s="1"/>
  <c r="D138" i="9"/>
  <c r="F138" i="9" s="1"/>
  <c r="A136" i="10"/>
  <c r="B136" i="10"/>
  <c r="C141" i="10"/>
  <c r="C139" i="10"/>
  <c r="C138" i="10"/>
  <c r="C137" i="10"/>
  <c r="C136" i="10"/>
  <c r="C134" i="10"/>
  <c r="D140" i="9"/>
  <c r="F140" i="9" s="1"/>
  <c r="D141" i="9"/>
  <c r="F141" i="9" s="1"/>
  <c r="D142" i="9"/>
  <c r="F142" i="9" s="1"/>
  <c r="D143" i="9"/>
  <c r="F143" i="9" s="1"/>
  <c r="D144" i="9"/>
  <c r="G144" i="9" s="1"/>
  <c r="A139" i="9"/>
  <c r="A133" i="9"/>
  <c r="B139" i="9"/>
  <c r="C143" i="9"/>
  <c r="C142" i="9"/>
  <c r="C141" i="9"/>
  <c r="C140" i="9"/>
  <c r="C139" i="9"/>
  <c r="C138" i="9"/>
  <c r="C136" i="9"/>
  <c r="C135" i="9"/>
  <c r="C134" i="9"/>
  <c r="B133" i="9"/>
  <c r="C133" i="9"/>
  <c r="F81" i="8"/>
  <c r="F82" i="8"/>
  <c r="F83" i="8"/>
  <c r="F86" i="8"/>
  <c r="F87" i="8"/>
  <c r="F9" i="8"/>
  <c r="G8" i="8" s="1"/>
  <c r="A58" i="24"/>
  <c r="A54" i="24"/>
  <c r="B58" i="24"/>
  <c r="B54" i="24"/>
  <c r="C62" i="24"/>
  <c r="C60" i="24"/>
  <c r="C59" i="24"/>
  <c r="C58" i="24"/>
  <c r="C57" i="24"/>
  <c r="C56" i="24"/>
  <c r="C55" i="24"/>
  <c r="C54" i="24"/>
  <c r="A70" i="24"/>
  <c r="B70" i="24"/>
  <c r="C74" i="24"/>
  <c r="C73" i="24"/>
  <c r="C71" i="24"/>
  <c r="C70" i="24"/>
  <c r="C69" i="24"/>
  <c r="C68" i="24"/>
  <c r="C67" i="24"/>
  <c r="C66" i="24"/>
  <c r="C65" i="24"/>
  <c r="C64" i="24"/>
  <c r="A63" i="24"/>
  <c r="B63" i="24"/>
  <c r="C63" i="24"/>
  <c r="A46" i="24"/>
  <c r="A40" i="24"/>
  <c r="B46" i="24"/>
  <c r="B40" i="24"/>
  <c r="C48" i="24"/>
  <c r="C47" i="24"/>
  <c r="C46" i="24"/>
  <c r="C45" i="24"/>
  <c r="C43" i="24"/>
  <c r="C42" i="24"/>
  <c r="C41" i="24"/>
  <c r="C40" i="24"/>
  <c r="C174" i="25"/>
  <c r="C173" i="25"/>
  <c r="C172" i="25"/>
  <c r="C171" i="25"/>
  <c r="C170" i="25"/>
  <c r="A170" i="25"/>
  <c r="B170" i="25"/>
  <c r="C181" i="25"/>
  <c r="C180" i="25"/>
  <c r="C179" i="25"/>
  <c r="C178" i="25"/>
  <c r="C177" i="25"/>
  <c r="C176" i="25"/>
  <c r="C175" i="25"/>
  <c r="A175" i="25"/>
  <c r="B175" i="25"/>
  <c r="A164" i="25"/>
  <c r="B164" i="25"/>
  <c r="C169" i="25"/>
  <c r="C167" i="25"/>
  <c r="C166" i="25"/>
  <c r="C165" i="25"/>
  <c r="C164" i="25"/>
  <c r="A157" i="23"/>
  <c r="B157" i="23"/>
  <c r="C159" i="23"/>
  <c r="C158" i="23"/>
  <c r="C157" i="23"/>
  <c r="C156" i="23"/>
  <c r="C154" i="23"/>
  <c r="C153" i="23"/>
  <c r="C152" i="23"/>
  <c r="A151" i="23"/>
  <c r="B151" i="23"/>
  <c r="C151" i="23"/>
  <c r="A172" i="23"/>
  <c r="A165" i="23"/>
  <c r="B172" i="23"/>
  <c r="B165" i="23"/>
  <c r="A186" i="18"/>
  <c r="B186" i="18"/>
  <c r="C186" i="18"/>
  <c r="A140" i="19"/>
  <c r="B140" i="19"/>
  <c r="C140" i="19"/>
  <c r="C176" i="20"/>
  <c r="A176" i="20"/>
  <c r="B176" i="20"/>
  <c r="A177" i="23"/>
  <c r="B177" i="23"/>
  <c r="C177" i="23"/>
  <c r="C176" i="23"/>
  <c r="C175" i="23"/>
  <c r="C173" i="23"/>
  <c r="C172" i="23"/>
  <c r="C171" i="23"/>
  <c r="C170" i="23"/>
  <c r="C169" i="23"/>
  <c r="C168" i="23"/>
  <c r="C167" i="23"/>
  <c r="C166" i="23"/>
  <c r="C165" i="23"/>
  <c r="A145" i="21"/>
  <c r="C147" i="21"/>
  <c r="C146" i="21"/>
  <c r="C145" i="21"/>
  <c r="A149" i="21"/>
  <c r="B149" i="21"/>
  <c r="C160" i="21"/>
  <c r="C159" i="21"/>
  <c r="C157" i="21"/>
  <c r="C156" i="21"/>
  <c r="C155" i="21"/>
  <c r="C154" i="21"/>
  <c r="C153" i="21"/>
  <c r="C152" i="21"/>
  <c r="C151" i="21"/>
  <c r="C150" i="21"/>
  <c r="A156" i="21"/>
  <c r="B156" i="21"/>
  <c r="C149" i="21"/>
  <c r="B145" i="21"/>
  <c r="A161" i="20"/>
  <c r="B161" i="20"/>
  <c r="A155" i="20"/>
  <c r="B155" i="20"/>
  <c r="C163" i="20"/>
  <c r="C162" i="20"/>
  <c r="C161" i="20"/>
  <c r="C160" i="20"/>
  <c r="C158" i="20"/>
  <c r="C157" i="20"/>
  <c r="C156" i="20"/>
  <c r="C155" i="20"/>
  <c r="A164" i="20"/>
  <c r="B164" i="20"/>
  <c r="C175" i="20"/>
  <c r="C174" i="20"/>
  <c r="C172" i="20"/>
  <c r="C171" i="20"/>
  <c r="C170" i="20"/>
  <c r="C169" i="20"/>
  <c r="C168" i="20"/>
  <c r="C167" i="20"/>
  <c r="C166" i="20"/>
  <c r="C165" i="20"/>
  <c r="A171" i="20"/>
  <c r="B171" i="20"/>
  <c r="C164" i="20"/>
  <c r="C139" i="19"/>
  <c r="C138" i="19"/>
  <c r="C136" i="19"/>
  <c r="C135" i="19"/>
  <c r="C134" i="19"/>
  <c r="C133" i="19"/>
  <c r="C132" i="19"/>
  <c r="C131" i="19"/>
  <c r="C130" i="19"/>
  <c r="C129" i="19"/>
  <c r="A135" i="19"/>
  <c r="B135" i="19"/>
  <c r="A128" i="19"/>
  <c r="B128" i="19"/>
  <c r="C128" i="19"/>
  <c r="B181" i="18"/>
  <c r="C185" i="18"/>
  <c r="C184" i="18"/>
  <c r="C182" i="18"/>
  <c r="C181" i="18"/>
  <c r="A174" i="18"/>
  <c r="C180" i="18"/>
  <c r="C179" i="18"/>
  <c r="C178" i="18"/>
  <c r="C177" i="18"/>
  <c r="C176" i="18"/>
  <c r="C175" i="18"/>
  <c r="C174" i="18"/>
  <c r="B174" i="18"/>
  <c r="C173" i="18"/>
  <c r="C172" i="18"/>
  <c r="C171" i="18"/>
  <c r="C170" i="18"/>
  <c r="C168" i="18"/>
  <c r="C167" i="18"/>
  <c r="C166" i="18"/>
  <c r="A171" i="18"/>
  <c r="B171" i="18"/>
  <c r="A165" i="18"/>
  <c r="B165" i="18"/>
  <c r="C165" i="18"/>
  <c r="A133" i="15"/>
  <c r="B133" i="15"/>
  <c r="C135" i="15"/>
  <c r="C134" i="15"/>
  <c r="C133" i="15"/>
  <c r="C132" i="15"/>
  <c r="C130" i="15"/>
  <c r="C129" i="15"/>
  <c r="C128" i="15"/>
  <c r="A127" i="15"/>
  <c r="B127" i="15"/>
  <c r="C127" i="15"/>
  <c r="A96" i="17"/>
  <c r="B96" i="17"/>
  <c r="C101" i="17"/>
  <c r="C99" i="17"/>
  <c r="C98" i="17"/>
  <c r="C97" i="17"/>
  <c r="C96" i="17"/>
  <c r="A114" i="16"/>
  <c r="B114" i="16"/>
  <c r="C116" i="16"/>
  <c r="C115" i="16"/>
  <c r="C114" i="16"/>
  <c r="C113" i="16"/>
  <c r="C111" i="16"/>
  <c r="C110" i="16"/>
  <c r="C109" i="16"/>
  <c r="A108" i="16"/>
  <c r="B108" i="16"/>
  <c r="C108" i="16"/>
  <c r="C143" i="11"/>
  <c r="C142" i="11"/>
  <c r="C141" i="11"/>
  <c r="C140" i="11"/>
  <c r="C139" i="11"/>
  <c r="C138" i="11"/>
  <c r="F80" i="20"/>
  <c r="F79" i="20"/>
  <c r="F76" i="19"/>
  <c r="F64" i="15"/>
  <c r="F37" i="17"/>
  <c r="F39" i="13"/>
  <c r="D28" i="26"/>
  <c r="G28" i="26" s="1"/>
  <c r="F23" i="16"/>
  <c r="F69" i="13"/>
  <c r="F70" i="13"/>
  <c r="F71" i="13"/>
  <c r="F72" i="13"/>
  <c r="F73" i="13"/>
  <c r="F74" i="13"/>
  <c r="F38" i="9"/>
  <c r="F39" i="9"/>
  <c r="F40" i="9"/>
  <c r="F41" i="9"/>
  <c r="F42" i="9"/>
  <c r="C108" i="14"/>
  <c r="C107" i="14"/>
  <c r="C106" i="14"/>
  <c r="C105" i="14"/>
  <c r="C104" i="14"/>
  <c r="C103" i="14"/>
  <c r="C102" i="14"/>
  <c r="B102" i="14"/>
  <c r="A102" i="14"/>
  <c r="D107" i="13"/>
  <c r="D106" i="13"/>
  <c r="F106" i="13" s="1"/>
  <c r="D105" i="13"/>
  <c r="F105" i="13" s="1"/>
  <c r="D104" i="13"/>
  <c r="F104" i="13" s="1"/>
  <c r="D103" i="13"/>
  <c r="F103" i="13" s="1"/>
  <c r="C107" i="13"/>
  <c r="C106" i="13"/>
  <c r="C105" i="13"/>
  <c r="C104" i="13"/>
  <c r="C103" i="13"/>
  <c r="C102" i="13"/>
  <c r="C101" i="13"/>
  <c r="B101" i="13"/>
  <c r="A101" i="13"/>
  <c r="C137" i="11"/>
  <c r="B137" i="11"/>
  <c r="A137" i="11"/>
  <c r="C35" i="27"/>
  <c r="C34" i="27"/>
  <c r="C33" i="27"/>
  <c r="A32" i="27"/>
  <c r="B32" i="27"/>
  <c r="C32" i="27"/>
  <c r="A40" i="27"/>
  <c r="A47" i="27"/>
  <c r="A53" i="27"/>
  <c r="A52" i="27"/>
  <c r="B53" i="27"/>
  <c r="B52" i="27"/>
  <c r="B47" i="27"/>
  <c r="B40" i="27"/>
  <c r="C51" i="27"/>
  <c r="C50" i="27"/>
  <c r="C46" i="27"/>
  <c r="C45" i="27"/>
  <c r="C44" i="27"/>
  <c r="C43" i="27"/>
  <c r="C42" i="27"/>
  <c r="C53" i="27"/>
  <c r="C52" i="27"/>
  <c r="C48" i="27"/>
  <c r="C47" i="27"/>
  <c r="C41" i="27"/>
  <c r="C40" i="27"/>
  <c r="A36" i="27"/>
  <c r="B36" i="27"/>
  <c r="C38" i="27"/>
  <c r="C37" i="27"/>
  <c r="C36" i="27"/>
  <c r="F58" i="17"/>
  <c r="F69" i="14"/>
  <c r="F72" i="14"/>
  <c r="F71" i="14"/>
  <c r="F70" i="14"/>
  <c r="F79" i="13"/>
  <c r="F81" i="13"/>
  <c r="F80" i="13"/>
  <c r="F78" i="13"/>
  <c r="F60" i="9"/>
  <c r="F62" i="9"/>
  <c r="F61" i="9"/>
  <c r="F59" i="9"/>
  <c r="F58" i="9"/>
  <c r="B7" i="31"/>
  <c r="C23" i="14"/>
  <c r="C22" i="14"/>
  <c r="C21" i="14"/>
  <c r="C20" i="14"/>
  <c r="F39" i="24"/>
  <c r="F38" i="24"/>
  <c r="F37" i="24"/>
  <c r="D110" i="21"/>
  <c r="F110" i="21" s="1"/>
  <c r="D109" i="21"/>
  <c r="F109" i="21" s="1"/>
  <c r="D34" i="21"/>
  <c r="F34" i="21" s="1"/>
  <c r="D33" i="21"/>
  <c r="F33" i="21" s="1"/>
  <c r="D141" i="20"/>
  <c r="G141" i="20" s="1"/>
  <c r="F40" i="20"/>
  <c r="F39" i="20"/>
  <c r="F38" i="20"/>
  <c r="F41" i="19"/>
  <c r="F40" i="19"/>
  <c r="F39" i="19"/>
  <c r="D103" i="18"/>
  <c r="F103" i="18" s="1"/>
  <c r="D102" i="18"/>
  <c r="F102" i="18" s="1"/>
  <c r="D156" i="18"/>
  <c r="F156" i="18" s="1"/>
  <c r="D155" i="18"/>
  <c r="F155" i="18" s="1"/>
  <c r="F57" i="18"/>
  <c r="F56" i="18"/>
  <c r="D27" i="18"/>
  <c r="F27" i="18" s="1"/>
  <c r="D26" i="18"/>
  <c r="F26" i="18" s="1"/>
  <c r="D111" i="15"/>
  <c r="F111" i="15" s="1"/>
  <c r="D110" i="15"/>
  <c r="F110" i="15" s="1"/>
  <c r="F72" i="17"/>
  <c r="F71" i="17"/>
  <c r="D70" i="17"/>
  <c r="F70" i="17" s="1"/>
  <c r="D69" i="17"/>
  <c r="F69" i="17" s="1"/>
  <c r="D68" i="17"/>
  <c r="F68" i="17" s="1"/>
  <c r="D66" i="17"/>
  <c r="F66" i="17" s="1"/>
  <c r="D65" i="17"/>
  <c r="F65" i="17" s="1"/>
  <c r="F64" i="17"/>
  <c r="D83" i="16"/>
  <c r="F83" i="16" s="1"/>
  <c r="D82" i="16"/>
  <c r="F82" i="16" s="1"/>
  <c r="F81" i="16"/>
  <c r="F68" i="14"/>
  <c r="F67" i="14"/>
  <c r="F77" i="13"/>
  <c r="F76" i="13"/>
  <c r="D52" i="11"/>
  <c r="F52" i="11" s="1"/>
  <c r="D51" i="11"/>
  <c r="F51" i="11" s="1"/>
  <c r="F80" i="10"/>
  <c r="D79" i="10"/>
  <c r="F79" i="10" s="1"/>
  <c r="D78" i="10"/>
  <c r="F78" i="10" s="1"/>
  <c r="D77" i="10"/>
  <c r="F77" i="10" s="1"/>
  <c r="F70" i="10"/>
  <c r="F69" i="10"/>
  <c r="F67" i="10"/>
  <c r="F66" i="10"/>
  <c r="F82" i="9"/>
  <c r="F81" i="9"/>
  <c r="F80" i="9"/>
  <c r="F57" i="9"/>
  <c r="F68" i="9"/>
  <c r="F67" i="9"/>
  <c r="F66" i="9"/>
  <c r="F64" i="9"/>
  <c r="F52" i="12"/>
  <c r="F51" i="12"/>
  <c r="F50" i="12"/>
  <c r="D23" i="8"/>
  <c r="F23" i="8" s="1"/>
  <c r="F22" i="8"/>
  <c r="D21" i="8"/>
  <c r="F21" i="8" s="1"/>
  <c r="F56" i="8"/>
  <c r="B78" i="21"/>
  <c r="A3" i="24"/>
  <c r="C110" i="21"/>
  <c r="C109" i="21"/>
  <c r="C108" i="21"/>
  <c r="C103" i="18"/>
  <c r="C102" i="18"/>
  <c r="C101" i="18"/>
  <c r="C52" i="11"/>
  <c r="C51" i="11"/>
  <c r="B96" i="9"/>
  <c r="B79" i="24"/>
  <c r="A79" i="24"/>
  <c r="B76" i="24"/>
  <c r="A76" i="24"/>
  <c r="B17" i="24"/>
  <c r="A17" i="24"/>
  <c r="C15" i="24"/>
  <c r="C13" i="24"/>
  <c r="C12" i="24"/>
  <c r="C11" i="24"/>
  <c r="C10" i="24"/>
  <c r="C9" i="24"/>
  <c r="B9" i="24"/>
  <c r="A9" i="24"/>
  <c r="C16" i="24"/>
  <c r="B16" i="24"/>
  <c r="A16" i="24"/>
  <c r="C8" i="24"/>
  <c r="C7" i="24"/>
  <c r="C102" i="25"/>
  <c r="C98" i="25"/>
  <c r="C97" i="25"/>
  <c r="C96" i="25"/>
  <c r="C95" i="25"/>
  <c r="B95" i="25"/>
  <c r="A95" i="25"/>
  <c r="C82" i="25"/>
  <c r="B82" i="25"/>
  <c r="A82" i="25"/>
  <c r="C81" i="25"/>
  <c r="C80" i="25"/>
  <c r="C79" i="25"/>
  <c r="B79" i="25"/>
  <c r="A79" i="25"/>
  <c r="C78" i="25"/>
  <c r="C77" i="25"/>
  <c r="C76" i="25"/>
  <c r="C75" i="25"/>
  <c r="C74" i="25"/>
  <c r="C72" i="25"/>
  <c r="C71" i="25"/>
  <c r="C70" i="25"/>
  <c r="B70" i="25"/>
  <c r="A70" i="25"/>
  <c r="C144" i="25"/>
  <c r="C143" i="25"/>
  <c r="C142" i="25"/>
  <c r="C141" i="25"/>
  <c r="B141" i="25"/>
  <c r="A141" i="25"/>
  <c r="C163" i="25"/>
  <c r="C162" i="25"/>
  <c r="C161" i="25"/>
  <c r="C160" i="25"/>
  <c r="B160" i="25"/>
  <c r="A160" i="25"/>
  <c r="C46" i="25"/>
  <c r="C14" i="26"/>
  <c r="C12" i="26"/>
  <c r="C11" i="26"/>
  <c r="C10" i="26"/>
  <c r="C9" i="26"/>
  <c r="B9" i="26"/>
  <c r="A9" i="26"/>
  <c r="C28" i="26"/>
  <c r="B28" i="26"/>
  <c r="A28" i="26"/>
  <c r="C15" i="27"/>
  <c r="C13" i="27"/>
  <c r="C12" i="27"/>
  <c r="C11" i="27"/>
  <c r="C10" i="27"/>
  <c r="C9" i="27"/>
  <c r="B9" i="27"/>
  <c r="A9" i="27"/>
  <c r="C8" i="27"/>
  <c r="C7" i="27"/>
  <c r="C182" i="23"/>
  <c r="B182" i="23"/>
  <c r="A182" i="23"/>
  <c r="C79" i="23"/>
  <c r="C59" i="23"/>
  <c r="C58" i="23"/>
  <c r="C57" i="23"/>
  <c r="B57" i="23"/>
  <c r="A57" i="23"/>
  <c r="C150" i="23"/>
  <c r="C149" i="23"/>
  <c r="C148" i="23"/>
  <c r="C147" i="23"/>
  <c r="B147" i="23"/>
  <c r="A147" i="23"/>
  <c r="C146" i="23"/>
  <c r="C145" i="23"/>
  <c r="C144" i="23"/>
  <c r="C143" i="23"/>
  <c r="B143" i="23"/>
  <c r="A143" i="23"/>
  <c r="C44" i="23"/>
  <c r="C42" i="23"/>
  <c r="C41" i="23"/>
  <c r="C40" i="23"/>
  <c r="C39" i="23"/>
  <c r="C38" i="23"/>
  <c r="B38" i="23"/>
  <c r="A38" i="23"/>
  <c r="C37" i="23"/>
  <c r="C36" i="23"/>
  <c r="C56" i="22"/>
  <c r="C46" i="22"/>
  <c r="C45" i="22"/>
  <c r="C44" i="22"/>
  <c r="C43" i="22"/>
  <c r="B43" i="22"/>
  <c r="A43" i="22"/>
  <c r="C42" i="22"/>
  <c r="C41" i="22"/>
  <c r="C40" i="22"/>
  <c r="B40" i="22"/>
  <c r="A40" i="22"/>
  <c r="C39" i="22"/>
  <c r="C38" i="22"/>
  <c r="C37" i="22"/>
  <c r="C36" i="22"/>
  <c r="B36" i="22"/>
  <c r="A36" i="22"/>
  <c r="C35" i="22"/>
  <c r="C34" i="22"/>
  <c r="C33" i="22"/>
  <c r="C32" i="22"/>
  <c r="C31" i="22"/>
  <c r="C29" i="22"/>
  <c r="C28" i="22"/>
  <c r="C27" i="22"/>
  <c r="B27" i="22"/>
  <c r="A27" i="22"/>
  <c r="C101" i="21"/>
  <c r="C100" i="21"/>
  <c r="C99" i="21"/>
  <c r="C98" i="21"/>
  <c r="B98" i="21"/>
  <c r="A98" i="21"/>
  <c r="C84" i="21"/>
  <c r="C83" i="21"/>
  <c r="C81" i="21"/>
  <c r="C80" i="21"/>
  <c r="C78" i="21"/>
  <c r="A78" i="21"/>
  <c r="C68" i="21"/>
  <c r="C67" i="21"/>
  <c r="C66" i="21"/>
  <c r="B66" i="21"/>
  <c r="A66" i="21"/>
  <c r="C91" i="21"/>
  <c r="C90" i="21"/>
  <c r="C89" i="21"/>
  <c r="B89" i="21"/>
  <c r="A89" i="21"/>
  <c r="C88" i="21"/>
  <c r="C87" i="21"/>
  <c r="C86" i="21"/>
  <c r="C85" i="21"/>
  <c r="B85" i="21"/>
  <c r="A85" i="21"/>
  <c r="C77" i="21"/>
  <c r="C76" i="21"/>
  <c r="C75" i="21"/>
  <c r="C74" i="21"/>
  <c r="C73" i="21"/>
  <c r="C71" i="21"/>
  <c r="C70" i="21"/>
  <c r="C69" i="21"/>
  <c r="B69" i="21"/>
  <c r="A69" i="21"/>
  <c r="C138" i="21"/>
  <c r="C137" i="21"/>
  <c r="C136" i="21"/>
  <c r="C135" i="21"/>
  <c r="B135" i="21"/>
  <c r="A135" i="21"/>
  <c r="C56" i="21"/>
  <c r="C31" i="21"/>
  <c r="C47" i="21"/>
  <c r="C45" i="21"/>
  <c r="C44" i="21"/>
  <c r="C43" i="21"/>
  <c r="C42" i="21"/>
  <c r="C41" i="21"/>
  <c r="B41" i="21"/>
  <c r="A41" i="21"/>
  <c r="B48" i="21"/>
  <c r="A48" i="21"/>
  <c r="C40" i="21"/>
  <c r="C39" i="21"/>
  <c r="C63" i="20"/>
  <c r="B63" i="20"/>
  <c r="A63" i="20"/>
  <c r="C62" i="20"/>
  <c r="C61" i="20"/>
  <c r="C60" i="20"/>
  <c r="C59" i="20"/>
  <c r="B59" i="20"/>
  <c r="A59" i="20"/>
  <c r="C58" i="20"/>
  <c r="C57" i="20"/>
  <c r="C56" i="20"/>
  <c r="C55" i="20"/>
  <c r="C54" i="20"/>
  <c r="C52" i="20"/>
  <c r="C51" i="20"/>
  <c r="C50" i="20"/>
  <c r="B50" i="20"/>
  <c r="A50" i="20"/>
  <c r="C149" i="20"/>
  <c r="C148" i="20"/>
  <c r="C147" i="20"/>
  <c r="C146" i="20"/>
  <c r="B146" i="20"/>
  <c r="A146" i="20"/>
  <c r="C141" i="20"/>
  <c r="B141" i="20"/>
  <c r="A141" i="20"/>
  <c r="B32" i="20"/>
  <c r="A32" i="20"/>
  <c r="C16" i="20"/>
  <c r="C14" i="20"/>
  <c r="C13" i="20"/>
  <c r="C12" i="20"/>
  <c r="C11" i="20"/>
  <c r="C10" i="20"/>
  <c r="B10" i="20"/>
  <c r="A10" i="20"/>
  <c r="C148" i="19"/>
  <c r="C147" i="19"/>
  <c r="C60" i="19"/>
  <c r="B60" i="19"/>
  <c r="A60" i="19"/>
  <c r="C122" i="19"/>
  <c r="C121" i="19"/>
  <c r="C120" i="19"/>
  <c r="C119" i="19"/>
  <c r="B119" i="19"/>
  <c r="A119" i="19"/>
  <c r="C114" i="19"/>
  <c r="B114" i="19"/>
  <c r="A114" i="19"/>
  <c r="B32" i="19"/>
  <c r="A32" i="19"/>
  <c r="C94" i="18"/>
  <c r="C93" i="18"/>
  <c r="C92" i="18"/>
  <c r="C91" i="18"/>
  <c r="B91" i="18"/>
  <c r="A91" i="18"/>
  <c r="C90" i="18"/>
  <c r="C89" i="18"/>
  <c r="C88" i="18"/>
  <c r="B88" i="18"/>
  <c r="A88" i="18"/>
  <c r="C80" i="18"/>
  <c r="C79" i="18"/>
  <c r="C78" i="18"/>
  <c r="C77" i="18"/>
  <c r="C76" i="18"/>
  <c r="C74" i="18"/>
  <c r="C73" i="18"/>
  <c r="C72" i="18"/>
  <c r="B72" i="18"/>
  <c r="A72" i="18"/>
  <c r="C164" i="18"/>
  <c r="C163" i="18"/>
  <c r="C162" i="18"/>
  <c r="C161" i="18"/>
  <c r="B161" i="18"/>
  <c r="A161" i="18"/>
  <c r="C155" i="18"/>
  <c r="B44" i="18"/>
  <c r="A44" i="18"/>
  <c r="C24" i="18"/>
  <c r="C12" i="18"/>
  <c r="C34" i="18"/>
  <c r="C32" i="18"/>
  <c r="C31" i="18"/>
  <c r="C30" i="18"/>
  <c r="C29" i="18"/>
  <c r="C28" i="18"/>
  <c r="B28" i="18"/>
  <c r="A28" i="18"/>
  <c r="C35" i="18"/>
  <c r="B35" i="18"/>
  <c r="A35" i="18"/>
  <c r="C138" i="15"/>
  <c r="B138" i="15"/>
  <c r="A138" i="15"/>
  <c r="C137" i="15"/>
  <c r="C47" i="15"/>
  <c r="C46" i="15"/>
  <c r="C45" i="15"/>
  <c r="C44" i="15"/>
  <c r="B44" i="15"/>
  <c r="A44" i="15"/>
  <c r="C37" i="15"/>
  <c r="C36" i="15"/>
  <c r="C35" i="15"/>
  <c r="B35" i="15"/>
  <c r="A35" i="15"/>
  <c r="A123" i="15"/>
  <c r="C117" i="15"/>
  <c r="C116" i="15"/>
  <c r="C114" i="15"/>
  <c r="C110" i="15"/>
  <c r="C117" i="17"/>
  <c r="C115" i="17"/>
  <c r="C114" i="17"/>
  <c r="C113" i="17"/>
  <c r="C112" i="17"/>
  <c r="C111" i="17"/>
  <c r="B111" i="17"/>
  <c r="A111" i="17"/>
  <c r="C110" i="17"/>
  <c r="C109" i="17"/>
  <c r="C95" i="17"/>
  <c r="C94" i="17"/>
  <c r="C93" i="17"/>
  <c r="C92" i="17"/>
  <c r="B92" i="17"/>
  <c r="A92" i="17"/>
  <c r="C70" i="17"/>
  <c r="C69" i="17"/>
  <c r="C68" i="17"/>
  <c r="C67" i="17"/>
  <c r="B67" i="17"/>
  <c r="A67" i="17"/>
  <c r="C78" i="17"/>
  <c r="C77" i="17"/>
  <c r="C75" i="17"/>
  <c r="C91" i="17"/>
  <c r="C90" i="17"/>
  <c r="C89" i="17"/>
  <c r="C88" i="17"/>
  <c r="B88" i="17"/>
  <c r="A88" i="17"/>
  <c r="C65" i="17"/>
  <c r="B3" i="17"/>
  <c r="A3" i="17"/>
  <c r="C133" i="16"/>
  <c r="C131" i="16"/>
  <c r="C130" i="16"/>
  <c r="C129" i="16"/>
  <c r="C128" i="16"/>
  <c r="C127" i="16"/>
  <c r="B127" i="16"/>
  <c r="A127" i="16"/>
  <c r="C126" i="16"/>
  <c r="C125" i="16"/>
  <c r="B118" i="16"/>
  <c r="A118" i="16"/>
  <c r="C107" i="16"/>
  <c r="C106" i="16"/>
  <c r="C105" i="16"/>
  <c r="C104" i="16"/>
  <c r="B104" i="16"/>
  <c r="A104" i="16"/>
  <c r="C87" i="16"/>
  <c r="C86" i="16"/>
  <c r="C85" i="16"/>
  <c r="C84" i="16"/>
  <c r="B84" i="16"/>
  <c r="A84" i="16"/>
  <c r="C95" i="16"/>
  <c r="C94" i="16"/>
  <c r="C92" i="16"/>
  <c r="C103" i="16"/>
  <c r="C102" i="16"/>
  <c r="C101" i="16"/>
  <c r="C100" i="16"/>
  <c r="B100" i="16"/>
  <c r="A100" i="16"/>
  <c r="C82" i="16"/>
  <c r="B10" i="16"/>
  <c r="A10" i="16"/>
  <c r="C31" i="14"/>
  <c r="C27" i="14"/>
  <c r="C26" i="14"/>
  <c r="C25" i="14"/>
  <c r="C24" i="14"/>
  <c r="B24" i="14"/>
  <c r="A24" i="14"/>
  <c r="C96" i="14"/>
  <c r="C95" i="14"/>
  <c r="C94" i="14"/>
  <c r="C93" i="14"/>
  <c r="B93" i="14"/>
  <c r="A93" i="14"/>
  <c r="C80" i="14"/>
  <c r="C79" i="14"/>
  <c r="C78" i="14"/>
  <c r="C77" i="14"/>
  <c r="B77" i="14"/>
  <c r="A77" i="14"/>
  <c r="C92" i="14"/>
  <c r="C91" i="14"/>
  <c r="C89" i="14"/>
  <c r="A113" i="13"/>
  <c r="C29" i="13"/>
  <c r="C26" i="13"/>
  <c r="C24" i="13"/>
  <c r="C23" i="13"/>
  <c r="C22" i="13"/>
  <c r="C21" i="13"/>
  <c r="B21" i="13"/>
  <c r="A21" i="13"/>
  <c r="C20" i="13"/>
  <c r="C19" i="13"/>
  <c r="C18" i="13"/>
  <c r="C17" i="13"/>
  <c r="C16" i="13"/>
  <c r="C14" i="13"/>
  <c r="C13" i="13"/>
  <c r="C12" i="13"/>
  <c r="B12" i="13"/>
  <c r="A12" i="13"/>
  <c r="C95" i="13"/>
  <c r="C94" i="13"/>
  <c r="C93" i="13"/>
  <c r="C92" i="13"/>
  <c r="B92" i="13"/>
  <c r="A92" i="13"/>
  <c r="C85" i="13"/>
  <c r="C84" i="13"/>
  <c r="C83" i="13"/>
  <c r="C82" i="13"/>
  <c r="B82" i="13"/>
  <c r="A82" i="13"/>
  <c r="A213" i="11"/>
  <c r="C151" i="11"/>
  <c r="C150" i="11"/>
  <c r="B144" i="11"/>
  <c r="A144" i="11"/>
  <c r="C55" i="11"/>
  <c r="C43" i="11"/>
  <c r="C42" i="11"/>
  <c r="C41" i="11"/>
  <c r="C40" i="11"/>
  <c r="B40" i="11"/>
  <c r="A40" i="11"/>
  <c r="C131" i="11"/>
  <c r="C130" i="11"/>
  <c r="C129" i="11"/>
  <c r="C128" i="11"/>
  <c r="B128" i="11"/>
  <c r="A128" i="11"/>
  <c r="C111" i="11"/>
  <c r="C110" i="11"/>
  <c r="C109" i="11"/>
  <c r="C108" i="11"/>
  <c r="B108" i="11"/>
  <c r="A108" i="11"/>
  <c r="C123" i="11"/>
  <c r="C122" i="11"/>
  <c r="C120" i="11"/>
  <c r="C4" i="11"/>
  <c r="A147" i="10"/>
  <c r="C135" i="10"/>
  <c r="C133" i="10"/>
  <c r="C132" i="10"/>
  <c r="B132" i="10"/>
  <c r="A132" i="10"/>
  <c r="C27" i="10"/>
  <c r="C19" i="10"/>
  <c r="C18" i="10"/>
  <c r="C17" i="10"/>
  <c r="C16" i="10"/>
  <c r="B16" i="10"/>
  <c r="A16" i="10"/>
  <c r="C79" i="10"/>
  <c r="C78" i="10"/>
  <c r="C77" i="10"/>
  <c r="C76" i="10"/>
  <c r="B76" i="10"/>
  <c r="A76" i="10"/>
  <c r="C91" i="10"/>
  <c r="C90" i="10"/>
  <c r="C88" i="10"/>
  <c r="C75" i="10"/>
  <c r="B75" i="10"/>
  <c r="A75" i="10"/>
  <c r="C144" i="9"/>
  <c r="C19" i="9"/>
  <c r="C18" i="9"/>
  <c r="C17" i="9"/>
  <c r="C16" i="9"/>
  <c r="B16" i="9"/>
  <c r="A16" i="9"/>
  <c r="C76" i="9"/>
  <c r="C75" i="9"/>
  <c r="C74" i="9"/>
  <c r="C73" i="9"/>
  <c r="B73" i="9"/>
  <c r="A73" i="9"/>
  <c r="C88" i="9"/>
  <c r="C87" i="9"/>
  <c r="C85" i="9"/>
  <c r="C58" i="12"/>
  <c r="C57" i="12"/>
  <c r="C56" i="12"/>
  <c r="C55" i="12"/>
  <c r="B55" i="12"/>
  <c r="A55" i="12"/>
  <c r="C42" i="12"/>
  <c r="C41" i="12"/>
  <c r="C40" i="12"/>
  <c r="C39" i="12"/>
  <c r="B39" i="12"/>
  <c r="A39" i="12"/>
  <c r="C16" i="31"/>
  <c r="C35" i="31"/>
  <c r="C34" i="31"/>
  <c r="C33" i="31"/>
  <c r="C32" i="31"/>
  <c r="B32" i="31"/>
  <c r="A32" i="31"/>
  <c r="C29" i="31"/>
  <c r="C28" i="31"/>
  <c r="C27" i="31"/>
  <c r="C26" i="31"/>
  <c r="B26" i="31"/>
  <c r="A26" i="31"/>
  <c r="B74" i="8"/>
  <c r="A74" i="8"/>
  <c r="C26" i="8"/>
  <c r="C67" i="8"/>
  <c r="C66" i="8"/>
  <c r="C65" i="8"/>
  <c r="C64" i="8"/>
  <c r="B64" i="8"/>
  <c r="A64" i="8"/>
  <c r="C51" i="8"/>
  <c r="C50" i="8"/>
  <c r="C49" i="8"/>
  <c r="C48" i="8"/>
  <c r="B48" i="8"/>
  <c r="A48" i="8"/>
  <c r="C63" i="8"/>
  <c r="C62" i="8"/>
  <c r="C60" i="8"/>
  <c r="B3" i="24"/>
  <c r="C3" i="24"/>
  <c r="C5" i="24"/>
  <c r="C6" i="24"/>
  <c r="A75" i="24"/>
  <c r="B75" i="24"/>
  <c r="A77" i="24"/>
  <c r="B77" i="24"/>
  <c r="A10" i="25"/>
  <c r="B10" i="25"/>
  <c r="C10" i="25"/>
  <c r="C11" i="25"/>
  <c r="C12" i="25"/>
  <c r="C13" i="25"/>
  <c r="C14" i="25"/>
  <c r="C15" i="25"/>
  <c r="A30" i="25"/>
  <c r="B30" i="25"/>
  <c r="C30" i="25"/>
  <c r="A38" i="25"/>
  <c r="B38" i="25"/>
  <c r="C38" i="25"/>
  <c r="C39" i="25"/>
  <c r="A45" i="25"/>
  <c r="B45" i="25"/>
  <c r="C45" i="25"/>
  <c r="C47" i="25"/>
  <c r="A62" i="25"/>
  <c r="B62" i="25"/>
  <c r="C62" i="25"/>
  <c r="C90" i="25"/>
  <c r="C91" i="25"/>
  <c r="C92" i="25"/>
  <c r="C93" i="25"/>
  <c r="C94" i="25"/>
  <c r="C99" i="25"/>
  <c r="A100" i="25"/>
  <c r="B100" i="25"/>
  <c r="C100" i="25"/>
  <c r="C101" i="25"/>
  <c r="C103" i="25"/>
  <c r="C105" i="25"/>
  <c r="C13" i="26"/>
  <c r="A15" i="26"/>
  <c r="B15" i="26"/>
  <c r="C15" i="26"/>
  <c r="C16" i="26"/>
  <c r="C18" i="26"/>
  <c r="A3" i="27"/>
  <c r="B3" i="27"/>
  <c r="C3" i="27"/>
  <c r="C5" i="27"/>
  <c r="C6" i="27"/>
  <c r="A16" i="27"/>
  <c r="B16" i="27"/>
  <c r="C16" i="27"/>
  <c r="C17" i="27"/>
  <c r="C19" i="27"/>
  <c r="C20" i="27"/>
  <c r="C21" i="27"/>
  <c r="A32" i="23"/>
  <c r="B32" i="23"/>
  <c r="C32" i="23"/>
  <c r="C34" i="23"/>
  <c r="C35" i="23"/>
  <c r="A45" i="23"/>
  <c r="B45" i="23"/>
  <c r="C45" i="23"/>
  <c r="C46" i="23"/>
  <c r="C68" i="23"/>
  <c r="C69" i="23"/>
  <c r="C70" i="23"/>
  <c r="C71" i="23"/>
  <c r="C72" i="23"/>
  <c r="A73" i="23"/>
  <c r="B73" i="23"/>
  <c r="C73" i="23"/>
  <c r="C74" i="23"/>
  <c r="C76" i="23"/>
  <c r="A77" i="23"/>
  <c r="B77" i="23"/>
  <c r="C77" i="23"/>
  <c r="C78" i="23"/>
  <c r="C80" i="23"/>
  <c r="C82" i="23"/>
  <c r="A179" i="23"/>
  <c r="B179" i="23"/>
  <c r="C179" i="23"/>
  <c r="B187" i="23"/>
  <c r="C47" i="22"/>
  <c r="A48" i="22"/>
  <c r="B48" i="22"/>
  <c r="C48" i="22"/>
  <c r="C49" i="22"/>
  <c r="C51" i="22"/>
  <c r="A52" i="22"/>
  <c r="B52" i="22"/>
  <c r="C52" i="22"/>
  <c r="C53" i="22"/>
  <c r="C54" i="22"/>
  <c r="C55" i="22"/>
  <c r="C57" i="22"/>
  <c r="A35" i="21"/>
  <c r="B35" i="21"/>
  <c r="C35" i="21"/>
  <c r="C37" i="21"/>
  <c r="C38" i="21"/>
  <c r="C27" i="21"/>
  <c r="C28" i="21"/>
  <c r="C29" i="21"/>
  <c r="C30" i="21"/>
  <c r="A32" i="21"/>
  <c r="B32" i="21"/>
  <c r="C32" i="21"/>
  <c r="C33" i="21"/>
  <c r="C34" i="21"/>
  <c r="A10" i="21"/>
  <c r="B10" i="21"/>
  <c r="C10" i="21"/>
  <c r="C11" i="21"/>
  <c r="A49" i="21"/>
  <c r="B49" i="21"/>
  <c r="C49" i="21"/>
  <c r="C50" i="21"/>
  <c r="C51" i="21"/>
  <c r="C52" i="21"/>
  <c r="C53" i="21"/>
  <c r="A55" i="21"/>
  <c r="B55" i="21"/>
  <c r="C55" i="21"/>
  <c r="C57" i="21"/>
  <c r="C93" i="21"/>
  <c r="C94" i="21"/>
  <c r="C95" i="21"/>
  <c r="C96" i="21"/>
  <c r="C97" i="21"/>
  <c r="C102" i="21"/>
  <c r="A103" i="21"/>
  <c r="B103" i="21"/>
  <c r="C103" i="21"/>
  <c r="C104" i="21"/>
  <c r="C106" i="21"/>
  <c r="A107" i="21"/>
  <c r="B107" i="21"/>
  <c r="C107" i="21"/>
  <c r="A17" i="20"/>
  <c r="B17" i="20"/>
  <c r="C17" i="20"/>
  <c r="C18" i="20"/>
  <c r="A25" i="20"/>
  <c r="B25" i="20"/>
  <c r="C25" i="20"/>
  <c r="C26" i="20"/>
  <c r="A43" i="20"/>
  <c r="B43" i="20"/>
  <c r="C43" i="20"/>
  <c r="C64" i="20"/>
  <c r="C65" i="20"/>
  <c r="C67" i="20"/>
  <c r="C68" i="20"/>
  <c r="A10" i="19"/>
  <c r="B10" i="19"/>
  <c r="C10" i="19"/>
  <c r="A18" i="19"/>
  <c r="B18" i="19"/>
  <c r="C18" i="19"/>
  <c r="C19" i="19"/>
  <c r="A25" i="19"/>
  <c r="B25" i="19"/>
  <c r="C25" i="19"/>
  <c r="C26" i="19"/>
  <c r="A43" i="19"/>
  <c r="B43" i="19"/>
  <c r="C43" i="19"/>
  <c r="A55" i="19"/>
  <c r="B55" i="19"/>
  <c r="C55" i="19"/>
  <c r="C56" i="19"/>
  <c r="C57" i="19"/>
  <c r="C58" i="19"/>
  <c r="C59" i="19"/>
  <c r="C61" i="19"/>
  <c r="C62" i="19"/>
  <c r="C64" i="19"/>
  <c r="C65" i="19"/>
  <c r="A143" i="19"/>
  <c r="B143" i="19"/>
  <c r="C143" i="19"/>
  <c r="C145" i="19"/>
  <c r="C146" i="19"/>
  <c r="C20" i="18"/>
  <c r="C21" i="18"/>
  <c r="C22" i="18"/>
  <c r="C23" i="18"/>
  <c r="A25" i="18"/>
  <c r="B25" i="18"/>
  <c r="C25" i="18"/>
  <c r="C26" i="18"/>
  <c r="C27" i="18"/>
  <c r="A3" i="18"/>
  <c r="B3" i="18"/>
  <c r="C3" i="18"/>
  <c r="A36" i="18"/>
  <c r="B36" i="18"/>
  <c r="C37" i="18"/>
  <c r="A60" i="18"/>
  <c r="B60" i="18"/>
  <c r="C60" i="18"/>
  <c r="A153" i="18"/>
  <c r="B153" i="18"/>
  <c r="C153" i="18"/>
  <c r="C156" i="18"/>
  <c r="C95" i="18"/>
  <c r="A96" i="18"/>
  <c r="B96" i="18"/>
  <c r="C96" i="18"/>
  <c r="C97" i="18"/>
  <c r="C99" i="18"/>
  <c r="A100" i="18"/>
  <c r="B100" i="18"/>
  <c r="C100" i="18"/>
  <c r="A3" i="15"/>
  <c r="B3" i="15"/>
  <c r="C3" i="15"/>
  <c r="C4" i="15"/>
  <c r="C6" i="15"/>
  <c r="C7" i="15"/>
  <c r="C8" i="15"/>
  <c r="A15" i="15"/>
  <c r="B15" i="15"/>
  <c r="C15" i="15"/>
  <c r="A108" i="15"/>
  <c r="B108" i="15"/>
  <c r="C108" i="15"/>
  <c r="C111" i="15"/>
  <c r="C48" i="15"/>
  <c r="A49" i="15"/>
  <c r="B49" i="15"/>
  <c r="C49" i="15"/>
  <c r="C50" i="15"/>
  <c r="C52" i="15"/>
  <c r="A136" i="15"/>
  <c r="B136" i="15"/>
  <c r="C136" i="15"/>
  <c r="A15" i="17"/>
  <c r="B15" i="17"/>
  <c r="C15" i="17"/>
  <c r="C17" i="17"/>
  <c r="A63" i="17"/>
  <c r="B63" i="17"/>
  <c r="C63" i="17"/>
  <c r="C66" i="17"/>
  <c r="C23" i="17"/>
  <c r="C24" i="17"/>
  <c r="C25" i="17"/>
  <c r="C26" i="17"/>
  <c r="C27" i="17"/>
  <c r="A102" i="17"/>
  <c r="B102" i="17"/>
  <c r="A105" i="17"/>
  <c r="B105" i="17"/>
  <c r="C105" i="17"/>
  <c r="C107" i="17"/>
  <c r="C108" i="17"/>
  <c r="A3" i="16"/>
  <c r="B3" i="16"/>
  <c r="C3" i="16"/>
  <c r="C4" i="16"/>
  <c r="C6" i="16"/>
  <c r="C7" i="16"/>
  <c r="C8" i="16"/>
  <c r="A25" i="16"/>
  <c r="B25" i="16"/>
  <c r="C25" i="16"/>
  <c r="C27" i="16"/>
  <c r="A80" i="16"/>
  <c r="B80" i="16"/>
  <c r="C80" i="16"/>
  <c r="C83" i="16"/>
  <c r="C33" i="16"/>
  <c r="C34" i="16"/>
  <c r="C35" i="16"/>
  <c r="C36" i="16"/>
  <c r="C37" i="16"/>
  <c r="A117" i="16"/>
  <c r="B117" i="16"/>
  <c r="A121" i="16"/>
  <c r="B121" i="16"/>
  <c r="C121" i="16"/>
  <c r="C123" i="16"/>
  <c r="C124" i="16"/>
  <c r="A11" i="14"/>
  <c r="B11" i="14"/>
  <c r="C11" i="14"/>
  <c r="C19" i="14"/>
  <c r="C28" i="14"/>
  <c r="A29" i="14"/>
  <c r="B29" i="14"/>
  <c r="C29" i="14"/>
  <c r="C30" i="14"/>
  <c r="C32" i="14"/>
  <c r="C34" i="14"/>
  <c r="A4" i="13"/>
  <c r="B4" i="13"/>
  <c r="C4" i="13"/>
  <c r="A27" i="13"/>
  <c r="B27" i="13"/>
  <c r="C27" i="13"/>
  <c r="C28" i="13"/>
  <c r="C30" i="13"/>
  <c r="C32" i="13"/>
  <c r="A3" i="11"/>
  <c r="B3" i="11"/>
  <c r="C3" i="11"/>
  <c r="C5" i="11"/>
  <c r="A25" i="11"/>
  <c r="B25" i="11"/>
  <c r="C25" i="11"/>
  <c r="C44" i="11"/>
  <c r="A45" i="11"/>
  <c r="B45" i="11"/>
  <c r="C45" i="11"/>
  <c r="C46" i="11"/>
  <c r="C48" i="11"/>
  <c r="A49" i="11"/>
  <c r="B49" i="11"/>
  <c r="C49" i="11"/>
  <c r="C50" i="11"/>
  <c r="A53" i="11"/>
  <c r="B53" i="11"/>
  <c r="C53" i="11"/>
  <c r="C54" i="11"/>
  <c r="C56" i="11"/>
  <c r="C58" i="11"/>
  <c r="A146" i="11"/>
  <c r="B146" i="11"/>
  <c r="C146" i="11"/>
  <c r="C148" i="11"/>
  <c r="C149" i="11"/>
  <c r="C184" i="11"/>
  <c r="C185" i="11"/>
  <c r="C186" i="11"/>
  <c r="C187" i="11"/>
  <c r="C188" i="11"/>
  <c r="B213" i="11"/>
  <c r="C20" i="10"/>
  <c r="A21" i="10"/>
  <c r="B21" i="10"/>
  <c r="C21" i="10"/>
  <c r="C22" i="10"/>
  <c r="C24" i="10"/>
  <c r="A25" i="10"/>
  <c r="B25" i="10"/>
  <c r="C25" i="10"/>
  <c r="C26" i="10"/>
  <c r="C28" i="10"/>
  <c r="C30" i="10"/>
  <c r="B147" i="10"/>
  <c r="C20" i="9"/>
  <c r="A21" i="9"/>
  <c r="B21" i="9"/>
  <c r="C21" i="9"/>
  <c r="C22" i="9"/>
  <c r="C24" i="9"/>
  <c r="A7" i="31"/>
  <c r="C7" i="31"/>
  <c r="A14" i="31"/>
  <c r="B14" i="31"/>
  <c r="C14" i="31"/>
  <c r="C15" i="31"/>
  <c r="C17" i="31"/>
  <c r="C19" i="31"/>
  <c r="A20" i="8"/>
  <c r="B20" i="8"/>
  <c r="C20" i="8"/>
  <c r="C21" i="8"/>
  <c r="C23" i="8"/>
  <c r="A24" i="8"/>
  <c r="B24" i="8"/>
  <c r="C24" i="8"/>
  <c r="C25" i="8"/>
  <c r="C27" i="8"/>
  <c r="C29" i="8"/>
  <c r="G10" i="19" l="1"/>
  <c r="G3" i="26"/>
  <c r="G56" i="25"/>
  <c r="G63" i="9"/>
  <c r="G56" i="9"/>
  <c r="G7" i="12"/>
  <c r="G20" i="12"/>
  <c r="G30" i="8"/>
  <c r="G69" i="21"/>
  <c r="G79" i="25"/>
  <c r="G82" i="25"/>
  <c r="G26" i="12"/>
  <c r="G43" i="9"/>
  <c r="G42" i="8"/>
  <c r="G32" i="31"/>
  <c r="G51" i="16"/>
  <c r="G40" i="22"/>
  <c r="G3" i="12"/>
  <c r="G3" i="8"/>
  <c r="G20" i="8"/>
  <c r="G37" i="9"/>
  <c r="G3" i="31"/>
  <c r="G14" i="31"/>
  <c r="G26" i="31"/>
  <c r="G42" i="31" s="1"/>
  <c r="G32" i="12"/>
  <c r="G49" i="9"/>
  <c r="G83" i="9"/>
  <c r="G3" i="9"/>
  <c r="G25" i="9"/>
  <c r="G20" i="31"/>
  <c r="G73" i="9"/>
  <c r="G128" i="11"/>
  <c r="G68" i="8"/>
  <c r="G104" i="16"/>
  <c r="G90" i="16"/>
  <c r="G63" i="16"/>
  <c r="G80" i="8"/>
  <c r="G48" i="8"/>
  <c r="G45" i="12"/>
  <c r="G55" i="12"/>
  <c r="G24" i="8"/>
  <c r="G49" i="12"/>
  <c r="G79" i="9"/>
  <c r="G84" i="8"/>
  <c r="G39" i="12"/>
  <c r="G69" i="9"/>
  <c r="G21" i="9"/>
  <c r="G58" i="8"/>
  <c r="G3" i="14"/>
  <c r="G31" i="9"/>
  <c r="G85" i="21"/>
  <c r="G78" i="21"/>
  <c r="F28" i="22"/>
  <c r="G27" i="22" s="1"/>
  <c r="F73" i="18"/>
  <c r="G72" i="18" s="1"/>
  <c r="G81" i="18"/>
  <c r="G28" i="15"/>
  <c r="G50" i="20"/>
  <c r="G36" i="22"/>
  <c r="G60" i="23"/>
  <c r="F13" i="13"/>
  <c r="G12" i="13" s="1"/>
  <c r="G57" i="23"/>
  <c r="G36" i="8"/>
  <c r="F23" i="23"/>
  <c r="G18" i="23" s="1"/>
  <c r="G73" i="14"/>
  <c r="G71" i="10"/>
  <c r="G59" i="17"/>
  <c r="G76" i="16"/>
  <c r="G63" i="17"/>
  <c r="G108" i="15"/>
  <c r="G153" i="18"/>
  <c r="G204" i="18" s="1"/>
  <c r="G36" i="17"/>
  <c r="G148" i="16"/>
  <c r="G135" i="19"/>
  <c r="G11" i="14"/>
  <c r="G63" i="15"/>
  <c r="G62" i="25"/>
  <c r="G98" i="21"/>
  <c r="G161" i="20"/>
  <c r="G171" i="20"/>
  <c r="G181" i="18"/>
  <c r="G104" i="18"/>
  <c r="G101" i="13"/>
  <c r="G133" i="9"/>
  <c r="G159" i="19"/>
  <c r="G94" i="22"/>
  <c r="G108" i="11"/>
  <c r="G141" i="25"/>
  <c r="G156" i="21"/>
  <c r="G135" i="21"/>
  <c r="G146" i="20"/>
  <c r="G83" i="14"/>
  <c r="G201" i="11"/>
  <c r="G145" i="21"/>
  <c r="G49" i="18"/>
  <c r="G139" i="21"/>
  <c r="G114" i="16"/>
  <c r="G118" i="11"/>
  <c r="G125" i="17"/>
  <c r="F190" i="18"/>
  <c r="G190" i="18"/>
  <c r="G89" i="25"/>
  <c r="G9" i="24"/>
  <c r="G10" i="21"/>
  <c r="G38" i="13"/>
  <c r="G78" i="20"/>
  <c r="G139" i="9"/>
  <c r="G134" i="16"/>
  <c r="G143" i="19"/>
  <c r="G137" i="11"/>
  <c r="G102" i="14"/>
  <c r="G127" i="15"/>
  <c r="G9" i="27"/>
  <c r="G47" i="27"/>
  <c r="G10" i="25"/>
  <c r="G160" i="25"/>
  <c r="G46" i="24"/>
  <c r="G155" i="20"/>
  <c r="G3" i="18"/>
  <c r="G11" i="18"/>
  <c r="G92" i="17"/>
  <c r="G147" i="23"/>
  <c r="G192" i="23" s="1"/>
  <c r="G136" i="10"/>
  <c r="G132" i="10"/>
  <c r="G73" i="22"/>
  <c r="G11" i="22"/>
  <c r="F28" i="20"/>
  <c r="F26" i="20"/>
  <c r="F29" i="20"/>
  <c r="F27" i="20"/>
  <c r="G36" i="24"/>
  <c r="G81" i="24" s="1"/>
  <c r="G75" i="19"/>
  <c r="G121" i="16"/>
  <c r="G118" i="17"/>
  <c r="G105" i="17"/>
  <c r="G92" i="13"/>
  <c r="G88" i="13"/>
  <c r="G133" i="15"/>
  <c r="G16" i="27"/>
  <c r="G16" i="25"/>
  <c r="G164" i="25"/>
  <c r="G10" i="20"/>
  <c r="G25" i="18"/>
  <c r="G165" i="18"/>
  <c r="G88" i="17"/>
  <c r="G108" i="13"/>
  <c r="G151" i="23"/>
  <c r="G143" i="23"/>
  <c r="G9" i="26"/>
  <c r="G96" i="17"/>
  <c r="G100" i="16"/>
  <c r="G146" i="11"/>
  <c r="G183" i="11"/>
  <c r="G204" i="11"/>
  <c r="G48" i="22"/>
  <c r="G52" i="22"/>
  <c r="G127" i="16"/>
  <c r="G111" i="17"/>
  <c r="G183" i="21"/>
  <c r="G82" i="10"/>
  <c r="G29" i="14"/>
  <c r="G75" i="15"/>
  <c r="G30" i="25"/>
  <c r="G175" i="25"/>
  <c r="G95" i="25"/>
  <c r="G100" i="25"/>
  <c r="G170" i="25"/>
  <c r="G149" i="21"/>
  <c r="G103" i="21"/>
  <c r="G96" i="20"/>
  <c r="G171" i="18"/>
  <c r="G96" i="18"/>
  <c r="G62" i="13"/>
  <c r="G112" i="15"/>
  <c r="G172" i="23"/>
  <c r="G157" i="23"/>
  <c r="G73" i="23"/>
  <c r="G15" i="26"/>
  <c r="G119" i="19"/>
  <c r="G48" i="17"/>
  <c r="G42" i="17"/>
  <c r="G81" i="19"/>
  <c r="G45" i="10"/>
  <c r="G41" i="14"/>
  <c r="G160" i="23"/>
  <c r="G18" i="21"/>
  <c r="G108" i="16"/>
  <c r="G142" i="10"/>
  <c r="G152" i="11"/>
  <c r="G10" i="23"/>
  <c r="G51" i="10"/>
  <c r="G35" i="14"/>
  <c r="F126" i="15"/>
  <c r="G123" i="15" s="1"/>
  <c r="G176" i="20"/>
  <c r="F170" i="20"/>
  <c r="G164" i="20" s="1"/>
  <c r="G186" i="18"/>
  <c r="F180" i="18"/>
  <c r="G174" i="18" s="1"/>
  <c r="G84" i="20"/>
  <c r="G87" i="19"/>
  <c r="G69" i="16"/>
  <c r="G17" i="11"/>
  <c r="G84" i="11"/>
  <c r="G52" i="27"/>
  <c r="G53" i="27"/>
  <c r="F31" i="21"/>
  <c r="G26" i="21" s="1"/>
  <c r="G32" i="21"/>
  <c r="F164" i="18"/>
  <c r="G161" i="18" s="1"/>
  <c r="G140" i="19"/>
  <c r="F134" i="19"/>
  <c r="G128" i="19" s="1"/>
  <c r="F108" i="21"/>
  <c r="G107" i="21" s="1"/>
  <c r="G64" i="10"/>
  <c r="G66" i="14"/>
  <c r="G68" i="13"/>
  <c r="G72" i="11"/>
  <c r="G82" i="13"/>
  <c r="G44" i="15"/>
  <c r="G87" i="15"/>
  <c r="G70" i="24"/>
  <c r="G90" i="20"/>
  <c r="G17" i="20"/>
  <c r="G52" i="17"/>
  <c r="G60" i="19"/>
  <c r="G73" i="17"/>
  <c r="G87" i="14"/>
  <c r="G59" i="14"/>
  <c r="F101" i="18"/>
  <c r="G100" i="18" s="1"/>
  <c r="G86" i="10"/>
  <c r="G78" i="11"/>
  <c r="G50" i="13"/>
  <c r="G44" i="13"/>
  <c r="G56" i="13"/>
  <c r="G66" i="11"/>
  <c r="G29" i="17"/>
  <c r="G53" i="14"/>
  <c r="G47" i="14"/>
  <c r="G39" i="10"/>
  <c r="G57" i="16"/>
  <c r="G67" i="22"/>
  <c r="G177" i="23"/>
  <c r="F171" i="23"/>
  <c r="G165" i="23" s="1"/>
  <c r="F96" i="14"/>
  <c r="G93" i="14" s="1"/>
  <c r="G75" i="13"/>
  <c r="G57" i="10"/>
  <c r="G33" i="13"/>
  <c r="G69" i="15"/>
  <c r="G81" i="15"/>
  <c r="G91" i="15"/>
  <c r="G26" i="23"/>
  <c r="G77" i="14"/>
  <c r="G45" i="16"/>
  <c r="G58" i="22"/>
  <c r="F60" i="24"/>
  <c r="G58" i="24" s="1"/>
  <c r="F42" i="21"/>
  <c r="G41" i="21" s="1"/>
  <c r="F37" i="18"/>
  <c r="G36" i="18" s="1"/>
  <c r="G208" i="18" s="1"/>
  <c r="F93" i="18"/>
  <c r="G91" i="18" s="1"/>
  <c r="F57" i="19"/>
  <c r="G55" i="19" s="1"/>
  <c r="F68" i="20"/>
  <c r="G63" i="20" s="1"/>
  <c r="F200" i="11"/>
  <c r="G195" i="11" s="1"/>
  <c r="F50" i="21"/>
  <c r="G49" i="21" s="1"/>
  <c r="F4" i="15"/>
  <c r="G3" i="15" s="1"/>
  <c r="F37" i="23"/>
  <c r="G32" i="23" s="1"/>
  <c r="F68" i="23"/>
  <c r="G67" i="23" s="1"/>
  <c r="F18" i="9"/>
  <c r="G16" i="9" s="1"/>
  <c r="F8" i="27"/>
  <c r="G3" i="27" s="1"/>
  <c r="F29" i="25"/>
  <c r="G24" i="25" s="1"/>
  <c r="F23" i="17"/>
  <c r="G22" i="17" s="1"/>
  <c r="F39" i="23"/>
  <c r="G38" i="23" s="1"/>
  <c r="F46" i="23"/>
  <c r="G45" i="23" s="1"/>
  <c r="F20" i="19"/>
  <c r="G18" i="19" s="1"/>
  <c r="F4" i="16"/>
  <c r="G3" i="16" s="1"/>
  <c r="F211" i="11"/>
  <c r="G209" i="11" s="1"/>
  <c r="F4" i="22"/>
  <c r="G3" i="22" s="1"/>
  <c r="F40" i="21"/>
  <c r="G35" i="21" s="1"/>
  <c r="F26" i="19"/>
  <c r="G25" i="19" s="1"/>
  <c r="F40" i="25"/>
  <c r="G38" i="25" s="1"/>
  <c r="F67" i="8"/>
  <c r="G64" i="8" s="1"/>
  <c r="F33" i="16"/>
  <c r="G32" i="16" s="1"/>
  <c r="F81" i="10"/>
  <c r="G76" i="10" s="1"/>
  <c r="F26" i="22"/>
  <c r="F42" i="19"/>
  <c r="F91" i="23"/>
  <c r="G86" i="23" s="1"/>
  <c r="G152" i="15"/>
  <c r="G43" i="19"/>
  <c r="F58" i="18"/>
  <c r="G149" i="10"/>
  <c r="G26" i="27"/>
  <c r="G16" i="10"/>
  <c r="G43" i="20"/>
  <c r="F50" i="11"/>
  <c r="G49" i="11" s="1"/>
  <c r="G89" i="9"/>
  <c r="G22" i="24"/>
  <c r="G3" i="11"/>
  <c r="G50" i="25"/>
  <c r="G31" i="24"/>
  <c r="G25" i="11"/>
  <c r="G26" i="24"/>
  <c r="G15" i="15"/>
  <c r="G38" i="15"/>
  <c r="G18" i="14"/>
  <c r="G24" i="14"/>
  <c r="G71" i="20"/>
  <c r="G84" i="16"/>
  <c r="G40" i="11"/>
  <c r="G25" i="10"/>
  <c r="G49" i="15"/>
  <c r="G56" i="15"/>
  <c r="F80" i="22"/>
  <c r="G45" i="25"/>
  <c r="G67" i="17"/>
  <c r="G21" i="10"/>
  <c r="G63" i="24"/>
  <c r="G36" i="27"/>
  <c r="G32" i="27"/>
  <c r="G3" i="24"/>
  <c r="G3" i="25"/>
  <c r="G54" i="24"/>
  <c r="G40" i="24"/>
  <c r="G60" i="18"/>
  <c r="F46" i="27"/>
  <c r="G40" i="27" s="1"/>
  <c r="G3" i="10"/>
  <c r="G53" i="11"/>
  <c r="G45" i="11"/>
  <c r="G59" i="11"/>
  <c r="F36" i="15"/>
  <c r="F24" i="18"/>
  <c r="G19" i="18" s="1"/>
  <c r="G32" i="10"/>
  <c r="G27" i="13"/>
  <c r="G61" i="22"/>
  <c r="F90" i="21"/>
  <c r="G22" i="26"/>
  <c r="G3" i="20"/>
  <c r="G15" i="17"/>
  <c r="G92" i="21"/>
  <c r="G3" i="21"/>
  <c r="G21" i="13"/>
  <c r="G25" i="16"/>
  <c r="G38" i="16"/>
  <c r="G43" i="22"/>
  <c r="G28" i="18"/>
  <c r="G49" i="24"/>
  <c r="G77" i="23"/>
  <c r="F68" i="21"/>
  <c r="G55" i="21"/>
  <c r="G3" i="19"/>
  <c r="G68" i="19"/>
  <c r="F89" i="18"/>
  <c r="G3" i="23"/>
  <c r="G130" i="17" l="1"/>
  <c r="G150" i="15"/>
  <c r="G206" i="18"/>
  <c r="G167" i="19"/>
  <c r="G25" i="20"/>
  <c r="G193" i="20" s="1"/>
  <c r="G90" i="8"/>
  <c r="G172" i="19"/>
  <c r="G146" i="16"/>
  <c r="G149" i="9"/>
  <c r="G175" i="21"/>
  <c r="G148" i="9"/>
  <c r="G191" i="20"/>
  <c r="G89" i="8"/>
  <c r="G192" i="20"/>
  <c r="G168" i="19"/>
  <c r="G179" i="21"/>
  <c r="G165" i="19"/>
  <c r="G114" i="14"/>
  <c r="G129" i="17"/>
  <c r="G207" i="18"/>
  <c r="G149" i="15"/>
  <c r="G132" i="17"/>
  <c r="G94" i="8"/>
  <c r="G146" i="9"/>
  <c r="G190" i="23"/>
  <c r="G152" i="9"/>
  <c r="G91" i="8"/>
  <c r="G178" i="21"/>
  <c r="G180" i="21"/>
  <c r="G157" i="10"/>
  <c r="G169" i="19"/>
  <c r="G64" i="12"/>
  <c r="F10" i="5" s="1"/>
  <c r="B10" i="5" s="1"/>
  <c r="C10" i="5" s="1"/>
  <c r="G209" i="18"/>
  <c r="G147" i="9"/>
  <c r="G194" i="23"/>
  <c r="G128" i="17"/>
  <c r="G195" i="20"/>
  <c r="G145" i="16"/>
  <c r="G177" i="21"/>
  <c r="G131" i="17"/>
  <c r="G222" i="11"/>
  <c r="G205" i="18"/>
  <c r="G151" i="10"/>
  <c r="G30" i="26"/>
  <c r="G27" i="5" s="1"/>
  <c r="D27" i="5" s="1"/>
  <c r="D35" i="5" s="1"/>
  <c r="E35" i="5" s="1"/>
  <c r="G194" i="20"/>
  <c r="G195" i="23"/>
  <c r="G191" i="23"/>
  <c r="G166" i="19"/>
  <c r="G184" i="25"/>
  <c r="G84" i="24"/>
  <c r="G190" i="20"/>
  <c r="G55" i="27"/>
  <c r="G118" i="13"/>
  <c r="G44" i="31"/>
  <c r="G183" i="25"/>
  <c r="G89" i="22"/>
  <c r="G115" i="13"/>
  <c r="G193" i="23"/>
  <c r="G90" i="22"/>
  <c r="G112" i="14"/>
  <c r="G43" i="31"/>
  <c r="G82" i="24"/>
  <c r="G117" i="13"/>
  <c r="G110" i="14"/>
  <c r="G215" i="11"/>
  <c r="G185" i="25"/>
  <c r="G91" i="22"/>
  <c r="G147" i="16"/>
  <c r="G153" i="10"/>
  <c r="G217" i="11"/>
  <c r="G83" i="24"/>
  <c r="G152" i="10"/>
  <c r="G113" i="14"/>
  <c r="G151" i="15"/>
  <c r="G115" i="14"/>
  <c r="G57" i="27"/>
  <c r="G116" i="13"/>
  <c r="G218" i="11"/>
  <c r="G154" i="10"/>
  <c r="G219" i="11"/>
  <c r="G186" i="25"/>
  <c r="G150" i="10"/>
  <c r="G144" i="16"/>
  <c r="G216" i="11"/>
  <c r="G148" i="15"/>
  <c r="G147" i="15"/>
  <c r="G151" i="9" l="1"/>
  <c r="F11" i="5" s="1"/>
  <c r="B11" i="5" s="1"/>
  <c r="E27" i="5"/>
  <c r="G156" i="10"/>
  <c r="F12" i="5" s="1"/>
  <c r="B12" i="5" s="1"/>
  <c r="C12" i="5" s="1"/>
  <c r="G134" i="17"/>
  <c r="G141" i="15" s="1"/>
  <c r="G221" i="11"/>
  <c r="F13" i="5" s="1"/>
  <c r="B13" i="5" s="1"/>
  <c r="C13" i="5" s="1"/>
  <c r="F16" i="5"/>
  <c r="B16" i="5" s="1"/>
  <c r="G93" i="8"/>
  <c r="F8" i="5" s="1"/>
  <c r="G46" i="31"/>
  <c r="F9" i="5" s="1"/>
  <c r="B9" i="5" s="1"/>
  <c r="G197" i="20"/>
  <c r="F21" i="5" s="1"/>
  <c r="B21" i="5" s="1"/>
  <c r="C21" i="5" s="1"/>
  <c r="G182" i="21"/>
  <c r="F22" i="5" s="1"/>
  <c r="B22" i="5" s="1"/>
  <c r="G211" i="18"/>
  <c r="G142" i="15" s="1"/>
  <c r="G154" i="15"/>
  <c r="G38" i="31" s="1"/>
  <c r="G171" i="19"/>
  <c r="F20" i="5" s="1"/>
  <c r="B20" i="5" s="1"/>
  <c r="C20" i="5" s="1"/>
  <c r="G86" i="24"/>
  <c r="G28" i="5" s="1"/>
  <c r="D28" i="5" s="1"/>
  <c r="G197" i="23"/>
  <c r="F24" i="5" s="1"/>
  <c r="B24" i="5" s="1"/>
  <c r="C24" i="5" s="1"/>
  <c r="G59" i="27"/>
  <c r="G25" i="5" s="1"/>
  <c r="D25" i="5" s="1"/>
  <c r="E25" i="5" s="1"/>
  <c r="G189" i="25"/>
  <c r="G26" i="5" s="1"/>
  <c r="D26" i="5" s="1"/>
  <c r="G93" i="22"/>
  <c r="G120" i="13"/>
  <c r="F14" i="5" s="1"/>
  <c r="B14" i="5" s="1"/>
  <c r="C14" i="5" s="1"/>
  <c r="G35" i="5"/>
  <c r="G111" i="14"/>
  <c r="B31" i="5" l="1"/>
  <c r="C31" i="5" s="1"/>
  <c r="C11" i="5"/>
  <c r="C9" i="5"/>
  <c r="E26" i="5"/>
  <c r="D36" i="5"/>
  <c r="E36" i="5" s="1"/>
  <c r="C22" i="5"/>
  <c r="C16" i="5"/>
  <c r="E28" i="5"/>
  <c r="G117" i="14"/>
  <c r="F15" i="5" s="1"/>
  <c r="B15" i="5" s="1"/>
  <c r="C15" i="5" s="1"/>
  <c r="F18" i="5"/>
  <c r="B18" i="5" s="1"/>
  <c r="C18" i="5" s="1"/>
  <c r="F19" i="5"/>
  <c r="B19" i="5" s="1"/>
  <c r="C19" i="5" s="1"/>
  <c r="F17" i="5"/>
  <c r="B17" i="5" s="1"/>
  <c r="C17" i="5" s="1"/>
  <c r="G40" i="31"/>
  <c r="F23" i="5"/>
  <c r="B8" i="5"/>
  <c r="B30" i="5" s="1"/>
  <c r="G62" i="12"/>
  <c r="G65" i="12" s="1"/>
  <c r="G10" i="5" s="1"/>
  <c r="D10" i="5" s="1"/>
  <c r="E10" i="5" s="1"/>
  <c r="G140" i="15"/>
  <c r="G39" i="31"/>
  <c r="G142" i="16"/>
  <c r="G151" i="16" s="1"/>
  <c r="G145" i="15"/>
  <c r="G144" i="15"/>
  <c r="G13" i="5"/>
  <c r="D13" i="5" s="1"/>
  <c r="E13" i="5" s="1"/>
  <c r="G11" i="5"/>
  <c r="D11" i="5" s="1"/>
  <c r="G12" i="5"/>
  <c r="D12" i="5" s="1"/>
  <c r="E12" i="5" s="1"/>
  <c r="G188" i="23"/>
  <c r="G201" i="18"/>
  <c r="G200" i="18"/>
  <c r="D126" i="17"/>
  <c r="G143" i="15"/>
  <c r="F31" i="5"/>
  <c r="G187" i="23"/>
  <c r="G36" i="5"/>
  <c r="D31" i="5" l="1"/>
  <c r="E31" i="5" s="1"/>
  <c r="B32" i="5"/>
  <c r="C32" i="5" s="1"/>
  <c r="B33" i="5"/>
  <c r="C33" i="5" s="1"/>
  <c r="E11" i="5"/>
  <c r="C8" i="5"/>
  <c r="F32" i="5"/>
  <c r="G47" i="31"/>
  <c r="G9" i="5" s="1"/>
  <c r="D9" i="5" s="1"/>
  <c r="F33" i="5"/>
  <c r="G23" i="5"/>
  <c r="D23" i="5" s="1"/>
  <c r="E23" i="5" s="1"/>
  <c r="B23" i="5"/>
  <c r="G8" i="5"/>
  <c r="D8" i="5" s="1"/>
  <c r="D30" i="5" s="1"/>
  <c r="E30" i="5" s="1"/>
  <c r="F30" i="5"/>
  <c r="C30" i="5" s="1"/>
  <c r="G16" i="5"/>
  <c r="D16" i="5" s="1"/>
  <c r="G198" i="23"/>
  <c r="G24" i="5" s="1"/>
  <c r="D24" i="5" s="1"/>
  <c r="E24" i="5" s="1"/>
  <c r="G155" i="15"/>
  <c r="G18" i="5" s="1"/>
  <c r="D18" i="5" s="1"/>
  <c r="E18" i="5" s="1"/>
  <c r="G212" i="18"/>
  <c r="G19" i="5" s="1"/>
  <c r="D19" i="5" s="1"/>
  <c r="E19" i="5" s="1"/>
  <c r="G22" i="5"/>
  <c r="D22" i="5" s="1"/>
  <c r="G21" i="5"/>
  <c r="D21" i="5" s="1"/>
  <c r="E21" i="5" s="1"/>
  <c r="G20" i="5"/>
  <c r="D20" i="5" s="1"/>
  <c r="E20" i="5" s="1"/>
  <c r="G126" i="17"/>
  <c r="G135" i="17" s="1"/>
  <c r="G17" i="5" s="1"/>
  <c r="D17" i="5" s="1"/>
  <c r="E17" i="5" s="1"/>
  <c r="G31" i="5"/>
  <c r="F34" i="5"/>
  <c r="E9" i="5" l="1"/>
  <c r="D32" i="5"/>
  <c r="E32" i="5" s="1"/>
  <c r="C23" i="5"/>
  <c r="B34" i="5"/>
  <c r="C34" i="5" s="1"/>
  <c r="E22" i="5"/>
  <c r="D34" i="5"/>
  <c r="E34" i="5" s="1"/>
  <c r="E16" i="5"/>
  <c r="D33" i="5"/>
  <c r="E33" i="5" s="1"/>
  <c r="E8" i="5"/>
  <c r="G30" i="5"/>
  <c r="G32" i="5"/>
  <c r="G33" i="5"/>
  <c r="G34" i="5"/>
</calcChain>
</file>

<file path=xl/sharedStrings.xml><?xml version="1.0" encoding="utf-8"?>
<sst xmlns="http://schemas.openxmlformats.org/spreadsheetml/2006/main" count="3767" uniqueCount="3042">
  <si>
    <t>Wetlands that are narrower than the channel, lake, or estuary they adjoin are likely to have much less effect on water temperature in those receiving waters.</t>
  </si>
  <si>
    <t>Conservation Investment</t>
  </si>
  <si>
    <t>Mitigation Investment</t>
  </si>
  <si>
    <t>S5</t>
  </si>
  <si>
    <t>Fish Access or Use</t>
  </si>
  <si>
    <t>Tidal Proximity</t>
  </si>
  <si>
    <t>F8</t>
  </si>
  <si>
    <t>F9</t>
  </si>
  <si>
    <t>Internal Gradient</t>
  </si>
  <si>
    <t>Most waterbirds favor ponded areas (that typically are flat) rather than flowing water that typifies slope and riverine wetlands.</t>
  </si>
  <si>
    <t>Many pollinating species depend on such microtopographic features for nest sites and cover.</t>
  </si>
  <si>
    <t>Function Score for Aquatic Invertebrate Habitat</t>
  </si>
  <si>
    <t>Severe (3 points)</t>
  </si>
  <si>
    <t>Medium (2 points)</t>
  </si>
  <si>
    <t>Mild (1 point)</t>
  </si>
  <si>
    <t>Vegetation provides more food and cover to invertebrates than do bare areas, so invertebrate density and diversity is typically greater.</t>
  </si>
  <si>
    <t>Carbon Sequestration (CS)</t>
  </si>
  <si>
    <t>Aquatic Invertebrate Habitat (INV)</t>
  </si>
  <si>
    <t>Anadromous Fish Habitat (FA)</t>
  </si>
  <si>
    <t>Waterbird Feeding Habitat (WBF)</t>
  </si>
  <si>
    <t>Waterbird Nesting Habitat (WBN)</t>
  </si>
  <si>
    <t>Pollinator Habitat (POL)</t>
  </si>
  <si>
    <t>Function Score for Carbon Sequestration</t>
  </si>
  <si>
    <t>Regardless of the accessibility and quality of a wetland, if anadromous fish cannot access the larger watershed of which it is a part, the wetland will be unable to currently support anadromous fish.</t>
  </si>
  <si>
    <t>Domestic Wells</t>
  </si>
  <si>
    <t>Dense vegetation offers frictional resistance to water flow, promoting sedimentation of suspended particles, as well as reducing the resuspension of bottom sediments by waves and currents.</t>
  </si>
  <si>
    <t>These features cumulatively decelerate runoff, thus allowing for more sedimentation to occur, although usually only to a minor degree.</t>
  </si>
  <si>
    <t>F66</t>
  </si>
  <si>
    <t>N Fixers</t>
  </si>
  <si>
    <t>F39</t>
  </si>
  <si>
    <t>F40</t>
  </si>
  <si>
    <t>F41</t>
  </si>
  <si>
    <t>F42</t>
  </si>
  <si>
    <t>F43</t>
  </si>
  <si>
    <t>F45</t>
  </si>
  <si>
    <t>F49</t>
  </si>
  <si>
    <t>F50</t>
  </si>
  <si>
    <t>F51</t>
  </si>
  <si>
    <t>F54</t>
  </si>
  <si>
    <t>A direct indicator of value, at least for some species.</t>
  </si>
  <si>
    <t>Fish are especially valued in food webs when the same wetland's structure also strongly supports important consumers such as birds (e.g., loons, grebes, cormorants, kingfisher).</t>
  </si>
  <si>
    <t>Increased visitation by humans and pets can potentially increase the spread of aquatic fungi that are lethal to many amphibians.</t>
  </si>
  <si>
    <t>A direct (but hardly the only) indicator of value, at least for some species.</t>
  </si>
  <si>
    <t>Wetlands with upland inclusions allow animals to move more conveniently between uplands and wetlands, using resources in each.</t>
  </si>
  <si>
    <t>These wetland species are particularly valued because of their rarity and/or declining populations as listed by agencies.</t>
  </si>
  <si>
    <t>Data</t>
  </si>
  <si>
    <t>F56</t>
  </si>
  <si>
    <t>F10</t>
  </si>
  <si>
    <t>F18</t>
  </si>
  <si>
    <t>F65</t>
  </si>
  <si>
    <t>F12</t>
  </si>
  <si>
    <t>F46</t>
  </si>
  <si>
    <t>F</t>
  </si>
  <si>
    <t>V</t>
  </si>
  <si>
    <t>Aspect</t>
  </si>
  <si>
    <t>Function Score for Pollinator Habitat</t>
  </si>
  <si>
    <t>Function Score for Feeding Waterbird Habitat</t>
  </si>
  <si>
    <t>Function Score for Nesting Waterbird Habitat</t>
  </si>
  <si>
    <t>Function Score for Songbird, Raptor, &amp; Mammal Habitat</t>
  </si>
  <si>
    <t>Wetlands with greater plant richness are likely to be more valuable to pollinators if other factors already suggest the wetland has high capacity to support pollinators.</t>
  </si>
  <si>
    <t>Greater microtopography implies greater heterogeneity of water, vegetation, and disturbance regimes, which together should indicate higher capacity to support a wide variety of invertebrates.</t>
  </si>
  <si>
    <t>Steeper gradients imply a greater likelihood that whatever organic matter is produced will be transported offsite.</t>
  </si>
  <si>
    <t xml:space="preserve">Function Score for Phosphorus Retention </t>
  </si>
  <si>
    <t>Function Score for Nitrate Removal</t>
  </si>
  <si>
    <t>Upland Inclusions</t>
  </si>
  <si>
    <t>Although wetlands that never contain surface water may still be visited by feeding waterbirds, they are used by fewer species.</t>
  </si>
  <si>
    <t>Nitrate Removal &amp; Retention (NR)</t>
  </si>
  <si>
    <t>Because actual data on phosphorus loads are lacking for many wetland watersheds, this approximation based on a host of phosphorus-generating activities is included as well.</t>
  </si>
  <si>
    <t>These features cumulatively decelerate runoff, thus allowing for more deposition of phosphorus-containing suspended sediments to occur, although usually only to a minor degree.</t>
  </si>
  <si>
    <t>Used as a classifier.</t>
  </si>
  <si>
    <t>Function Score for Native Plant Habitat</t>
  </si>
  <si>
    <t>Score for Wetland Sensitivity</t>
  </si>
  <si>
    <t>Many wetland invertebrates inhabit the soil, and potentially are harmed by soil disturbance such as from tillage or compaction.</t>
  </si>
  <si>
    <t>F2</t>
  </si>
  <si>
    <t>F3</t>
  </si>
  <si>
    <t>These areas were designated based on a rigorous nomination and screening process by ornithologists.</t>
  </si>
  <si>
    <t>Most waterbirds favor ponded areas (that typically are flat) rather than flowing water that typifies slope wetlands.</t>
  </si>
  <si>
    <t>F59</t>
  </si>
  <si>
    <t>F44</t>
  </si>
  <si>
    <t>Function Score for Water Storage</t>
  </si>
  <si>
    <t>Function Score for Sediment Retention &amp; Stabilization</t>
  </si>
  <si>
    <t>Sustained Scientific Use</t>
  </si>
  <si>
    <t>S3</t>
  </si>
  <si>
    <t>S2</t>
  </si>
  <si>
    <t>Function Score for Anadromous Fish Habitat</t>
  </si>
  <si>
    <t>Function Score for Non-anadromous Fish Habitat</t>
  </si>
  <si>
    <t>Such areas have been chosen through a systematic selection process by biologists and birders in each state.</t>
  </si>
  <si>
    <t>See above.</t>
  </si>
  <si>
    <t>#</t>
  </si>
  <si>
    <t>Fluc6</t>
  </si>
  <si>
    <t>Depth6</t>
  </si>
  <si>
    <t>VwidthAbs6</t>
  </si>
  <si>
    <t>OutDura6</t>
  </si>
  <si>
    <t>Constric6</t>
  </si>
  <si>
    <t>ThruFlo6</t>
  </si>
  <si>
    <t>Nfixer6</t>
  </si>
  <si>
    <t>Gcover6</t>
  </si>
  <si>
    <t>SoilTex6</t>
  </si>
  <si>
    <t>Gradient6</t>
  </si>
  <si>
    <t>NewWet6</t>
  </si>
  <si>
    <t>AqPlantCov6</t>
  </si>
  <si>
    <t>Wettype8</t>
  </si>
  <si>
    <t>SeasPct8</t>
  </si>
  <si>
    <t>AqCov8</t>
  </si>
  <si>
    <t>PermWpct8</t>
  </si>
  <si>
    <t>ABpct8</t>
  </si>
  <si>
    <t>IsoWet8</t>
  </si>
  <si>
    <t>Fluc8</t>
  </si>
  <si>
    <t>Depth8</t>
  </si>
  <si>
    <t>Interspers8</t>
  </si>
  <si>
    <t>ThruFlo8</t>
  </si>
  <si>
    <t>Nfixers8</t>
  </si>
  <si>
    <t>WoodDown8</t>
  </si>
  <si>
    <t>Gcover8</t>
  </si>
  <si>
    <t>Girreg8</t>
  </si>
  <si>
    <t>NatVegPctC8</t>
  </si>
  <si>
    <t>CUbuffLUtyp8</t>
  </si>
  <si>
    <t>TidalProx8</t>
  </si>
  <si>
    <t>Landscape</t>
  </si>
  <si>
    <t>Hydroperiod</t>
  </si>
  <si>
    <t>Connectivity</t>
  </si>
  <si>
    <t>Structure</t>
  </si>
  <si>
    <t>Groundw8</t>
  </si>
  <si>
    <t>SeasWpct9</t>
  </si>
  <si>
    <t>Shade9</t>
  </si>
  <si>
    <t>WoodAbove9</t>
  </si>
  <si>
    <t>AqPlantCov9</t>
  </si>
  <si>
    <t>Depth9</t>
  </si>
  <si>
    <t>Interspers9</t>
  </si>
  <si>
    <t>GroundW9</t>
  </si>
  <si>
    <t>OutDura9</t>
  </si>
  <si>
    <t>Thruflo9</t>
  </si>
  <si>
    <t>BuffLU9</t>
  </si>
  <si>
    <t>TidalProx9</t>
  </si>
  <si>
    <t>Access9</t>
  </si>
  <si>
    <t>ImpervCA9</t>
  </si>
  <si>
    <t>AltTime9</t>
  </si>
  <si>
    <t>SedIn9</t>
  </si>
  <si>
    <t>Fishing9</t>
  </si>
  <si>
    <t>WbirdFeed</t>
  </si>
  <si>
    <t>PermWpct10</t>
  </si>
  <si>
    <t>ABpct10</t>
  </si>
  <si>
    <t>Depth10</t>
  </si>
  <si>
    <t>Interspers10</t>
  </si>
  <si>
    <t>OutDura10</t>
  </si>
  <si>
    <t>ThruFlo10</t>
  </si>
  <si>
    <t>Access10</t>
  </si>
  <si>
    <t>AltTime10</t>
  </si>
  <si>
    <t>PopDist10</t>
  </si>
  <si>
    <t>Productivity</t>
  </si>
  <si>
    <t>ImpervCA</t>
  </si>
  <si>
    <t>PermWpct9</t>
  </si>
  <si>
    <t>Wettype9</t>
  </si>
  <si>
    <t>BuffPctNat9</t>
  </si>
  <si>
    <t>Wettype10</t>
  </si>
  <si>
    <t>Nfix10</t>
  </si>
  <si>
    <t>Groundw10</t>
  </si>
  <si>
    <t>HydroRegime</t>
  </si>
  <si>
    <t>Anoxia Risk</t>
  </si>
  <si>
    <t>Lake10</t>
  </si>
  <si>
    <t>BuffSlope2</t>
  </si>
  <si>
    <t>BuffSlope3</t>
  </si>
  <si>
    <t>Wettype11</t>
  </si>
  <si>
    <t>Fluctu11</t>
  </si>
  <si>
    <t>PermWpct11</t>
  </si>
  <si>
    <t>WoodAbove11</t>
  </si>
  <si>
    <t>ABpct11</t>
  </si>
  <si>
    <t>IsoWet11</t>
  </si>
  <si>
    <t>Interspers11</t>
  </si>
  <si>
    <t>Vwidth11</t>
  </si>
  <si>
    <t>TreeVar11</t>
  </si>
  <si>
    <t>WoodDown11</t>
  </si>
  <si>
    <t>Gcover11</t>
  </si>
  <si>
    <t>Girreg11</t>
  </si>
  <si>
    <t>Inclus11</t>
  </si>
  <si>
    <t>GroundW11</t>
  </si>
  <si>
    <t>Core1_11</t>
  </si>
  <si>
    <t>Core2_11</t>
  </si>
  <si>
    <t>NatVegPct11</t>
  </si>
  <si>
    <t>BuffLU11</t>
  </si>
  <si>
    <t>RoadCirc11</t>
  </si>
  <si>
    <t>RdDis11</t>
  </si>
  <si>
    <t>NatVegProx11</t>
  </si>
  <si>
    <t>NatCov2mi11</t>
  </si>
  <si>
    <t>ScapeLU11</t>
  </si>
  <si>
    <t>NatVegSize11</t>
  </si>
  <si>
    <t>PondProx11</t>
  </si>
  <si>
    <t>FishAcc11</t>
  </si>
  <si>
    <t>Toxic11</t>
  </si>
  <si>
    <t>AcidicPool10</t>
  </si>
  <si>
    <t>Aspect11</t>
  </si>
  <si>
    <t>Aspect4</t>
  </si>
  <si>
    <t>Waterscape</t>
  </si>
  <si>
    <t>Fringe12</t>
  </si>
  <si>
    <t>SeasWpct12</t>
  </si>
  <si>
    <t>PermWpct12</t>
  </si>
  <si>
    <t>ABpct12</t>
  </si>
  <si>
    <t>IsoWet12</t>
  </si>
  <si>
    <t>Depth12</t>
  </si>
  <si>
    <t>Interspers12</t>
  </si>
  <si>
    <t>EmPct12</t>
  </si>
  <si>
    <t>Mudflat12</t>
  </si>
  <si>
    <t>Gradient12</t>
  </si>
  <si>
    <t>Core12a</t>
  </si>
  <si>
    <t>Core12b</t>
  </si>
  <si>
    <t>PondProx12</t>
  </si>
  <si>
    <t>BigPondProx12</t>
  </si>
  <si>
    <t>TidalProx12</t>
  </si>
  <si>
    <t>Fish12a</t>
  </si>
  <si>
    <t>_Tox12</t>
  </si>
  <si>
    <t>Duckhunt</t>
  </si>
  <si>
    <t>Rare12</t>
  </si>
  <si>
    <t>Beaver12</t>
  </si>
  <si>
    <t>Wettype12</t>
  </si>
  <si>
    <t>Wettype13</t>
  </si>
  <si>
    <t>Fringe13</t>
  </si>
  <si>
    <t>Fluctu13</t>
  </si>
  <si>
    <t>PermWpct13</t>
  </si>
  <si>
    <t>ISOdry13</t>
  </si>
  <si>
    <t>Depth13</t>
  </si>
  <si>
    <t>Interspers13</t>
  </si>
  <si>
    <t>VwidthAbs13</t>
  </si>
  <si>
    <t>EmPct13</t>
  </si>
  <si>
    <t>SnagB13</t>
  </si>
  <si>
    <t>TreeForm13</t>
  </si>
  <si>
    <t>Gradient13</t>
  </si>
  <si>
    <t>Core1_13</t>
  </si>
  <si>
    <t>Core2_13</t>
  </si>
  <si>
    <t>BuffNatPct13</t>
  </si>
  <si>
    <t>BuffLUtype13</t>
  </si>
  <si>
    <t>RdDis13</t>
  </si>
  <si>
    <t>PondProx13</t>
  </si>
  <si>
    <t>LakeProx13</t>
  </si>
  <si>
    <t>Acidic13</t>
  </si>
  <si>
    <t>Beaver13</t>
  </si>
  <si>
    <t>SeasWpct</t>
  </si>
  <si>
    <t>PermWpct14</t>
  </si>
  <si>
    <t>WoodPatt14</t>
  </si>
  <si>
    <t>SnagsD14</t>
  </si>
  <si>
    <t>Gcover14</t>
  </si>
  <si>
    <t>Girreg14</t>
  </si>
  <si>
    <t>Inclus14</t>
  </si>
  <si>
    <t>Cliffs14</t>
  </si>
  <si>
    <t>Beaver14</t>
  </si>
  <si>
    <t>Core14a</t>
  </si>
  <si>
    <t>Core14b</t>
  </si>
  <si>
    <t>UpEdge14</t>
  </si>
  <si>
    <t>CUtypeLU14</t>
  </si>
  <si>
    <t>PopCtr14</t>
  </si>
  <si>
    <t>RdBox14</t>
  </si>
  <si>
    <t>DisRd14</t>
  </si>
  <si>
    <t>NatVegPctScape14</t>
  </si>
  <si>
    <t>ScapeLU14</t>
  </si>
  <si>
    <t>PondProx14</t>
  </si>
  <si>
    <t>_IBA14</t>
  </si>
  <si>
    <t>Rare14</t>
  </si>
  <si>
    <t>Interspers14</t>
  </si>
  <si>
    <t>Vwidth14</t>
  </si>
  <si>
    <t>Nfix14</t>
  </si>
  <si>
    <t>ShrubDiv14</t>
  </si>
  <si>
    <t>Songbird, Raptor, &amp; Mammal Habitat (SBM)</t>
  </si>
  <si>
    <t>Type of Land Cover Alteration</t>
  </si>
  <si>
    <t>Contaminants in food webs are detrimental in the long term.</t>
  </si>
  <si>
    <t>S4</t>
  </si>
  <si>
    <t>Downed Wood</t>
  </si>
  <si>
    <t>SeasPct</t>
  </si>
  <si>
    <t>IsoDry</t>
  </si>
  <si>
    <t>Fluctua</t>
  </si>
  <si>
    <t>OutDura</t>
  </si>
  <si>
    <t>Constric</t>
  </si>
  <si>
    <t>ThruFlo</t>
  </si>
  <si>
    <t>Gradient</t>
  </si>
  <si>
    <t>FloodBdg</t>
  </si>
  <si>
    <t>CAunveg</t>
  </si>
  <si>
    <t>Transport</t>
  </si>
  <si>
    <t>Large water level fluctuations pose the possibility of increased shoreline erosion, which can be partly alleviated by wetlands, thus making those wetlands more valuable as shoreline stabilizers.</t>
  </si>
  <si>
    <t>F55</t>
  </si>
  <si>
    <t>Predominant Depth Class</t>
  </si>
  <si>
    <t>S1</t>
  </si>
  <si>
    <t>Public Use &amp; Recognition (PU)</t>
  </si>
  <si>
    <r>
      <t xml:space="preserve">Soil or Sediment Alteration </t>
    </r>
    <r>
      <rPr>
        <b/>
        <i/>
        <sz val="12"/>
        <rFont val="Arial"/>
        <family val="2"/>
      </rPr>
      <t>Within the Assessment Area</t>
    </r>
  </si>
  <si>
    <t>F15</t>
  </si>
  <si>
    <t>NewWet_S</t>
  </si>
  <si>
    <t>GDD_S</t>
  </si>
  <si>
    <t>CUratio_S</t>
  </si>
  <si>
    <t>TreeCovS</t>
  </si>
  <si>
    <t>AbioSens</t>
  </si>
  <si>
    <t>BioSens</t>
  </si>
  <si>
    <t>Fertility</t>
  </si>
  <si>
    <t>Colonizer</t>
  </si>
  <si>
    <t>GrowthRate</t>
  </si>
  <si>
    <t>Depth15</t>
  </si>
  <si>
    <t>WidthPD</t>
  </si>
  <si>
    <t>GirregPD</t>
  </si>
  <si>
    <t>SoilTexPD</t>
  </si>
  <si>
    <t>herbdom15</t>
  </si>
  <si>
    <t>WeedSourcePD</t>
  </si>
  <si>
    <t>NatVegCApd</t>
  </si>
  <si>
    <t>BuffLUpd</t>
  </si>
  <si>
    <t>Core1pd</t>
  </si>
  <si>
    <t>Core2pd</t>
  </si>
  <si>
    <t>PopCtr15</t>
  </si>
  <si>
    <t>DistRdPD</t>
  </si>
  <si>
    <t>PondProx15</t>
  </si>
  <si>
    <t>AltTime20</t>
  </si>
  <si>
    <t>ScorePOLf</t>
  </si>
  <si>
    <t>NfixPD</t>
  </si>
  <si>
    <t>SeasWpctPD</t>
  </si>
  <si>
    <t>SizePD</t>
  </si>
  <si>
    <t>GWpd</t>
  </si>
  <si>
    <t>BeaverPD</t>
  </si>
  <si>
    <t>FlucPD</t>
  </si>
  <si>
    <t>GDDpd</t>
  </si>
  <si>
    <t>ShrubSun11</t>
  </si>
  <si>
    <t>Aquatic Structure</t>
  </si>
  <si>
    <t>Terrestrial Structure</t>
  </si>
  <si>
    <t>Aquatic Fertility</t>
  </si>
  <si>
    <t>Terrestrial Fertility</t>
  </si>
  <si>
    <t>ScoreSBM</t>
  </si>
  <si>
    <t>Friction</t>
  </si>
  <si>
    <t>Groundwater Input</t>
  </si>
  <si>
    <t>OutDur</t>
  </si>
  <si>
    <t>Entrain</t>
  </si>
  <si>
    <t>Depth2_</t>
  </si>
  <si>
    <t>Soil2_</t>
  </si>
  <si>
    <t>Groundw2_</t>
  </si>
  <si>
    <t>OutDur2_</t>
  </si>
  <si>
    <t>Aspect2_</t>
  </si>
  <si>
    <t>AnadFish7</t>
  </si>
  <si>
    <t>Fringe7b</t>
  </si>
  <si>
    <t>ShadeIn7</t>
  </si>
  <si>
    <t>OutDur7</t>
  </si>
  <si>
    <t>Aspect7v</t>
  </si>
  <si>
    <t>Imperv7</t>
  </si>
  <si>
    <t>InvScore2</t>
  </si>
  <si>
    <t>AnadScore2</t>
  </si>
  <si>
    <t>Gwater7</t>
  </si>
  <si>
    <t>Shade7</t>
  </si>
  <si>
    <t>ISOdry7</t>
  </si>
  <si>
    <t>Depth7</t>
  </si>
  <si>
    <t>Aspect7</t>
  </si>
  <si>
    <t>Fluc2</t>
  </si>
  <si>
    <t>SeasPct2</t>
  </si>
  <si>
    <t>AqPlantCov2</t>
  </si>
  <si>
    <t>DepthC2</t>
  </si>
  <si>
    <t>WidthAbs2</t>
  </si>
  <si>
    <t>OutDur2</t>
  </si>
  <si>
    <t>Constric2</t>
  </si>
  <si>
    <t>ThruFlo2</t>
  </si>
  <si>
    <t>Gcover2</t>
  </si>
  <si>
    <t>Girreg2</t>
  </si>
  <si>
    <t>Gradient2</t>
  </si>
  <si>
    <t>GDD2</t>
  </si>
  <si>
    <t>MaxFluc2</t>
  </si>
  <si>
    <t>Inflo2</t>
  </si>
  <si>
    <t>CAnatPct2</t>
  </si>
  <si>
    <t>CApct2</t>
  </si>
  <si>
    <t>ImpervPctSS</t>
  </si>
  <si>
    <t>TransportSS</t>
  </si>
  <si>
    <t>Erodible2</t>
  </si>
  <si>
    <t>Lake3</t>
  </si>
  <si>
    <t>Persis3</t>
  </si>
  <si>
    <t>AqPlantCov3</t>
  </si>
  <si>
    <t>Fluctu3</t>
  </si>
  <si>
    <t>DomDepth3</t>
  </si>
  <si>
    <t>VegWabs3</t>
  </si>
  <si>
    <t>OutDura3</t>
  </si>
  <si>
    <t>Constric3</t>
  </si>
  <si>
    <t>ThruFlo3</t>
  </si>
  <si>
    <t>Gcover3</t>
  </si>
  <si>
    <t>Girreg3</t>
  </si>
  <si>
    <t>SoilTex3</t>
  </si>
  <si>
    <t>Gradient3</t>
  </si>
  <si>
    <t>GDD3</t>
  </si>
  <si>
    <t>CApctB3</t>
  </si>
  <si>
    <t>Inflo3</t>
  </si>
  <si>
    <t>Groundw3</t>
  </si>
  <si>
    <t>NatCApct3</t>
  </si>
  <si>
    <t>CApct3</t>
  </si>
  <si>
    <t>ImpervCA3</t>
  </si>
  <si>
    <t>Transport3</t>
  </si>
  <si>
    <t>Pload3</t>
  </si>
  <si>
    <t>Wettype4</t>
  </si>
  <si>
    <t>SeasWpct4</t>
  </si>
  <si>
    <t>PermWpct4</t>
  </si>
  <si>
    <t>AqPlantCov4</t>
  </si>
  <si>
    <t>Fluctu4</t>
  </si>
  <si>
    <t>Interspers4</t>
  </si>
  <si>
    <t>VwidthAbs4</t>
  </si>
  <si>
    <t>TreeCanop4</t>
  </si>
  <si>
    <t>Nfix4</t>
  </si>
  <si>
    <t>Groundw4</t>
  </si>
  <si>
    <t>OutDura4</t>
  </si>
  <si>
    <t>Constric4</t>
  </si>
  <si>
    <t>Thruflo4</t>
  </si>
  <si>
    <t>Gcover4</t>
  </si>
  <si>
    <t>Girreg4</t>
  </si>
  <si>
    <t>Inclus4</t>
  </si>
  <si>
    <t>SoilTex4</t>
  </si>
  <si>
    <t>Gradient4</t>
  </si>
  <si>
    <t>NewWet</t>
  </si>
  <si>
    <t>SoilDisturb4</t>
  </si>
  <si>
    <t>CAnatPct4</t>
  </si>
  <si>
    <t>BuffSlope4</t>
  </si>
  <si>
    <t>Aquifer4</t>
  </si>
  <si>
    <t>PopDist4</t>
  </si>
  <si>
    <t>Capct4</t>
  </si>
  <si>
    <t>Imperv4</t>
  </si>
  <si>
    <t>Transport4</t>
  </si>
  <si>
    <t>AqPlantCov5</t>
  </si>
  <si>
    <t>Groundw6</t>
  </si>
  <si>
    <t>ToxData2</t>
  </si>
  <si>
    <t>Nfix9</t>
  </si>
  <si>
    <t>Karst9</t>
  </si>
  <si>
    <t>ToxData9</t>
  </si>
  <si>
    <t>ToxData10</t>
  </si>
  <si>
    <t>Wetlands with greater plant richness are likely to be more valuable to supporting a variety of songbirds and mammals if other factors already suggest the wetland has high capacity to support those.</t>
  </si>
  <si>
    <t>Karst16a</t>
  </si>
  <si>
    <t>Wettype2</t>
  </si>
  <si>
    <t>Organic Nutrient Export (OE)</t>
  </si>
  <si>
    <t>F4</t>
  </si>
  <si>
    <t>F6</t>
  </si>
  <si>
    <t>F17</t>
  </si>
  <si>
    <t>F20</t>
  </si>
  <si>
    <t>F22</t>
  </si>
  <si>
    <t>F24</t>
  </si>
  <si>
    <t>F29</t>
  </si>
  <si>
    <t>F30</t>
  </si>
  <si>
    <t>F31</t>
  </si>
  <si>
    <t>F32</t>
  </si>
  <si>
    <t>F33</t>
  </si>
  <si>
    <t>F36</t>
  </si>
  <si>
    <t>F37</t>
  </si>
  <si>
    <t>F38</t>
  </si>
  <si>
    <t>F47</t>
  </si>
  <si>
    <t>F52</t>
  </si>
  <si>
    <t>F53</t>
  </si>
  <si>
    <t>F57</t>
  </si>
  <si>
    <t>F58</t>
  </si>
  <si>
    <t>F60</t>
  </si>
  <si>
    <t>F61</t>
  </si>
  <si>
    <t>F63</t>
  </si>
  <si>
    <t>F64</t>
  </si>
  <si>
    <t>Wetland Ecological Condition</t>
  </si>
  <si>
    <t>Ownership</t>
  </si>
  <si>
    <r>
      <t xml:space="preserve">Excessive Sediment Loading </t>
    </r>
    <r>
      <rPr>
        <b/>
        <i/>
        <sz val="12"/>
        <rFont val="Arial"/>
        <family val="2"/>
      </rPr>
      <t>from Contributing Area</t>
    </r>
  </si>
  <si>
    <t>Transport From Upslope</t>
  </si>
  <si>
    <t>Alteration of a wetland's water quality or its normal water or sediment regime is usually followed by invasion by non-native species, making these an indicator of past or ongoing alteration.</t>
  </si>
  <si>
    <t>Wetlands that are more geographically isolated from each other may be likely to have lower plant species richness than those close together (Nekola 1999).</t>
  </si>
  <si>
    <t>Complex microtopography provides many suitable microclimates important to survival of adult amphibians during the late summer, fall, and winter.</t>
  </si>
  <si>
    <t>To meet all their life history requirements, most amphibians require uplands in close proximity to, or interspersed within, suitable wetlands.</t>
  </si>
  <si>
    <t>Stressors</t>
  </si>
  <si>
    <t>F48</t>
  </si>
  <si>
    <t>Woody Diameter Classes</t>
  </si>
  <si>
    <t>F11</t>
  </si>
  <si>
    <t>F13</t>
  </si>
  <si>
    <t>F14</t>
  </si>
  <si>
    <t>F16</t>
  </si>
  <si>
    <t>F23</t>
  </si>
  <si>
    <t>F25</t>
  </si>
  <si>
    <t>F26</t>
  </si>
  <si>
    <t>F27</t>
  </si>
  <si>
    <t>F28</t>
  </si>
  <si>
    <t>F34</t>
  </si>
  <si>
    <t>F35</t>
  </si>
  <si>
    <t>Visibility</t>
  </si>
  <si>
    <t>F1</t>
  </si>
  <si>
    <t>F5</t>
  </si>
  <si>
    <t>Road corridors are a significant vector for non-native plants that can reduce native plant richness if they invade nearby wetlands.</t>
  </si>
  <si>
    <t>Complex microtopography reflects and provides more extensive habitat for small mammals and some songbirds.</t>
  </si>
  <si>
    <t>F7</t>
  </si>
  <si>
    <t>F19</t>
  </si>
  <si>
    <t>F21</t>
  </si>
  <si>
    <t>Rationale</t>
  </si>
  <si>
    <t>Amphibians are especially valued when the same wetland's structure also strongly supports important consumers such as waterbirds (e.g., herons) and mammals which prey upon them.</t>
  </si>
  <si>
    <t>Larger water bodies such as lakes tend to attract higher densities of waterbirds, other factors being equal (e.g., Savard et al. 1994).</t>
  </si>
  <si>
    <t>Public enjoyment of wetlands is assumed to be greater when most of the wetland can be seen without obstruction by dense shrubs or other features.</t>
  </si>
  <si>
    <t>Public ownership generally implies greater public use.</t>
  </si>
  <si>
    <t>The portion of a wetland that is accessible to visitors is assumed to be an important determinant of frequence of visitation</t>
  </si>
  <si>
    <t>Collection of long term data from wetlands is in the public interest partly because it can lead to more effective and fair regulations.</t>
  </si>
  <si>
    <t>Mitigation wetlands represent an investment of funds in the public's interest, which should not be wasted.</t>
  </si>
  <si>
    <t>Prior public investment for these purposes requires greater protection.</t>
  </si>
  <si>
    <t>If vegetation cover in a wetland is already sparse, it is often more susceptible to further loss from erosion and altered microclimate.</t>
  </si>
  <si>
    <t>Wetland Type</t>
  </si>
  <si>
    <t>Distance by Road to Nearest Population Center</t>
  </si>
  <si>
    <t>F62</t>
  </si>
  <si>
    <t>Function Score for Low Flow Augmentation</t>
  </si>
  <si>
    <t>Function Scores</t>
  </si>
  <si>
    <t>Function Score for Invertebrates</t>
  </si>
  <si>
    <t>Function Score for Water Cooling</t>
  </si>
  <si>
    <t>Summer streamflow is critical to supporting this group's productivity and diversity.</t>
  </si>
  <si>
    <t>The need to cool surface waters is likely to be greatest at locations where much of the contributing area is clearcut or paved, thus generating warmer inputs to streams.</t>
  </si>
  <si>
    <t>Wetlands that have no outflow are likely to have only minimal effect on temperature of other water bodies.</t>
  </si>
  <si>
    <t>GroundW5</t>
  </si>
  <si>
    <t>SeasWpct5</t>
  </si>
  <si>
    <t>PermWpct5</t>
  </si>
  <si>
    <t>IsoWet5</t>
  </si>
  <si>
    <t>Depth5</t>
  </si>
  <si>
    <t>VwidthAbs5</t>
  </si>
  <si>
    <t>MossCov5</t>
  </si>
  <si>
    <t>OutDura5</t>
  </si>
  <si>
    <t>Constric5</t>
  </si>
  <si>
    <t>TreeForm5</t>
  </si>
  <si>
    <t>SoilTex5</t>
  </si>
  <si>
    <t>NewWet5</t>
  </si>
  <si>
    <t>Wettype5</t>
  </si>
  <si>
    <t>Fluctu5</t>
  </si>
  <si>
    <t>SeasWpct6</t>
  </si>
  <si>
    <t>StructureA</t>
  </si>
  <si>
    <t>StructureB</t>
  </si>
  <si>
    <t>persist0</t>
  </si>
  <si>
    <t>woodydbh0</t>
  </si>
  <si>
    <t>Sngs0</t>
  </si>
  <si>
    <t>downwood0</t>
  </si>
  <si>
    <t>gcover0</t>
  </si>
  <si>
    <t>girreg0</t>
  </si>
  <si>
    <t>herbsens0</t>
  </si>
  <si>
    <t>herbdiv0</t>
  </si>
  <si>
    <t>cliff0</t>
  </si>
  <si>
    <t>NestSites</t>
  </si>
  <si>
    <t>RecreaPot</t>
  </si>
  <si>
    <t>PopCtrDisPU</t>
  </si>
  <si>
    <t>TidalProxPU</t>
  </si>
  <si>
    <t>MitigaSite</t>
  </si>
  <si>
    <t>ConsInvest</t>
  </si>
  <si>
    <t>SciUse</t>
  </si>
  <si>
    <t>Investment</t>
  </si>
  <si>
    <t>PopCtrDist</t>
  </si>
  <si>
    <t>WeedSource</t>
  </si>
  <si>
    <t>NatVegCA</t>
  </si>
  <si>
    <t>Core1</t>
  </si>
  <si>
    <t>Core2</t>
  </si>
  <si>
    <t>RdBox</t>
  </si>
  <si>
    <t>DistRd</t>
  </si>
  <si>
    <t>CAimperv</t>
  </si>
  <si>
    <t>ToxicData</t>
  </si>
  <si>
    <t>AltTiming</t>
  </si>
  <si>
    <t>Toxic</t>
  </si>
  <si>
    <t>SedLoad</t>
  </si>
  <si>
    <t>SoilDisturb</t>
  </si>
  <si>
    <t>EmSens1_C</t>
  </si>
  <si>
    <t>HerbDom1</t>
  </si>
  <si>
    <t>RareAll</t>
  </si>
  <si>
    <t>BareGpct</t>
  </si>
  <si>
    <t>GirregCQ</t>
  </si>
  <si>
    <t>Under natural unimpacted conditions, many but not all wetlands will have extensive microtopography.</t>
  </si>
  <si>
    <t>Lack of vegetative cover suggests a wetland may be in poor condition as a result of human-related impacts, but could also be the result of natural limitations or events.</t>
  </si>
  <si>
    <t>Wetlands whose existence or extent depends on beaver are more sensitive in the sense that they may not be sustained naturally over time if beaver populations and associated beaver dams decline.</t>
  </si>
  <si>
    <t>WettypeS</t>
  </si>
  <si>
    <t>Longer wetland-upland edge relative to wetland area (i.e., convoluted edge) implies a wetland may be more vulnerable to invasive species, higher evapotranspiration, and other disturbances characteristic of adjoining uplands.</t>
  </si>
  <si>
    <t>IsoDry_S</t>
  </si>
  <si>
    <t>Depth_S</t>
  </si>
  <si>
    <t>VwidthAbs_S</t>
  </si>
  <si>
    <t>OutDura_S</t>
  </si>
  <si>
    <t>Constric_S</t>
  </si>
  <si>
    <t>EmSens1_S</t>
  </si>
  <si>
    <t>HerbDom2</t>
  </si>
  <si>
    <t>ShrubPattS</t>
  </si>
  <si>
    <t>WoodySens2_S</t>
  </si>
  <si>
    <t>TreeDBHs</t>
  </si>
  <si>
    <t>NfixS</t>
  </si>
  <si>
    <t>Gcover_S</t>
  </si>
  <si>
    <t>SoilTex_S</t>
  </si>
  <si>
    <t>Beaver_S</t>
  </si>
  <si>
    <t>NatVegCUpct_S</t>
  </si>
  <si>
    <t>BuffSlope_S</t>
  </si>
  <si>
    <t>NatVegProx_S</t>
  </si>
  <si>
    <t>NatVegSize_S</t>
  </si>
  <si>
    <t>PondProx_S</t>
  </si>
  <si>
    <t>LakeProx_S</t>
  </si>
  <si>
    <t>UpEdge_S</t>
  </si>
  <si>
    <t xml:space="preserve">Dense vegetation offers frictional resistance to runoff, promoting sedimentation of suspended particles and reducing erosion. This promotes phosphorus retention because phosphorus is typically adsorbed to soil particles. </t>
  </si>
  <si>
    <t>Phosphorus Retention (PR)</t>
  </si>
  <si>
    <t>Native Plant Habitat (PH)</t>
  </si>
  <si>
    <t>Core1PU</t>
  </si>
  <si>
    <t>Core2PU</t>
  </si>
  <si>
    <t>WBFscore10</t>
  </si>
  <si>
    <t>SBMscore10</t>
  </si>
  <si>
    <t>This is the primary indicator of a wetland's potential for supporting summer flow in connected downslope streams.</t>
  </si>
  <si>
    <t>North-facing slopes are likely to remain frozen for longer periods, thus limiting the soil's capacity to store or infiltrate runoff.</t>
  </si>
  <si>
    <t>Streams facilitate transport of sediment and adsorbed phosphorus, so an inflowing stream provides more opportunity for a wetland to perform this function.</t>
  </si>
  <si>
    <t>Streams facilitate transport of nitrate from upland sources into wetlands, so an inflowing stream provides more opportunity for a wetland to perform this function.</t>
  </si>
  <si>
    <t>Fish are especially valued in food webs when the same wetland's structure also strongly supports important consumers such as waterbirds (e.g., loons, grebes, cormorants, kingfisher) and mammals.</t>
  </si>
  <si>
    <t>Stream Flow Support (SFS)</t>
  </si>
  <si>
    <t>SoilTex</t>
  </si>
  <si>
    <t>Groundw</t>
  </si>
  <si>
    <t>Upland soils are normally aerobic, whereas wetland soils are often anaerobic. Maximum denitrification occurs at the interface of aerobic and anaerobic conditions. Thus, proportionally longer (i.e., convoluted) edges should provide the most opportunity for removal of nitrate via denitrification.</t>
  </si>
  <si>
    <t>Soil compaction seals up pores in the soil that serve as habitat space for denitrifying bacteria, as well as causing a larger proportion of the precipitation to leave as runoff rather than infiltrate into subsurface areas where denitrification is greatest. Soil erosion often results in loss of carbon-rich upper soil layers that are important to denitrification.</t>
  </si>
  <si>
    <t xml:space="preserve">Increased slope in a watershed or buffer strip has been linked to increased delivery of sediment and sometimes nitrate to downgradient streams and wetlands, e.g., Trimble &amp; Sartz (1957), Dillaha et al. (1988, 1989), Phillips (1989), Nieswand et al. (1990). However, an Ontario study found the slope of the contributing area had relatively little effect on concentrations of nitrate and carbon in a downslope riparian area. Soil carbon was more responsible for increasing nitrate removal, and soil carbon was actually greater on steeper slopes in that study area (Hazlett et al. 2008). </t>
  </si>
  <si>
    <t>Nitrate is a potentially serious contaminant of drinking water due to health effects on infants. Thus, when wetlands remove it before it contaminates groundwater, the wetlands are performing an especially valued service.</t>
  </si>
  <si>
    <t>See the above. This indicator is highly correlated to it but is not identical.</t>
  </si>
  <si>
    <t xml:space="preserve">The need for (and value of) nitrate removal capacity (which is potentially provided by wetlands) is greater when upland runoff is rapid and erosive, with the potential to contribute much sediment and nitrate from other sources, as occurs when much of the contributing area contains impervious surface. </t>
  </si>
  <si>
    <t>The need for (and value of) nitrate removal that potentially could be provided by wetlands is greater when upland nitrate loads are not being retained by features closer to the nitrate source. Vegetated buffers are more effective in protecting the quality of wetlands when most water enters the wetland as shallow subsurface lateral flow or discharging groundwater, rather than channel flow or surface runoff (Dillaha et al. 1989, Dosskey et al. 2001, Wigington et al. 2003, Mayer et al. 2005). Buffers in rural New York were found to be ineffective when crossed by small unmapped drainageways (e.g., roadside ditches) that were not buffered but were connected to pollution sources (Madden et al. 2007).</t>
  </si>
  <si>
    <t xml:space="preserve">Flatter wetlands are more likely than steep ones to slow runoff, facilitating more deposition of organic matter that is associated with it. However, a Pennsylvania study found that slope wetlands tended to have moderate to high rates of organic matter accretion compared with other wetland geomorphic types (Wardrop &amp; Brooks 1998). Also, methane emissions may be less from sloping wetlands, due to greater aeration of their soils (Tauchnitz et al. 2008). </t>
  </si>
  <si>
    <t>NOTE: No indicators addressing VALUES of this function are currently proposed because its value is diffused throughout the entire planet.</t>
  </si>
  <si>
    <t>Nitrogen added to a wetland by N-fixing plants can increase the wetland's overall plant productivity, potentially making more organic matter available for export. Presence of alder in conifer woodlands also can speed the decomposition of organic material from the conifers (Fyles &amp; Fyles 1993) perhaps making it more useful for supporting aquatic life.</t>
  </si>
  <si>
    <t>These features cumulatively decelerate runoff, thus allowing for more biological processing and deposition of nitrate-containing suspended sediments, although usually only to a minor degree. The presence of soil cracks implies a potential downward extension of the aerobic zone, interspersing it with anaerobic areas, which should lead to greater denitrification. Studies of wastewater treatment wetlands have shown greater nitrate removal where pockets of deeper water are interspersed with shallower areas (i.e., diverse microtopography).</t>
  </si>
  <si>
    <t>Upland soils are normally aerobic, whereas wetland soils are often anaerobic. Maximum denitrification occurs at the interface of aerobic and anaerobic conditions. Thus, if inclusions of aerobic non-wetland soils are numerous and interspersed throughout a wetland, the extent of denitrification overall should be greater.</t>
  </si>
  <si>
    <t xml:space="preserve">Flatter wetlands are more likely than steep ones to slow runoff, facilitating more deposition of suspended matter and the nitrate that is associated with it, and also supporting anaerobic conditions that lead to more nitrate removal via denitrification. Steeper gradients in a wetland imply greater potential for outflow and transport downslope, and more aerobic conditions. </t>
  </si>
  <si>
    <t>Storage by wetlands is obviously more valuable when properties located downslope might otherwise be flooded. The need for (and value of) storage potentially provided by wetlands is greater when floodable property downslope is not being adequately protected by other water storage or detention features.</t>
  </si>
  <si>
    <t>Type of Cover in Buffer</t>
  </si>
  <si>
    <t>Flatter wetlands are more likely than steep ones to slow runoff, facilitating more deposition of suspended matter and the phosphorus that is associated with it. Ground cover becomes more important to sediment stabilization in wetlands on slopes.</t>
  </si>
  <si>
    <t>Narrow outlets limit water outflow from a wetland and its downstream or downslope movement, thus causing water to back up into the wetland, which allows more time for sediments to be deposited and phosphorus to be processed. The types of outlets described here are ones that typically are more constricted than natural channels, which usually have adjusted over time to local runoff and thus are wider relative to volume of flow received. A restricting outlet in wetlands can reduce export of phosphorus (Amatya et al. 2003).</t>
  </si>
  <si>
    <t xml:space="preserve">Flowers from forbs provide the most opportunities for a diverse array of pollinator species, but some graminoids (e.g., native bunchgrasses) are used as well. </t>
  </si>
  <si>
    <t>Although not all invasive upland plants are capable of establishing sustained populations in wetlands, many can. When they do they reduce plant diversity.</t>
  </si>
  <si>
    <t>Soil temperatures are warmer for longer on south-facing slopes, and this is essential for denitrification which removes soluble N (Kim et al. 2007). However, those soils should not be dried out to less than 70% saturation by those warmer conditions (Hefting et al. 2006).</t>
  </si>
  <si>
    <t>Leaves of nitrogen-fixing plants such as alder have been shown to support higher densities and richness of aquatic and terrestrial invertebrates (Wipfli 2007, Wipfli &amp; Musselwhite 2004, Hernandez et al. 2005, LeSage et al. 2005). From that, it can be inferred that fish production should be higher in alder wetlands as well, where food is limiting fish survival.</t>
  </si>
  <si>
    <t xml:space="preserve">Obviously, a wetland containing toxic substances has much less capacity to support anadromous fish. Resident fish are especially prone to bioaccumulation of locally-sourced metals (e.g., Deniseger et al. 1990). </t>
  </si>
  <si>
    <t>Individuals belonging to species that are on the margins of their geographic range at this location tend to be more sensitive to some types of environmental disturbances.</t>
  </si>
  <si>
    <t>OwnerSS</t>
  </si>
  <si>
    <t>Humans visiting wetlands commonly bring dogs, which potentially harass waterbirds, and human presence can attract crows and ravens, which prey on nests. Even the simple presence of people on foot and without dogs will cause many waterbirds to take flight. Repeated intrusions that drain the energy of waterbirds are especially damaging during the period when adult birds are searching for food to feed their young.</t>
  </si>
  <si>
    <t>Species - Area</t>
  </si>
  <si>
    <t>Competition/ Light</t>
  </si>
  <si>
    <t>Hydro Regime</t>
  </si>
  <si>
    <t xml:space="preserve">In herbaceous wetlands, the type of adjoining upland cover is very important to many nesting waterbird species. Most upland-nesting waterfowl nest within about 1000 ft of wetlands. Maintaining mostly non-woody but natural vegetation in such areas makes it difficult for predators to find nests. </t>
  </si>
  <si>
    <t>Pollen Onsite</t>
  </si>
  <si>
    <t>Toxics13</t>
  </si>
  <si>
    <t>Summary Ratings for Grouped Functions:</t>
  </si>
  <si>
    <t>OF1</t>
  </si>
  <si>
    <t>OF2</t>
  </si>
  <si>
    <t>OF3</t>
  </si>
  <si>
    <t>OF4</t>
  </si>
  <si>
    <t>OF5</t>
  </si>
  <si>
    <t>OF6</t>
  </si>
  <si>
    <t>OF7</t>
  </si>
  <si>
    <t>OF8</t>
  </si>
  <si>
    <t>OF9</t>
  </si>
  <si>
    <t>OF10</t>
  </si>
  <si>
    <t>OF11</t>
  </si>
  <si>
    <t>OF12</t>
  </si>
  <si>
    <t>OF13</t>
  </si>
  <si>
    <t>OF14</t>
  </si>
  <si>
    <t>OF15</t>
  </si>
  <si>
    <t>OF16</t>
  </si>
  <si>
    <t>OF17</t>
  </si>
  <si>
    <t>OF19</t>
  </si>
  <si>
    <t>OF22</t>
  </si>
  <si>
    <t>OF26</t>
  </si>
  <si>
    <t>OF28</t>
  </si>
  <si>
    <t>OF29</t>
  </si>
  <si>
    <t>OF30</t>
  </si>
  <si>
    <t>OF31</t>
  </si>
  <si>
    <t>OF32</t>
  </si>
  <si>
    <t>OF33</t>
  </si>
  <si>
    <t>OF34</t>
  </si>
  <si>
    <t>OF35</t>
  </si>
  <si>
    <t>OF37</t>
  </si>
  <si>
    <t>OF38</t>
  </si>
  <si>
    <t>OF21</t>
  </si>
  <si>
    <t>OF23</t>
  </si>
  <si>
    <t>Impervious areas do not contribute many terrestrial insects to aquatic food chains, may reduce aquatic productivity due to high turbidity and sedimentation of spawning areas, and can raise stream temperatures to levels harmful to anadromous fish.</t>
  </si>
  <si>
    <t>Fringe Wetland</t>
  </si>
  <si>
    <t>Lacustrine Wetland</t>
  </si>
  <si>
    <t xml:space="preserve">Sites that remain continually moist (saturated) but not flooded may be more likely to retain phosphorus (Aldous et al. 2007). </t>
  </si>
  <si>
    <t>Wetlands that are never inundated cannot support anadromous fish directly.</t>
  </si>
  <si>
    <t>SatPct9</t>
  </si>
  <si>
    <t>SatPct8</t>
  </si>
  <si>
    <t>SatPct11</t>
  </si>
  <si>
    <t>SatPct12</t>
  </si>
  <si>
    <t>SatPct14</t>
  </si>
  <si>
    <t>SatPct13</t>
  </si>
  <si>
    <t>SatPct15</t>
  </si>
  <si>
    <t>SatPct7</t>
  </si>
  <si>
    <t>When water remains entirely belowground, water temperatures in summer remain cooler than if exposed aboveground.</t>
  </si>
  <si>
    <t>Denitrification processes occur when anaerobic conditions occur, which are more likely when surface water is present and blocks gas exchange. Shallow inundation tends to decrease emissions of nitrous oxide (Zaman et al. 2007, Song et al. 2008) .</t>
  </si>
  <si>
    <t>Used as a classifier. Wetlands that are never inundated cannot support resident fish.</t>
  </si>
  <si>
    <t>SatPct10</t>
  </si>
  <si>
    <t>Leaves of nitrogen-fixing plants such as alder have been shown to support higher densities and richness of aquatic and terrestrial invertebrates (Wipfli et al. 2007, Wipfli &amp; Musselwhite 2004, Hernandez et al. 2005, LeSage et al. 2005).</t>
  </si>
  <si>
    <t xml:space="preserve">Macroinvertebrate and fish community composition is impacted beginning at about 5% impervious surface, a number that varies depending on the proportion of agricultural land as well (Waite et al. 2008). Comparing data from multiple regions, Utz et al. (2009) reported that aquatic invertebrates sensitive to impervious cover were generally lost when impervious cover was in the range of 3% (most sensitive taxa) to 23%. </t>
  </si>
  <si>
    <t>Literature Cited</t>
  </si>
  <si>
    <t>Arnold, C. L. and C. J. Gibbons. 1996. Impervious surface coverage: The emergence of a key environmental indicator. Journal of the American Planning Association 62:243-258.</t>
  </si>
  <si>
    <t>Detenbeck, N., C. Elonen, D. Taylor, A. Cotter, F. Puglisi, and W. Sanville. 2002. Effects of agricultural activities and best management practices on water quality of seasonal prairie pothole wetlands. Wetlands Ecology and Management 10:335-354.</t>
  </si>
  <si>
    <t>Leopold, L. B. 1968. Hydrology for Urban Land Planning—A Guidebook on the Hydrologic Effects of Urban Land Use. United States Department of the Interior, U.S. Geological Survey, Circular 554, Washington, DC.</t>
  </si>
  <si>
    <t>Quinton, W. L. and N. T. Roulet. 1998. Spring and summer runoff hydrology of a subarctic patterned wetland. Arctic and Alpine Research 30:285-294.</t>
  </si>
  <si>
    <t>Roulet, N. T. and M. K. Woo. 1988. Run-off generation in a low arctic drainage-basin. Journal of Hydrology 101:213-226.</t>
  </si>
  <si>
    <t>Spence, C., X. J. Guan, and R. Phillips. 2011. The hydrological functions of a boreal wetland. Wetlands 31:75-85.</t>
  </si>
  <si>
    <t>Waite, T. A. and L. G. Campbell. 2006. Controlling the false discovery rate and increasing statistical power in ecological studies. Ecoscience 13:439-442.</t>
  </si>
  <si>
    <t>Emili, L. A. and J. S. Price. 2006. Hydrological processes controlling ground and surface water flow from a hypermaritime forest–peatland complex, Diana Lake Provincial Park, British Columbia, Canada. Hydrological Processes 20:2819-2837.</t>
  </si>
  <si>
    <t>Siegel, D. I. 1988. The Recharge‐Discharge Function of Wetlands Near Juneau, Alaska: Part II. Geochemical Investigations. Ground Water 26:580-586.</t>
  </si>
  <si>
    <t>Brosofske, K. D., J. Chen, R. J. Naiman, and J. F. Franklin. 1997. Harvesting effects on microclimatic gradients from small streams to uplands in western Washington. Ecological Applications 7:1188-1200.</t>
  </si>
  <si>
    <t>Gomi, T., R. D. Moore, and A. S. Dhakal. 2006. Headwater stream temperature response to clear-cut harvesting with different riparian treatments, coastal British Columbia, Canada. Water Resources Research 42:WO8437.</t>
  </si>
  <si>
    <t>Meleason, M. A. and J. M. Quinn. 2004. Influence of riparian buffer width on air temperature at Whangapoua Forest, Coromandel Peninsula, New Zealand. Forest Ecology and Management 191:365-371.</t>
  </si>
  <si>
    <t>Mellina, E., R. D. Moore, S. G. Hinch, J. S. Macdonald, and G. Pearson. 2002. Stream temperature responses to clearcut logging in British Columbia: the moderating influences of groundwater and headwater lakes. Canadian Journal of Fisheries and Aquatic Sciences 59:1886-1900.</t>
  </si>
  <si>
    <t>Nelitz, M. A., E. A. MacIsaac, and R. M. Peterman. 2007. A science-based approach for identifying temperature-sensitive streams for rainbow trout. North American Journal of Fisheries Management 27:405-424.</t>
  </si>
  <si>
    <t>Reinelt, L. E. and R. R. Horner. 1990. Characterization of the Hydrology and Water Quality of Palustrine Wetlands Affected by Urban Stormwater. King County Resource Planning Section, Seattle, WA.</t>
  </si>
  <si>
    <t>Sridhar, V., A. L. Sansone, J. LaMarche, T. Dubin, and D. P. Lettenmaier. 2004. Prediction of stream temperature in forested watersheds. Journal of the American Water Resources Association 40:197-213.</t>
  </si>
  <si>
    <t>Stephenson, J. M. and A. Morin. 2009. Covariation of stream community structure and biomass of algae, invertebrates and fish with forest cover at multiple spatial scales. Freshwater Biology 54:2139-2154.</t>
  </si>
  <si>
    <t>Alberti, M., D. Booth, K. Hill, B. Coburn, C. Avolio, S. Coe, and D. Spirandelli. 2007. The impact of urban patterns on aquatic ecosystems: An empirical analysis in Puget lowland sub-basins. Landscape and Urban Planning 80:345-361.</t>
  </si>
  <si>
    <t>Amatya, D. M., R. W. Skaggs, J. W. Gilliam, and J. H. Hughes. 2003. Effects of orifice-weir outlet on hydrology and water quality of a drained forested watershed. Southern Journal of Applied Forestry 27:130-142.</t>
  </si>
  <si>
    <t>Dillaha, T. A., J. H. Sherrard, D. Lee, S. Mostaghimi, and V. O. Shanholtz. 1988. Evaluation of vegetative filter strips as a best management practice for feed lots. Journal Water Pollution Control Federation 60:1231-1238.</t>
  </si>
  <si>
    <t>Dillaha, T. A., R. B. Reneau, S. Mostaghimi, and D. Lee. 1989. Vegetative filter strips for agricultural nonpoint source pollution-control. Transactions of the  ASAE 32:513-519.</t>
  </si>
  <si>
    <t>Evans, R. D. and F. H. Rigler. 1983. A test of lead-210 dating for the measurement of whole lake soft sediment accumulation. Canadian Journal of Fisheries and Aquatic Sciences 40:506-515.</t>
  </si>
  <si>
    <t>Gomi, T. and R. C. Sidle. 2003. Bed load transport in managed steep-gradient headwater streams of southeastern Alaska. Water Resources Research 39:1336-1350.</t>
  </si>
  <si>
    <t>Heinemann, H. G. 1981. A new sediment trap efficency curve for small reservoirs Water Resources Bulletin 17:825-830.</t>
  </si>
  <si>
    <t>Hogan, D. M. and M. R. Walbridge. 2007. Urbanization and nutrient retention in freshwater riparian wetlands. Ecological Applications 17:1142-1155.</t>
  </si>
  <si>
    <t>Knutson, P., J. Ford, M. Inskeep, and J. Oyler. 1981. National survey of planted salt marshes (Vegetative stabilization and wave stress). Wetlands 1:129-157.</t>
  </si>
  <si>
    <t>McBride, M. and D. B. Booth. 2005. Urban impacts on physical stream condition: Effects of spatial scale, connectivity, and longitudinal trends. Journal of the American Water Resources Association 41:565-580.</t>
  </si>
  <si>
    <t>Morris, A. W., A. J. Bale, and R. J. M. Howland. 1981. Nutrient distributions in an estuary - evidence of chemical precipitation of dissolved silicate and phosphate. Estuarine Coastal and Shelf Science 12:205-216.</t>
  </si>
  <si>
    <t>Nieswand, G. H., R. M. Hordon, T. B. Shelton, B. B. Chavooshian, and S. Blarr. 1990. Buffer strips to protect water-supply reservoirs - A model and recommendations. Water Resources Bulletin 26:959-966.</t>
  </si>
  <si>
    <t>Nolan, K. M. and D. C. Marron. 1985. Contrast in stream-channel response to major storms in two mountainous areas of California. Geology 13:135-138.</t>
  </si>
  <si>
    <t>Phillips, J. D. 1989. An evaluation of the factors determining the effectiveness of water quality buffer zones. Journal of Hydrology 107:133-145.</t>
  </si>
  <si>
    <t>Polyakov, V., A. Fares, and M. H. Ryder. 2005. Precision riparian buffers for the control of nonpoint source pollutant loading into surface water: A review. Environmental Reviews 13:129-144.</t>
  </si>
  <si>
    <t>Trimble, G. R., Jr. and R. S. Sartz. 1957. How far from a stream should a logging road be located? Journal of Forestry 55:339-341.</t>
  </si>
  <si>
    <t>White, W. J., L. A. Morris, D. B. Warnell, A. P. Pinho, C. R. Jackson, and L. T. West. 2007. Sediment retention by forested filter strips in the Piedmont of Georgia. Journal of Soil and Water Conservation 62:453-463.</t>
  </si>
  <si>
    <t>Wigington, P. J., T. J. Moser, and D. R. Lindeman. 2005. Stream network expansion: a riparian water quality factor. Hydrological Processes 19:1715-1721.</t>
  </si>
  <si>
    <t>Zhang, X., X. Liu, M. Zhang, R. A. Dahlgren, and M. Eitzel. 2010. A review of vegetated buffers and a meta-analysis of their mitigation efficacy in reducing nonpoint source pollution. Journal of Environmental Quality 39:76-84.</t>
  </si>
  <si>
    <t>Aldous, A., P. McCormick, C. Ferguson, S. Graham, and C. Craft. 2005. Hydrologic regime controls soil phosphorus fluxes in restoration and undisturbed wetlands. Restoration Ecology 13:341-347.</t>
  </si>
  <si>
    <t>Aldous, A. R., C. B. Craft, C. J. Stevens, M. J. Barry, and L. B. Bach. 2007. Soil phosphorus release from a restoration wetland, Upper Klamath Lake, Oregon. Wetlands 27:1025-1035.</t>
  </si>
  <si>
    <t>Burley, K. L., E. E. Prepas, and P. A. Chambers. 2001. Phosphorus release from sediments in hardwater eutrophic lakes: the effects of redox-sensitive and -insensitive chemical treatments. Freshwater Biology 46:1061-1074.</t>
  </si>
  <si>
    <t>Diebel, M. W., J. T. Maxted, D. M. Robertson, S. Han, Z. Vander, and M. Jake. 2009. Landscape planning for agricultural nonpoint source pollution reduction III: assessing phosphorus and sediment reduction potential. Environmental Management 43:69-83.</t>
  </si>
  <si>
    <t>Feller, M. 2005. Forest harvesting and streamwater inorganic chemistry in western North America: a review. Journal of the American Water Resources Association 41:785-811.</t>
  </si>
  <si>
    <t>Hoffmann, C. C., C. Kjaergaard, J. Uusi-Kamppa, H. C. B. Hansen, and B. Kronvang. 2009. Phosphorus retention in riparian buffers: Review of their efficiency. Journal of Environmental Quality 38:1942-1955.</t>
  </si>
  <si>
    <t>Knox, A. K., R. A. Dahgren, K. W. Tate, and E. R. Atwill. 2008. Efficacy of natural wetlands to retain nutrient, sediment and microbial pollutants. Journal of Environmental Quality 37:1837-1846.</t>
  </si>
  <si>
    <t>Prepas, E. E., B. Pinel-Alloul, D. Planas, G. Méthot, S. Paquet, and S. Reedyk. 2001. Forest harvest impacts on water quality and aquatic biota on the Boreal Plain: Introduction to the TROLS lake program. Canadian Journal of Fisheries and Aquatic Sciences 58:421-436.</t>
  </si>
  <si>
    <t>Prescott, C. E., L. Vesterdal, J. Pratt, K. H. Venner, L. M. de Montigny, and J. A. Trofymow. 2000. Nutrient concentrations and nitrogen mineralization in forest floors of single species conifer plantations in coastal British Columbia. Canadian Journal of Forest Research 30:1341-1352.</t>
  </si>
  <si>
    <t>Roberts, M. L. and R. E. Bilby. 2009. Urbanization alters litterfall rates and nutrient inputs to small Puget lowland streams. Journal of the North American Benthological Society 28:941-954.</t>
  </si>
  <si>
    <t>Roberts, A. and S. Prince. 2010. Effects of urban and non-urban land cover on nitrogen and phosphorus runoff to Chesapeake Bay. Ecological Indicators 10:459-474.</t>
  </si>
  <si>
    <t>Snyder, D. T. and J. L. Morace. 1997. Nitrogen and Phosphorus Loading from Drained Wetlands Adjacent to Upper Klamath and Agency Lakes, Oregon. US Geological Survey Water Resources Investigations Report 97-4059. US Geological Survey, Fort Collins, CO.</t>
  </si>
  <si>
    <t>Banner, A., P. LePage, J. Moran, and A. de Groot. 2005. Pattern, Process, and Productivity in Hypermaritime Forests of Coastal British Columbia– a synthesis of 7-year results. B.C. Ministry of Forests, Resources Branch, Victoria, B.C.</t>
  </si>
  <si>
    <t>Bayley, S. E. and R. L. Mewhort. 2004. Plant community structure and junctional differences between marshes and fens in the southern boreal region of Alberta, Canada. Wetlands 24:277-294.</t>
  </si>
  <si>
    <t>Berendse, F., N. Van Breemen, H. Rydin, A. Buttler, M. Heijmans, M. Hoosbeek, J. A. H. Lee, E. Mitchell, T. Saarinen, H. Vasander, and B. Wallén. 2001. Raised atmospheric CO2 levels and increased N deposition cause shifts in plant species composition and production in Sphagnum bogs. Global Change Biology 7.</t>
  </si>
  <si>
    <t>Bragazza, L., T. Tahvanainen, L. Kutnar, H. Rydin, J. Limpens, M. Hájek, P. Grosvernier, T. Hájek, P. Hajkova, I. Hansen, P. Iacumin, and R. Gerdol. 2004. Nutritional constraints in ombrotrophic Sphagnum plants under increasing atmospheric nitrogen deposition in Europe. New Phytologist 163.</t>
  </si>
  <si>
    <t>Cortini, F. and P. G. Comeau. 2008. Effects of red alder and paper birch competition on juvenile growth of three conifer species in southwestern British Columbia. Forest Ecology and Management 256:1795-1803.</t>
  </si>
  <si>
    <t>Dosskey, M. G. 2001. Toward quantifying water pollution abatement in response to installing buffers on crop land. Environmental Management 28:577-598.</t>
  </si>
  <si>
    <t>Fellman, J. B. and D. V. D'Amore. 2007. Nitrogen and phosphorus mineralization in three wetland types in Southeast Alaska, USA. Wetlands 27:44-53.</t>
  </si>
  <si>
    <t>Gunderson, L. H., S. R. Carpenter, C. Folke, P. Olsson, and G. D. Peterson. 2006. Water RATs (resilience, adaptability, and transformability) in lake and wetland social-ecological systems. Ecology and Society 11:16.</t>
  </si>
  <si>
    <t>Hefting, M., B. Beltman, D. Karssenberg, K. Rebel, M. van Riessen, and M. Spijker. 2006. Water quality dynamics and hydrology in nitrate loaded riparian zones in the Netherlands. Environmental Pollution 139:143-156.</t>
  </si>
  <si>
    <t>Heijmans, M. M. P. D., H. Klees, W. de Visser, and F. Berendse. 2002. Response of a Sphagnum bog plant community to elevated CO2 and N supply. Plant Ecology 162:123-134.</t>
  </si>
  <si>
    <t>Hunt, P. G., T. A. Matheny, and K. S. Ro. 2007. Nitrous oxide accumulation in soils from riparian buffers of a coastal plain watershed-carbon/nitrogen ratio control. Journal of Environmental Quality 36:1368-1376.</t>
  </si>
  <si>
    <t>Kim, I. J., S. L. Hutchinson, J. M. S. Hutchinson, and C. B. Young. 2007. Riparian ecosystem management model: sensitivity to soil, vegetation, and weather input parameters. Journal of the American Water Resources Association 43:1171-1182.</t>
  </si>
  <si>
    <t>Kroeger, K. D. and M. A. Charette. 2008. Nitrogen biogeochemistry of submarine groundwater discharge. Limnology and Oceanography 53:1025-1079.</t>
  </si>
  <si>
    <t>Lertzman, K. P., G. D. Sutherland, A. Inselberg, and S. C. Saunders. 1996. Canopy gaps and the landscape mosaic in a coastal temperate rain forest. Ecology 77:1254-1270.</t>
  </si>
  <si>
    <t>Li, Y. and D. H. Vitt. 1997. Patterns of retention and utilization of aerially deposited nitrogen in boreal peatlands. Ecoscience. Sainte-Foy 4:106-116.</t>
  </si>
  <si>
    <t>Madden, S. S., G. R. Robinson, and J. G. Arnason. 2007. Spatial variation in stream water quality in relation to riparian buffer dimensions in a rural watershed of eastern New York state. Northeastern Naturalist 14:605-618.</t>
  </si>
  <si>
    <t>Mayer, P. M., S. K. Reynolds, Jr., M. D. McCutchen, and T. J. Canfield. 2007. Meta-analysis of nitrogen removal in riparian buffers. Journal of Environmental Quality 36:1172-1180.</t>
  </si>
  <si>
    <t>Pinay, G., T. O'Keefe, R. Edwards, and R. J. Naiman. 2003. Potential denitrification activity in the landscape of a western Alaska drainage basin. Ecosystems 6:336-343.</t>
  </si>
  <si>
    <t>Sanborn, P. T., C. M. Preston, and R. Brockley. 2002. N-2-fixation by Sitka alder in a young lodgepole pine stand in central interior British Columbia, Canada. Forest Ecology and Management 167:223-231.</t>
  </si>
  <si>
    <t>Shaffer, P. W. and T. L. Ernst. 1999. Distribution of soil organic matter in freshwater emergent/open water wetlands in the Portland, Oregon metropolitan area. Wetlands 19:505-516.</t>
  </si>
  <si>
    <t>Shrestha, R. R., A. J. Berland, M. A. Schnorbus, and A. T. Werner. 2011. Climate Change Impacts on Hydro-Climatic Regimes in the Peace and Columbia Watersheds, British Columbia, Canada. Pacific Climate Impacts Consortium. University of Victoria, Victoria, BC.</t>
  </si>
  <si>
    <t>Song, K., D. Liu, Z. Wang, B. Zhang, C. Jin, F. Li, and H. Liu. 2008. Land use change in Sanjiang Plain and its driving forces analysis since 1954. ACTA Georaphica Sinica-Chinese Edition 63:93.</t>
  </si>
  <si>
    <t>Van Hoewyk, D., P. M. Groffman, E. Kiviat, G. Mihocko, and G. Stevens. 2000. Soil nitrogen dynamics in organic and mineral soil calcareous wetlands in eastern New York. Soil Science Society of America Journal 64: 2168–2173.</t>
  </si>
  <si>
    <t>Wigington, P. J., S. M. Griffith, J. A. Field, J. E. Baham, W. R. Horwath, J. Owen, J. H. Davis, S. C. Rain, and J. J. Steiner. 2003. Nitrate removal effectiveness of a riparian buffer along a small agricultural stream in western Oregon. Journal of Environmental Quality 32:162-170.</t>
  </si>
  <si>
    <t>Zaman, M., M. L. Nguyen, F. Matheson, J. D. Blennerhassett, and B. F. Quin. 2007. Can soil amendments (zeolite or lime) shift the balance between nitrous oxide and dinitrogen emissions from pasture and wetland soils receiving urine or urea-N? Australian Journal of Soil Research 45:543-553.</t>
  </si>
  <si>
    <t>Altor, A. and W. Mitsch. 2008. Pulsing hydrology, methane emissions and carbon dioxide fluxes in created marshes: A 2-year ecosystem study. Wetlands 28:423-438.</t>
  </si>
  <si>
    <t>Belyea, L. R. and N. Malmer. 2004. Carbon sequestration in peatland: patterns and mechanisms of response to climate change. Global Change Biology 10:1043-1052.</t>
  </si>
  <si>
    <t>Blanco-Canqui, H. and R. Lal. 2004. Mechanisms of Carbon Sequestration in Soil Aggregates. Critical Reviews in Plant Sciences 23:481-504.</t>
  </si>
  <si>
    <t>Blodau, C., B. Mayer, S. Peiffer, and T. R. Moore. 2007. Support for an anaerobic sulfur cycle in two Canadian peatland soils. Journal of Geophysical Research: Biogeosciences 112:G02004.</t>
  </si>
  <si>
    <t>Bridgham, S. D. and C. J. Richardson. 2003. Endogenous versus exogenous nutrient control over decomposition and mineralization in North Carolina peatlands. Biogeochemistry 65:151-178.</t>
  </si>
  <si>
    <t>Cheng, W., K. Yagi, H. Akiyama, S. Nishimura, S. Sudo, T. Fumoto, T. Hasegawa, A. E. Hartley, and J. P. Megonigal. 2007. An empirical model of soil chemical properties that regulate methane production in Japanese rice paddy soils. Journal of Environmental Quality 36:1920-1925.</t>
  </si>
  <si>
    <t>Collins, M. E. and R. J. Kuehl. 2001. Organic matter accumulation and organic soils in wetland soils genesis, hydrology, landscapes, and classification. Pages 137- 159 in J. L. Richardson and M. J. Vepraskas, editors. Wetland Soils: Genesis, Hydrology, Landscape, and Classification. Lewis Publishers, Boca Raton, FL.</t>
  </si>
  <si>
    <t>D'Amore, D. V., J. B. Fellman, R. T. Edwards, and E. Hood. 2010. Controls on dissolved organic matter concentrations in soils and streams from a forested wetland and sloping bog in southeast Alaska. Ecohydrology 3:249-261.</t>
  </si>
  <si>
    <t>den Ouden, J. and P. Alaback. 1996. Successional trends and biomass of mosses on windthrow mounds in the temperate rainforests of Southeast Alaska. Vegetatio 124:115-128.</t>
  </si>
  <si>
    <t>Edwards, G. C., G. M. Dias, G. W. Thurtell, G. E. Kidd, N. T. Roulet, C. A. Kelly, J. W. M. Rudd, A. Moore, and L. Halfpenny-Mitchell. 2001. Methane fluxes from a wetland using the flux-gradient technique; the measurement of methane flux from a natural wetland pond and adjacent vegetated wetlands using a TDL-based flux-gradient technique. Water, Air and Soil Pollution: Focus 1:447-454.</t>
  </si>
  <si>
    <t>Fennessy, M. S., A. Rokosch, and J. J. Mack. 2008. Patterns of plant decomposition and nutrient cycling in natural and created wetlands. Wetlands 28:300-310.</t>
  </si>
  <si>
    <t>Gauci, V., D. J. G. Gowing, E. R. C. Hornibrook, J. M. Davis, and N. B. Dise. 2010. Woody stem methane emission in mature wetland alder trees. Atmospheric Environment 44:2157-2160.</t>
  </si>
  <si>
    <t>Glatzel, S., N. Basiliko, and T. Moore. 2004. Carbon dioxide and methane production potentials of peats from natural, harvested, and restored sites, eastern Quebec, Canada. Wetlands 24:261-267.</t>
  </si>
  <si>
    <t>Glenn, A. J., L. B. Flanagan, K. H. Syed, and P. J. Carlson. 2006. Comparison of net ecosystem CO2 exchange in two peatlands in western Canada with contrasting dominant vegetation, Sphagnum and Carex. Agricultural and Forest Meteorology 140:115-135.</t>
  </si>
  <si>
    <t>Green, S. M. and A. J. Baird. 2012. A mesocosm study of the role of the sedge Eriophorum angustifolium in the efflux of methane-including that due to episodic ebullition-from peatlands. Plant and Soil 351:207-218.</t>
  </si>
  <si>
    <t>Gunnarsson, U. 2005. Global patterns of Sphagnum productivity. Journal of Bryology 27:269-279.</t>
  </si>
  <si>
    <t>Hines, M. E., K. N. Duddleston, and J. P. Chanton. 2006. Uncoupling of the pathway of methanogenesis in northern wetlands: connection to vegetation, and implications for variability and predictability. American Geophysical Union URL:http://www.agu.org.</t>
  </si>
  <si>
    <t>Hines, M. E., K. N. Duddleston, J. N. Rooney-Varga, D. Fields, and J. P. Chanton. 2008. Uncoupling of acetate degradation from methane formation in Alaskan wetlands: Connections to vegetation distribution. Global Biogeochemical Cycles 22:GB2017.</t>
  </si>
  <si>
    <t>Hossler, K. and V. Bouchard. 2010. Soil development and establishment of carbon-based properties in created freshwater marshes. Ecological Applications 20:539-553.</t>
  </si>
  <si>
    <t>Keller, J. K., J. R. White, S. D. Bridgham, and J. Pastor. 2004. Climate change effects on carbon and nitrogen mineralization in peatlands through changes in soil quality. Global Change Biology 10:1053-1064.</t>
  </si>
  <si>
    <t>Kelly, C. A., J. W. M. Rudd, R. A. Bodaly, N. P. Roulet, V. L. St. Louis, A. Heyes, T. R. Moore, S. Schiff, R. Aravena, K. J. Scott, B. Dyck, R. Harris, B. Warner, and G. Edwards. 1997. Increases in fluxes of greenhouse gases and methyl mercury following flooding of an experimental reservoir. Environmental Science and Technology 31:1334-1344.</t>
  </si>
  <si>
    <t>Law, C. 2008. Predicting and monitoring the effects of large-scale ocean iron fertilization on marine trace gas emissions. Marine Ecology Progress Series 364.</t>
  </si>
  <si>
    <t>Li, C., J. B. Cui, S. Ge, and C. Trettin. 2004. Modeling impacts of management on carbon sequestration and trace gas emissions in forested wetland ecosystems. Journal of Environmental Management 33:S176–S186.</t>
  </si>
  <si>
    <t>Liblik, L. K., T. R. Moore, J. L. Bubier, and S. D. Robinson. 1997. Methane emissions from wetlands in the zone of discontinuous permafrost: Fort Simpson, Northwest Territories, Canada. Global Biogeochemical Cycles 11:485-494.</t>
  </si>
  <si>
    <t>Magenheimer, J. F., T. R. Moore, G. L. Chmura, and R. J. Daoust. 1996. Methane and carbon dioxide flux from a macrotidal salt marsh, Bay of Fundy, New Brunswick. Estuaries 19:139-145.</t>
  </si>
  <si>
    <t>Mitsch, W. J., L. Zhang, C. J. Anderson, A. E. Altor, and M. E. Hernandez. 2005. Creating riverine wetlands: Ecological succession, nutrient retention, and pulsing effects. Ecological Engineering 25:510-527.</t>
  </si>
  <si>
    <t>Moosavi, N. H. and M. Chehrazi. 1994. Post emergence control of winter wild oat (Avena ludoviciana DUR) and littleseed cannarygrass (Phalaris minor Retz.) in wheat (Triticum aestivum L. "Arvand"). The Scientific Journal of Agriculture 17.</t>
  </si>
  <si>
    <t>Moosavi, S. C., P. M. Crill, E. R. Pullman, D. W. Funk, and K. M. Peterson. 1996. Controls on CH4 flux from an Alaskan boreal wetland. Global Biogeochemical Cycles 10:287-296.</t>
  </si>
  <si>
    <t>Pelletier, L., T. R. Moore, N. T. Roulet, M. Garneau, and V. Beaulieu-Audy. 2007. Methane fluxes from three peatlands in the La Grande Riviere watershed, James Bay lowland, Canada. Journal of Geophysical Research-Biogeosciences 112:G01018.</t>
  </si>
  <si>
    <t>Price, J. S., A. L. Heathwaite, and A. J. Baird. 2003. Hydrological processes in abandoned and restored peatlands: An overview of management approaches. Wetlands Ecology and Management 11:65-83.</t>
  </si>
  <si>
    <t>Rose, C. and W. G. Crumpton. 2006. Spatial patterns in dissolved oxygen and methane concentrations in a prairie pothole wetland in Iowa, USA. Wetlands 26:1020-1025.</t>
  </si>
  <si>
    <t>Rumburg, C. B. and W. A. Sawyer. 1965. Response of wet-meadow vegetation to length and depth of surface water from wild-flood irrigation. Agronomy Journal 57:245–247.</t>
  </si>
  <si>
    <t>Ryan, M. G. and B. E. Law. 2005. Interpreting, measuring, and modeling soil respiration. Biogeochemistry 73:3-27.</t>
  </si>
  <si>
    <t>Smemo, K. A. and J. B. Yavitt. 2006. A multi-year perspective on methane cycling in a shallow peat fen in central New York State, USA. Wetlands 26:20-29.</t>
  </si>
  <si>
    <t>Smialek, J., V. Bouchard, B. Lippmann, M. Quigley, T. Granata, J. Martin, and L. Brown. 2006. Effect of a woody (Salix nigra) and an herbaceous (Juncus effusus) macrophyte species on methane dynamics and denitrification. Wetlands 26:509-517.</t>
  </si>
  <si>
    <t>Smith, L. K., W. M. Lewis, J. P. Chanton, G. Cronin, and S. K. Hamilton. 2000. Methane emissions from the Orinoco River floodplain, Venezuela. Biogeochemistry 51:113-140.</t>
  </si>
  <si>
    <t>Strack, M., M. F. Waller, and J. M. Waddington. 2006. Sedge succession and peatland methane dynamics: A potential feedback to climate change. Ecosystems 9:278-287.</t>
  </si>
  <si>
    <t>Tauchnitz, N., R. Brumme, S. Bernsdorf, and R. Meissner. 2008. Nitrous oxide and methane fluxes of a pristine slope mire in the German National Park Harz Mountains. Plant and Soil 303:131-138.</t>
  </si>
  <si>
    <t>Thormann, M. N. and S. E. Bayley. 1997. Response of aboveground net primary plant production to nitrogen and phosphorus fertilization in peatlands in southern boreal Alberta, Canada. Wetlands 17:502-512.</t>
  </si>
  <si>
    <t>Tranvik, L. J., J. A. Downing, J. B. Cotner, S. A. Loiselle, R. G. Striegl, T. J. Ballatore, P. Dillon, K. Finlay, K. Fortino, L. B. Knoll, P. L. Kortelainen, T. Kutser, S. Larsen, I. Laurion, D. M. Leech, S. L. McCallister, D. M. McKnight, J. M. Melack, E. Overholt, J. A. Porter, Y. Prairie, W. H. Renwick, F. Roland, B. S. Sherman, D. W. Schindler, S. Sobek, A. Tremblay, M. J. Vanni, A. M. Verschoor, E. von Wachenfeldt, and G. A. Weyhenmeyer. 2009. Lakes and reservoirs as regulators of carbon cycling and climate. Limnology and Oceanography 54:2298-2314.</t>
  </si>
  <si>
    <t>Tuittila, E. S., V. M. Komulainen, H. Vasander, H. Nykanen, P. J. Martikainen, and J. Laine. 2000. Methane dynamics of a restored cut-away peatland. Global Change Biology 6:569-581.</t>
  </si>
  <si>
    <t>Updegraff, K., J. Pastor, S. D. Bridgham, and C. A. Johnston. 1995. Environmental and substrate controls over carbon and nitrogen mineralization in northern wetlands. Ecological Applications 5:151-163.</t>
  </si>
  <si>
    <t>Valentine, D. W., E. A. Holland, and D. S. Schimel. 1994. Ecosystem and physiological controls over methane production in northern wetlands. Journal of Geophysical Research-Atmospheres 99:1563-1571.</t>
  </si>
  <si>
    <t>Waddington, J. M. and M. R. Turetsky. 2008. Peatland ecohydrology: Water-vegetation-carbon interactions in a changing climate. Geophysical Research Abstracts 10:EGU2008-A-08409.</t>
  </si>
  <si>
    <t>Wardrop, D. H. and R. P. Brooks. 1998. The occurrence and impact of sedimentation in central Pennsylvania wetlands. Environmental Monitoring and Assessment 51:119-130.</t>
  </si>
  <si>
    <t>Westermann, P. and B. K. Ahring. 1987. Dynamics of methane production, sulfate reduction, and denitrification in a permanently waterlogged alder swamp. Applied and Environmental Microbiology 53:2554-2559.</t>
  </si>
  <si>
    <t>White, H. K., C. M. Reddy, and T. I. Eclinton. 2008. Radiocarbon-based assessment of fossil fuel-derived contaminant associations in sediments. Environmental Science &amp; Technology 42:5428-5434.</t>
  </si>
  <si>
    <t>Willey, Z. and B. Chameides. 2008. Harnessing Farms and Forests in the Low-Carbon Economy. How to Create, Measure, and Verify Greenhouse Gas Offsets. Duke University Press, Durham, NC, USA/London, UK.</t>
  </si>
  <si>
    <t>Williams, C. J. and J. B. Yavitt. 2010. Temperate wetland methanogenesis: The importance of vegetation type and root ethanol production. Soil Science Society of America Journal 74:317-325.</t>
  </si>
  <si>
    <t>Alsfeld, A. J., J. L. Bowman, and A. Deller-Jacobs. 2009. Effects of woody debris, microtopography, and organic matter amendments on the biotic community of constructed depressional wetlands. Biological Conservation 142:247-255.</t>
  </si>
  <si>
    <t>Fellman, J. B., E. Hood, D. V. D'Amore, R. T. Edwards, and D. White. 2009. Seasonal changes in the chemical quality and biodegradability of dissolved organic matter exported from soils to streams in coastal temperate rainforest watersheds. Biogeochemistry 95:277-293.</t>
  </si>
  <si>
    <t>Fitzgerald, D. F., J. S. Price, and J. J. Gibson. 2003. Hillslope-swamp interactions and flow pathways in a hyper-maritime rainforest, British Columbia. Hydrological Processes 17:3005-3022.</t>
  </si>
  <si>
    <t>Booth, D. B., D. Hartley, and R. Jackson. 2002. Forest cover, impervious-surface area, and the mitigation of storm water impacts. Journal of American Water Resources Association 38:835-845.</t>
  </si>
  <si>
    <t>Brown, T. G. and G. F. Hartman. 1988. Contribution of seasonally flooded lands and minor tributaries to the production of coho salmon in Carnation Creek, British Columbia. Transactions of the American Fisheries Society 117:546-551.</t>
  </si>
  <si>
    <t>Colosimo, M. F. and P. R. Wilcock. 2007. Alluvial sedimentation and erosion in an urbanizing watershed, Gwynns Falls, Maryland. Journal of the American Water Resources Association 43:499–521.</t>
  </si>
  <si>
    <t>Cookson, N. and M. S. Schorr. 2009. Correlations of watershed housing density with environmental conditions and fish assemblages in a Tennessee Ridge and Valley stream. Journal of Freshwater Ecology 24:553-561.</t>
  </si>
  <si>
    <t>Delgado, J., N. Arroyo, J. Arevalo, and J. Fernandez-Palacios. 2007. Edge effects of roads on temperature, light, canopy cover, and canopy height in laurel and pine forests (Tenerife, Canary Islands). Landscape Urban Planning 81:328-340.</t>
  </si>
  <si>
    <t>Fausch, K. D. and T. G. Northcote. 1992. Large woody debris and salmonid habitat in a small coastal British Columbia stream. Canadian Journal of Fisheries and Aquatic Sciences 49: 682-693.</t>
  </si>
  <si>
    <t>Freeman, M. C., C. M. Pringle, and C. R. Jackson. 2007. Hydrologic connectivity and the contribution of stream headwaters to ecological integrity at regional scales. Journal of the American Water Resources Association 43:5-14.</t>
  </si>
  <si>
    <t>Hansen, A. J., R. L. Knight, J. M. Marzluff, S. Powell, K. Brown, P. H. Gude, and K. Jones. 2005. Effects of exurban development on biodiversity: patterns, mechanisms, and research needs. Ecological Applications 15:1893-1905.</t>
  </si>
  <si>
    <t>Henning, J. A., R. E. Gresswell, and I. A. Fleming. 2006. Juvenile salmonid use of freshwater emergent wetlands in the floodplain and its implications for conservation management. North American Journal of Fisheries Management 26:367-376.</t>
  </si>
  <si>
    <t>Henning, J. A., R. E. Gresswell, and I. A. Fleming. 2007. Use of seasonal freshwater wetlands by fishes in a temperate river floodplain. Journal of Fish Biology 71:476-492.</t>
  </si>
  <si>
    <t>Hepinstall, J. A., M. Alberti, and J. M. Marzluff. 2008. Predicting land cover change and avian community responses in rapidly urbanizing environments. Landscape Ecology 23:1257-1276.</t>
  </si>
  <si>
    <t>Hernandez, O., R. W. Merritt, and M. S. Wipfli. 2005. Benthic invertebrate community structure is influenced by forest succession after clearcut logging in southeastern Alaska. Hydrobiologia 533:45-59.</t>
  </si>
  <si>
    <t>Konrad, C. P., D. B. Booth, and S. J. Burges. 2005. Effects of urban development in the Puget Lowland, Washington, on interannual streamflow patterns: Consequences for channel form and streambed disturbance. Water Resources Research 41.</t>
  </si>
  <si>
    <t>LeSage, C. M., R. W. Merritt, and M. S. Wipfli. 2005. Headwater riparian invertebrate communities associated with red alder and conifer wood and leaf litter in southeastern Alaska. Northwest Science 79:218-232.</t>
  </si>
  <si>
    <t>May, C. W., R. R. Horner, J. R. Karr, B. W. Mar, and E. B. Welch. 1997. The Cumulative Effects of Urbanization on Small Streams in the Puget Sound Lowland Ecoregion. University of Washington, Seattle, WA.</t>
  </si>
  <si>
    <t>Miltner, R. J., D. White, and C. Yoder. 2004. The biotic integrity of streams in urban and suburbanizing landscapes. Landscape and Urban Planning 69:87-100.</t>
  </si>
  <si>
    <t>Morgan II, R. P., K. M. Kline, and S. F. Cushman. 2007. Relationships among nutrients, chloride and biological indices in urban Maryland streams. Urban Ecosystems 10:153-166.</t>
  </si>
  <si>
    <t>Roy, A. H., C. L. Faust, M. C. Freeman, and J. L. Meyer. 2005. Reach-scale effects of riparian forest cover on urban stream ecosystems. Canadian Journal of Fisheries and Aquatic Sciences 62:2312-2329.</t>
  </si>
  <si>
    <t>Shandas, V. and M. Alberti. 2009. Exploring the role of vegetation fragmentation on aquatic conditions: Linking upland with riparian areas in Puget Sound lowland streams. Landscape and Urban Planning 90:66-75.</t>
  </si>
  <si>
    <t>Shields, C. A., L. E. Band, N. Law, P. M. Groffman, S. S. Kaushal, K. Savvas, G. T. Fisher, and K. T. Belt. 2008. Streamflow distribution of non–point source nitrogen export from urban-rural catchments in the Chesapeake Bay watershed. Water Resources Research 44:W09416.</t>
  </si>
  <si>
    <t>Walsh, C. J. and J. Kunapo. 2009. The importance of upland flow paths in determining urban effects on stream ecosystems. Journal of the North American Benthological Society 28:977-990.</t>
  </si>
  <si>
    <t>Welsh Jr, H. H. and G. R. Hodgson. 2008. Amphibians as metrics of critical biological thresholds in forested headwater streams of the Pacific Northwest, U.S.A. Freshwater Biology 53:1470-1488.</t>
  </si>
  <si>
    <t>Wipfli, M. S. and J. Musslewhite. 2004. Density of red alder (Alnus rubra) in headwaters influences invertebrate and detritus subsidies to downstream fish habitats in Alaska. Hydrobiologia 520:153-163.</t>
  </si>
  <si>
    <t>Wipfli, M. S. 1997. Terrestrial invertebrates as salmonid prey and nitrogen sources in streams: contrasting old-growth and young-growth riparian forests in southeastern Alaska, USA. Canadian Journal of Fisheries and Aquatic Sciences 54:1259-1269.</t>
  </si>
  <si>
    <t>Wipfli, M. S., J. S. Richardson, and R. J. Naiman. 2007. Ecological linkages between headwaters and downstream ecosystems: Transport of organic matter, invertebrates, and wood down headwater channels. Journal of the American Water Resources Association 43:72-85.</t>
  </si>
  <si>
    <t>Deniseger, J., L. J. Erickson, A. Austin, M. Roch, and M. J. R. Clark. 1990. The effects of decreasing heavy metal concentrations on the biota of Buttle Lake, Vancouver Island, British Columbia. Water Resources Bulletin 24:403-416.</t>
  </si>
  <si>
    <t xml:space="preserve">Wipfli, M. S., J. S. Richardson, and R. J. Naiman. 2007. Ecological linkages between headwaters and downstream ecosystems: Transport of organic matter, invertebrates, and wood down headwater channels. Journal of the American Water Resources Association 43:72-85. </t>
  </si>
  <si>
    <t>Yoder, C. O., R. J. Miltner, and D. White. 1999. Assessing the Status of Aquatic Life Designated Uses in Urban and Suburban Watersheds. . Pages 16-28 in A. Everson et al., editor. Proceedings of National Conference on Retrofit Opportunities for Water Resource Protection in Urban Environments. Chicago, IL February 9-12, 1998. Technology Transfer and Support Division, National Risk Management Research Laboratory, Office of Research and Development, U.S. Environmental Protection Agency, Cincinnati, Ohio.</t>
  </si>
  <si>
    <t>Baxter, C. V., K. D. Fausch, and W. Carl Saunders. 2005. Tangled webs: reciprocal flows of invertebrate prey link streams and riparian zones. Freshwater Biology 50:201-220.</t>
  </si>
  <si>
    <t>Cannings, S. G. and R. A. Cannings. 1994. The Odonata of the northern Cordilleran peatlands of North America. Memoirs of the Entomological Society of Canada 169:89-110.</t>
  </si>
  <si>
    <t>Christie, K. S. and T. E. Reimchen. 2008. Presence of salmon increases passerine density on Pacific Northwest streams. The Auk 125:51-59.</t>
  </si>
  <si>
    <t>Claeson, S. M., J. L. Li, J. E. Compton, and P. A. Bisson. 2006. Response of nutrients, biofilm, and benthic insects to salmon carcass addition. Canadian Journal of Fisheries and Aquatic Sciences 63:1230-1241.</t>
  </si>
  <si>
    <t>Corcoran, R. M., J. R. Lovvorn, and P. J. Heglund. 2009. Long-term change in limnology and invertebrates in Alaskan boreal wetlands. Hydrobiologia 620:77–89.</t>
  </si>
  <si>
    <t>Fischer, J. R., M. C. Quist, S. L. Wigen, A. J. Schaefer, T. W. Stewart, and T. M. Isenhart. 2010. Assemblage and population-level responses of stream fish to riparian buffers at multiple spatial scales. Transactions of the American Fisheries Society 139:185-200.</t>
  </si>
  <si>
    <t>Frimpong, E. A., T. M. Sutton, K. J. Lim, P. J. Hrodey, B. A. Engel, T. P. Simon, J. G. Lee, and D. C. LeMaster. 2005. Determination of optimal riparian forest buffer dimensions for stream biota-landscape association models using multi metric and multi variate responses. Canadian Journal of Fisheries and Aquatic Sciences 62:1-6.</t>
  </si>
  <si>
    <t>Gende, S. M. and M. F. Willson. 2001. Passerine densities in riparian forests of southeast Alaska: potential effects of anadromous spawning salmon. The Condor 103:624-629.</t>
  </si>
  <si>
    <t>Gregory, S. V., F. J. Swanson, W. A. McKee, and K. W. Cummins. 1991. An ecosystem perspective of riparian zones: Focus on links between land and water. Bioscience 41:540-550.</t>
  </si>
  <si>
    <t>Hoover, S. E. R., L. G. W. Shannon, and J. D. Ackerman. 2007. The effect of riparian condition on invertebrate drift in mountain streams. Aquatic Sciences 69:544-553.</t>
  </si>
  <si>
    <t>Kiffney, P. M. and J. P. Bull. 2000. Factors controlling periphyton accrual during summer in headwater streams of southwestern British Columbia, Canada. Journal of Freshwater Ecology 15:339-351.</t>
  </si>
  <si>
    <t>Kiffney, P. M., J. S. Richardson, and J. P. Bull. 2003. Responses of periphyton and insects to experimental manipulation of riparian buffer width along forest streams. Journal of Applied Ecology 40:1060-1076.</t>
  </si>
  <si>
    <t>Knutson, K. L., V. Naef, and Washington (State) Department of Fish and Wildlife. 1997. Management Recommendations for Washington's Priority Habitats: Riparian. Washington Department of Fish and Wildlife, Olympia, WA.</t>
  </si>
  <si>
    <t>McDade, M. H., F. J. Swanson, W. A. McKee, J. F. Franklin, and J. Van Sickle. 1990. Source  distances for coarse woody debris entering small streams in western Oregon and Washington USA. Canadian Journal of Forest Research 20:326-330.</t>
  </si>
  <si>
    <t>Meleason, M. A., S. V. Gregory, and J. P. Bolte. 2003. Implications of riparian management strategies on wood in streams of the Pacific Northwest. Ecological Applications 13:1212-1221.</t>
  </si>
  <si>
    <t>Moldenke, A. R. and C. V. Linden. 2007. Effects of clearcutting and riparian buffers on the yield of adult aquatic macroinvertebrates from headwater streams. Forest Science 53:308-319.</t>
  </si>
  <si>
    <t>Moore, J. W. and D. E. Schindler. 2008. Biotic disturbance and benthic community dynamics in salmon-bearing streams. Journal of Animal Ecology 77:275-284.</t>
  </si>
  <si>
    <t>Murphy, M. 1995. Forestry Impacts on Freshwater Habitat of Anadromous Salmonids in the Pacific Northwest and Alaska – Requirements for Protection and Restoration. NOAA Coastal Ocean Program Decision Analysis Series No. 7. U.S. Department of Commerce, National Oceanic and Atmospheric Administration Coastal Ocean Office, NOAA Coastal Ocean Office, Silver Springs, MD.</t>
  </si>
  <si>
    <t>Naiman, R. J., R. E. Bilby, and P. A. Bisson. 2000. Riparian ecology and management in the Pacific Coastal Rain Forest. Bioscience 50:996-1011.</t>
  </si>
  <si>
    <t>Ober, H. K. and J. P. Hayes. 2008. Influence of forest riparian vegetation on abundance and biomass of nocturnal flying insects. Forest Ecology and Management 256:1124-1132.</t>
  </si>
  <si>
    <t>Richards, C., L. B. Johnson, and G. E. Host. 1996. Landscape-scale influences on stream habitats and biota. Canadian Journal of Fisheries and Aquatic Sciences 53:295-311.</t>
  </si>
  <si>
    <t>Richardson, J. S., R. E. Bilby, and C. A. Bondar. 2005. Organic matter dynamics in small streams of the Pacific Northwest. Journal of the American Water Resources Association 41:921-934.</t>
  </si>
  <si>
    <t>Robison, E. G. and R. L. Beschta. 1990. Identifying trees in riparian areas that can provide coarse woody debris to streams. Forest Science 36:790-801.</t>
  </si>
  <si>
    <t>Roth, B. M., I. C. Kaplan, G. G. Sass, P. T. Johnson, A. E. Marburg, A. C. Yannarell, T. D. Havlicek, T. V. Willis, M. G. Turner, and S. R. Carpenter. 2007. Linking terrestrial and aquatic ecosystems: The role of woody habitat in lake food webs. Ecological Modelling 203:439-452.</t>
  </si>
  <si>
    <t>Utz, R. M., R. H. Hilderbrand, and D. M. Boward. 2009. Identifying regional differences in threshold responses of aquatic invertebrates to land cover gradients. Ecological Indicators 9:556-567.</t>
  </si>
  <si>
    <t>Wenger, S. and L. Fowler. 2000. Protecting stream and river corridors : creating effective local riparian buffer ordinances. Carl Vinson Institute of Government, the University of Georgia, Athens, GA.</t>
  </si>
  <si>
    <t>Wipfli, M. S., J. S. Richardson, and R. J. Naiman. 2007. Ecological linkages between headwaters and downstream ecosystems: transport of organic matter, invertebrates, and wood down headwater channels. Journal of the American Water Resources Association 43:72-85.</t>
  </si>
  <si>
    <t>Ball, B. A., J. S. Kominoski, H. E. Adams, S. E. Jones, E. S. Kane, T. D. Loecke, W. M. Mahaney, J. P. Martina, C. M. Prather, T. M. P. Robinson, and C. T. Solomon. 2010. Direct and terrestrial vegetation-mediated effects of environmental change on aquatic ecosystem processes. Bioscience 60:590-601.</t>
  </si>
  <si>
    <t>Chan-McLeod, A. C. A. and A. Moy. 2007. Evaluating residual tree patches as stepping stones and short-term refugia for red-legged frogs. Journal of Wildlife Management 71:1836-1844.</t>
  </si>
  <si>
    <t>Cushman, S. A. 2006. Effects of habitat loss and fragmentation on amphibians: a review and prospectus. Biological Conservation 128:231-240.</t>
  </si>
  <si>
    <t>Eigenbrod, F., S. J. Hecnar, and L. Fahrig. 2008a. Accessible habitat: an improved measure of the effects of habitat loss and roads on wildlife populations. Landscape Ecology:159-168.</t>
  </si>
  <si>
    <t>Eigenbrod, F., S. J. Hecnar, and L. Fahrig. 2008b. The relative effects of road traffic and forest cover on anuran populations. Biological Conservation 141:35-46.</t>
  </si>
  <si>
    <t>Hawkins, C. P., M. L. Murphy, N. H. Anderson, and M. A. Wilzbach. 1983. Density of fish and salamanders in relation to riparian canopy and physical habitat in streams of the northwestern United-States. Canadian Journal of Fisheries and Aquatic Sciences 40:1173-1185.</t>
  </si>
  <si>
    <t>Marsh, D. M. 2007. Edge effects of gated and ungated roads on terrestrial salamanders. Journal of Wildlife Management 71:389-394.</t>
  </si>
  <si>
    <t>Semlitsch, R. D., T. J. Ryan, K. Ramed, M. Chatfield, B. Drehman, N. Pekarek, M. Spath, and A. Watland. 2007. Salamander abundance along road edges and within abandoned logging roads in Appalachian forests. Conservation Biology 21:159-167.</t>
  </si>
  <si>
    <t>Burger, J. 1981. The effect of human activity on birds at a coastal bay. Biological Conservation 21:231-241.</t>
  </si>
  <si>
    <t>Epners, C. A., S. E. Bayley, J. E. Thompson, and W. M. Tonn. 2010. Influence of fish assemblage and shallow lake productivity on waterfowl communities in the Boreal Transition Zone of western Canada. Freshwater Biology 55:2265-2280.</t>
  </si>
  <si>
    <t>Haig, S. M., D. W. Mehlman, and L. W. Oring. 1998. Avian movements and wetland connectivity in landscape conservation. Conservation Biology 12:749-758.</t>
  </si>
  <si>
    <t>Klein, M. L., S. R. Humphrey, and H. F. Percival. 1995. Effects of ecotourism on distribution of waterbirds in a wildlife refuge. Conservation Biology 9:1454-1465.</t>
  </si>
  <si>
    <t>Savard, J.-P. L., W. S. Boyd, and G. E. J. Smith. 1994. Waterfowl–wetland relationships in the Aspen Parkland of British Columbia: comparison of analytical methods. Hydrobiologia 279/280:309-325.</t>
  </si>
  <si>
    <t>Taft, O. W. and S. M. Haig. 2005. The value of agricultural wetlands as invertebrate resources for wintering shorebirds. Agriculture, Ecosystems &amp; Environment 110:249-256.</t>
  </si>
  <si>
    <t>Thormann, M. N. and S. E. Bayley. 1997. Aboveground plant production and nutrient content of the vegetation in six peatlands in Alberta, Canada. Plant Ecology 131:1-16.</t>
  </si>
  <si>
    <t>Andren, H. 1994. Effects of habitat fragmentation on birds and mammals in landscapes with different proportions of suitable habitat – a review. Oikos 71:355-366.</t>
  </si>
  <si>
    <t>Awade, M. and J. P. Metzger. 2008. Using gap-crossing capacity to evaluate functional connectivity of two Atlantic rainforest birds and their response to fragmentation. Austral Ecology 33:863 - 871.</t>
  </si>
  <si>
    <t>Aznar, J. C. and A. Desrochers. 2008. Building for the future: Abandoned beaver ponds promote bird diversity. Ecoscience 15:250-257.</t>
  </si>
  <si>
    <t>Barber, J. R., K. R. Crooks, and K. M. Fristrup. 2010. The costs of chronic noise exposure for terrestrial organisms. Trends in Ecology &amp; Evolution 25:180-189.</t>
  </si>
  <si>
    <t>Belisle, M. and A. Desrochers. 2002. Gap-crossing decisions by forest birds: an empirical basis for parameterizing spatially-explicit, individual-based models. Landscape Ecology 17:219-231.</t>
  </si>
  <si>
    <t>Benitez-Lopez, A., R. Alkemade, and P. A. Verweij. 2010. The impacts of roads and other infrastructure on mammal and bird populations: A meta-analysis. Biological Conservation 143:1307-1316.</t>
  </si>
  <si>
    <t>Chace, J. F. and J. J. Walsh. 2006. Urban effects on native avifauna: a review. Landscape and Urban Planning 74:46-69.</t>
  </si>
  <si>
    <t>Clevenger, A. P., B. Chruszczc, and K. E. Gunson. 2003. Spatial patterns and factors influencing small vertebrate fauna road-kill aggregations. Biological Conservation 109:15-26.</t>
  </si>
  <si>
    <t>Creegan, H. P. and P. E. Osborne. 2005. Gap-crossing decisions of woodland songbirds in Scotland: an experimental approach. Journal of Applied Ecology 42:678-687.</t>
  </si>
  <si>
    <t>Desrochers, A. and S. J. Hannon. 1997. Gap crossing decisions by forest songbirds during the post-fledging period. Conservation Biology 11:1204-1210.</t>
  </si>
  <si>
    <t>Donnelly, R. and J. M. Marzluff. 2004. Importance of reserve size and landscape context to urban bird conservation. Conservation Biology 18:733-745.</t>
  </si>
  <si>
    <t>Donnelly, R. and J. Marzluff. 2006. Relative importance of habitat quantity, structure, and spatial pattern to birds in urbanizing environments. Urban Ecosystems 9:99-117.</t>
  </si>
  <si>
    <t>Drever, M. C. and K. Martin. 2010. Response of woodpeckers to changes in forest health and harvest: Implications for conservation of avian biodiversity. Forest Ecology and Management 259:958-966.</t>
  </si>
  <si>
    <t xml:space="preserve">Fahrig, L. and T. Rytwinski. 2009. Effects of roads on animal abundance: an empirical review and synthesis. Ecology and Society 14:21. http://www.ecologyandsociety.org/vol14/iss21/art21/ </t>
  </si>
  <si>
    <t>Forman, R. T. T., B. Reineking, and A. M. Hersperger. 2002. Road traffic and nearby grassland bird patterns in a suburbanizing landscape. Environmental Management 29:782-800.</t>
  </si>
  <si>
    <t>Grindal, S. D., J. L. Morissette, and R. M. Brigham. 1999. Concentration of bat activity in riparian habitats over an elevational gradient. Canadian Journal of Zoology 77:972-977.</t>
  </si>
  <si>
    <t>Grindal, S. D. and R. M. Brigham. 1999. Impacts of forest harvesting on habitat use by foraging insectivorous bats at different spatial scales. Ecoscience 6:25-34.</t>
  </si>
  <si>
    <t>Grover, A. M. and G. A. Baldassarre. 1995. Bird species richness within beaver ponds in south-central New York. Wetlands 15:108-118.</t>
  </si>
  <si>
    <t>Lees, A. C. and C. A. Peres. 2009. Gap-crossing movements predict species occupancy in Amazonian Forest Fragments. Oikos 118:280-290.</t>
  </si>
  <si>
    <t>Martin, J. L., S. A. Stockton, S. Allombert, and A. J. Gaston. 2010. Top-down and bottom-up consequences of unchecked ungulate browsing on plant and animal diversity in temperate forests: lessons from a deer introduction. Biological Invasions 12:353-371.</t>
  </si>
  <si>
    <t>Massey, B., R. Bowen, C. Griffin, and K. McGarigal. 2008. A classification-tree analysis of nesting habitat in an island population of Northern Harriers. Condor 110:177-183.</t>
  </si>
  <si>
    <t>Mazerolle, M. J., B. Drolet, and A. Desrochers. 2001. Small-mammal responses to peat mining of southeastern Canadian bogs. Canadian Journal of Zoology 79:296-302.</t>
  </si>
  <si>
    <t>Minor, E. and D. Urban. 2010. Forest bird communities across a gradient of urban development. Urban Ecosystems 13:51-71.</t>
  </si>
  <si>
    <t>Oneal, A. S. and J. T. Rotenberry. 2009. Scale-dependent habitat relations of birds in riparian corridors in an urbanizing landscape. Landscape and Urban Planning 92:264-275.</t>
  </si>
  <si>
    <t>Ortega, Y. K. and D. E. Capen. 2002. Roads as edges: effects on birds in forested landscapes. Forest Science 48:381-390.</t>
  </si>
  <si>
    <t>Ott, R. A. and G. P. Juday. 2002. Canopy gap characteristics and their implications for management in the temperate rainforests of southeast Alaska. Forest Ecology and Management 159:271-291.</t>
  </si>
  <si>
    <t>Pennington, D. N. 2008. Riparian Bird Communities Along an Urban Gradient: Effects of Local Vegetation, Landscape Biophysical Heterogeneity, and Spatial Scale. Ph. D. Dissertation. University of Minnesota, Twin Cities, MN.</t>
  </si>
  <si>
    <t>Poulin, J.-F., M.-A. Villard, M. Edman, P. J. Goulet, and A.-M. Eriksson. 2008. Thresholds in nesting habitat requirements of an old forest specialist, the Brown Creeper (Certhia americana), as conservation targets. Biological Conservation 141:1129-1137.</t>
  </si>
  <si>
    <t>Rail, J. F., M. Darveau, A. Desrochers, and J. Huot. 1997. Territorial responses of boreal forest birds to habitat gaps. Condor 99:976-980.</t>
  </si>
  <si>
    <t>Robertson, O. J. and J. Q. Radford. 2009. Gap-crossing decisions of forest birds in a fragmented landscape. Austral Ecology 34:435-446.</t>
  </si>
  <si>
    <t>Schaub, A., J. Ostwald, and B. M. Siemers. 2008. Foraging bats avoid noise. Journal of Experimental Biology 211:3174-3180.</t>
  </si>
  <si>
    <t>Schieck, J., K. Lertzman, B. Nyberg, and R. Page. 1995. Effects of patch size on birds in old-growth montane forests. Conservation Biology 9:1072-1084.</t>
  </si>
  <si>
    <t>Shirley, S. M. 2005. Habitat use by riparian and upland birds in oldgrowth coastal British Columbia rainforest. Wilson Bulletin 117:245-257.</t>
  </si>
  <si>
    <t>Slabbekoorn, H. and E. A. P. Ripmeester. 2008. Birdsong and anthropogenic noise: implications and applications for conservation. Molecular Ecology 17:72-83.</t>
  </si>
  <si>
    <t>Smith, C. M. and D. G. Wachob. 2006. Trends associated with residential development in riparian breeding bird habitat along the Snake River in Jackson Hole, WY, USA: Implications for conservation planning. Biological Conservation 128:431-446.</t>
  </si>
  <si>
    <t>Sperry, D. M., M. Kissling, and T. L. George. 2008. Avian nest survival in coastal forested buffer strips on Prince of Wales Island, Alaska. Condor 110:740-746.</t>
  </si>
  <si>
    <t>Thiemann, J. A., C. R. Webster, M. A. Jenkins, P. M. Hurley, J. H. Rock, and P. S. White. 2009. Herbaceous-layer impoverishment in a post-agricultural southern Appalachian landscape. American Midland Naturalist 162:148-168.</t>
  </si>
  <si>
    <t>Tremblay, M. A. and C. C. St. Clair. 2009. Factors affecting the permeability of transportation and riparian corridors to the movements of songbirds in an urban landscape. Journal of Applied Ecology 46:1314-1322.</t>
  </si>
  <si>
    <t>Tremblay, M. A. and C. C. St Clair. 2011. Permeability of a heterogeneous urban landscape to the movements of forest songbirds. Journal of Applied Ecology 48:679-688.</t>
  </si>
  <si>
    <t>Trombulak, S. C. and C. A. Frissell. 2000. Review of ecological effects of roads on terrestrial and aquatic communities. Conservation Biology 14:18-30.</t>
  </si>
  <si>
    <t>Vermaat, J. E., N. Vigneau, and N. Omtzigt. 2008. Viability of meta-populations of wetland birds in a fragmented landscape: testing the key-patch approach. Biodiversity and Conservation 17:2263-2273.</t>
  </si>
  <si>
    <t>Whitaker, D. M., A. L. Carroll, and W. A. Montevecchi. 2000. Elevated numbers of flying insects and insectivorous birds in riparian buffer strips. Canadian Journal of Zoology 78:740-747.</t>
  </si>
  <si>
    <t>Zmihorski, M. 2010. The effect of windthrow and its management on breeding bird communities in a managed forest. Biodiversity and Conservation 19:1871-1882.</t>
  </si>
  <si>
    <t>Savage, J., T. A. Wheeler, A. M. A. Moores, and A. G. Taillefer. 2011. Effects of habitat size, vegetation cover, and surrounding land use on Diptera diversity in temperate Nearctic bogs. Wetlands 31:125-134.</t>
  </si>
  <si>
    <t>Most waterbirds require some unflooded shoreline for nesting, while also needing large areas of water and emergent vegetation for feeding.</t>
  </si>
  <si>
    <t>Function Score for Amphibian Habitat</t>
  </si>
  <si>
    <t>Function Score for Resident Fish Habitat</t>
  </si>
  <si>
    <t xml:space="preserve"> </t>
  </si>
  <si>
    <t>Anderson, P. D. and M. A. Meleason. 2009. Discerning responses of down wood and understory vegetation abundance to riparian buffer width and thinning treatments: an equivalence-inequivalence approach. Canadian Journal of Forest Research 39:2470-2485.</t>
  </si>
  <si>
    <t>Baldwin, L. K. and G. E. Bradfield. 2007. Bryophyte responses to fragmentation in temperate coastal rainforests: a functional group approach. Biological Conservation 136:408-422.</t>
  </si>
  <si>
    <t>Bayley, S. E. and J. K. Guimond. 2008. Effects of river connectivity on marsh vegetation community structure and species richness in montane floodplain wetlands in Jasper National Park, Alberta, Canada. Ecoscience 15:377-388.</t>
  </si>
  <si>
    <t>Bayley, S. E. and J. K. Guimond. 2009. Above ground biomass and nutrient limitations in relation to river connectivity in montane floodplain marshes. Wetlands 29:1243-1254.</t>
  </si>
  <si>
    <t>Bedford, B. L. and K. S. Godwin. 2003. Fens of the United States: distribution, characteristics, and scientific connection versus legal isolation. Wetlands 23:608-629.</t>
  </si>
  <si>
    <t>Bliss, S. A. and P. H. Zedler. 1997. The germination process in vernal pools: sensitivity to environmental conditions and effects on community structure. Oecologia 113:67-73.</t>
  </si>
  <si>
    <t>Boudreault, C., Y. Bergeron, P. Drapeau, and L. M. Loopez. 2008. Edge effects on epiphytic lichens in remnant stands of managed landscapes in the eastern boreal forest of Canada. Forest Ecology and Management 255:1461-1471.</t>
  </si>
  <si>
    <t>Cadenasso, M. L. and S. T. A. Pickett. 2001. Effect of edge structure on the flux of species into forest interiors. Conservation Biology 15:91-97.</t>
  </si>
  <si>
    <t>DeGasperi, C. L., H. B. Berge, K. R. Whiting, J. J. Burkey, J. L. Cassin, and R. R. Fuerstenberg. 2009. LIinking hydrologic alteration to biological impairment in urbanizing streams of the Puget Lowland, Washington, USA. Journal of the American Water Resources Association 45:512-533.</t>
  </si>
  <si>
    <t>Ehrenfeld, J. G., B. Ravit, and K. Elgersma. 2005. Feedback in the plant-soil system. Annual Review of Environment and Resources 30:75-115.</t>
  </si>
  <si>
    <t>Gignac, L. D. and M. R. T. Dale. 2007. Effects of size, shape, and edge on vegetation in remnants of the upland boreal mixed-wood forest in agro-environments of Alberta, Canada. Canadian Journal of Botany 85:273-284.</t>
  </si>
  <si>
    <t>Heithecker, T. D. and C. B. Halpern. 2007. Edge-related gradients in microclimate in forest aggregates following structural retention harvests in western Washington. Forest Ecology and Management 248:163-173.</t>
  </si>
  <si>
    <t>Houlahan, J. E., P. A. Keddy, K. Makkay, and C. S. Findlay. 2006. The effects of adjacent land use on wetland species richness and community composition. Wetlands 26:79-96.</t>
  </si>
  <si>
    <t>Hylander, K., B. G. Jonsson, and C. Nilsson. 2002. Evaluating buffer strips along boreal streams using bryophytes as indicators. Ecological Applications 12:797-806.</t>
  </si>
  <si>
    <t>Magee, T. K. and M. E. Kentula. 2005. Response of wetland plant species to hydrologic conditions. Wetlands Ecology and Management 13:163-181.</t>
  </si>
  <si>
    <t>Malmer, N., C. Albinsson, B. M. Svensson, and B. Wallén. 2003. Interferences between Sphagnum and vascular plants: effects on plant community structure and peat formation. Oikos 100:469-482.</t>
  </si>
  <si>
    <t>McClellan, M. H., T. Brock, and J. F. Baichtal. 2003. Calcareous fens in southeast Alaska. US Department of Agriculture, Forest Service, Pacific Northwest Research Station, Portland, OR.</t>
  </si>
  <si>
    <t>Moore, T. R. 1989. Growth and net production of Sphagnum at five fen sites, subarctic eastern Canada. Canadian Journal of Botany 67:1203–1207.</t>
  </si>
  <si>
    <t>Nekola, J. C. and P. S. White. 1999. Distance decay of similarity in biogeography and ecology. Journal of Biogeography 26:867–878.</t>
  </si>
  <si>
    <t>Pollock, M. M., R. J. Naiman, and T. A. Hanley. 1998. Plant species richness in riparian wetlands - a test of biodiversity theory. Ecology 79:94-105.</t>
  </si>
  <si>
    <t>Radies, D., D. Coxson, C. Johnson, and K. Konwicki. 2009. Predicting canopy macrolichen diversity and abundance within old-growth inland temperate rainforests. Forest Ecology and Management 259:86-97.</t>
  </si>
  <si>
    <t>Rogers, D. A., T. P. Rooney, T. J. Hawbaker, V. C. Radeloff, and D. M. Waller. 2009. Paying the extinction debt in southern Wisconsin forest understories. Conservation Biology 23:1497-1506.</t>
  </si>
  <si>
    <t>Rooney, R. C. and S. E. Bayley. 2011. Relative influence of local- and landscape-level habitat quality on aquatic plant diversity in shallow open-water wetlands in Alberta's boreal zone: direct and indirect effects. Landscape Ecology 26:1023-1034.</t>
  </si>
  <si>
    <t>Šamonil, P., K. Král, and L. Hort. 2010. The role of tree uprooting in soil formation: A critical literature review. Geoderma 157:65-79.</t>
  </si>
  <si>
    <t>Wright, J. P., C. G. Jones, and A. S. Flecker. 2002. An ecosystem engineer, the beaver, increases species richness at the landscape scale. Oecologia 132:96-101.</t>
  </si>
  <si>
    <t>Bahuguna, D., S. J. Mitchell, and Y. Miquelajauregui. 2010. Windthrow and recruitment of large woody debris in riparian stands. Forest Ecology and Management 259:2048-2055.</t>
  </si>
  <si>
    <t>Cole, C., R. Brooks, and D. Wardrop. 1997. Wetland hydrology as a function of hydrogeomorphic (HGM) subclass. Wetlands 17:456-467.</t>
  </si>
  <si>
    <t>Engelhardt, K. A. M. and J. A. Kadlec. 2001. Species traits, species richness and the resilience of wetlands after disturbance. Journal of Aquatic Plant Management 39:36-39.</t>
  </si>
  <si>
    <t>Hennings, L. A. and W. D. Edge. 2003. Riparian bird community structure in Portland, Oregon: habitat, urbanization, and spatial scale patterns. The Condor 105:288-302.</t>
  </si>
  <si>
    <t>Leibowitz, S. G. 2003. Isolated wetlands and their functions: An ecological perspective. Wetlands 23:517-531.</t>
  </si>
  <si>
    <t>Martin, D. J. and R. A. Grotefendt. 2007. Stand mortality in buffer strips and the supply of woody debris to streams in Southeast Alaska. Canadian Journal of Forest Research 37:36-49.</t>
  </si>
  <si>
    <t>Martin, D. B. and W. Hartman. 1987. The effect of cultivation on sediment composition and deposition in prairie pothole wetlands. Water Air Soil Pollution 34:45-53.</t>
  </si>
  <si>
    <t>Oberts, G. L. 1977. Water Quality Effects of Potential Urban Best Management Practices: A Literature Review. Technical Bulletin No. 97. Wisconsin Department of Natural Resources, Madison, WI.</t>
  </si>
  <si>
    <t>Stohlgren, T. J., G. W. Chong, L. D. Schell, K. A. Rimar, Y. Otsuki, M. Lee, M. A. Kalkhan, and C. A. Villa. 2002. Assessing vulnerability to invasion by nonnative plant species at multiple spatial scales. Environmental Management 29:566-577.</t>
  </si>
  <si>
    <t>Werner, K. J. and J. B. Zedler. 2002. How sedge meadow soils, microtopography, and vegetation respond to sedimentation. Wetlands 22:451-466.</t>
  </si>
  <si>
    <t>Whigham, D. F. and T. E. Jordan. 2003. Isolated wetlands and water quality. Wetlands 23:541-549.</t>
  </si>
  <si>
    <t>Whited, P. M. 2001. Sedimentation of depressional wetlands in agricultural settings. Wetland Restoration, Enhancement, and Management http://www.sedlab.olemiss.edu/projects/rodrigue/restoration_technote/IVB.pdf.</t>
  </si>
  <si>
    <t>Wigand, C., R. A. McKinney, M. A. Charpentier, M. M. Chintala, and G. B. Thursby. 2003. Relationships of nitrogen loadings, residential development, and physical characteristics with plant structure in New England salt marshes. Estuaries 26:1494-1504.</t>
  </si>
  <si>
    <t>Soil Texture</t>
  </si>
  <si>
    <t>(2*MAX(HistAccum, PhysAccum) + Productiv +3*MethLimit) /6</t>
  </si>
  <si>
    <t xml:space="preserve">Soils with a thick organic layer have the most carbon available for export. However, moderately coarse soils (silts, loams) are better-aerated, less acidic, and thus can have greater plant productivity. Very coarse soils, unless flooded regularly by rivers, tend to be nutrient-poor thus limiting plant productivity. However, their presence may indicate periodic exposure to water currents capable of exporting carbon, and coarse soils sometimes support greater plant productivity because greater inflitration can reduce the frequency of anoxic conditions that stifle productivity of some rooted plants. </t>
  </si>
  <si>
    <t>Non-vegetated Aquatic Cover</t>
  </si>
  <si>
    <t>Isolated Island</t>
  </si>
  <si>
    <t>Flat Shoreline Extent</t>
  </si>
  <si>
    <t>Annual Water Fluctuation Range</t>
  </si>
  <si>
    <t>Use of the AA by beaver during the past 5 years is (select most applicable ONE):</t>
  </si>
  <si>
    <t>Indicators</t>
  </si>
  <si>
    <t>Accelerated Inputs of Contaminants and/or Salts</t>
  </si>
  <si>
    <t>Accelerated Inputs of Nutrients</t>
  </si>
  <si>
    <t>The need to cool surface waters is likely to be greatest at locations that are the region's warmest.</t>
  </si>
  <si>
    <t>Because actual data on nitrate loads are lacking for many wetland watersheds, this approximation based on a host of N-generating activities is included as well.</t>
  </si>
  <si>
    <t>Plants are more productive at warmer soil or sediment temperatures, and this supports higher productivity of aquatic insects and ultimately resident fish. Risk of winterkill by long-duration ice cover also may be less in warmer parts of the region.</t>
  </si>
  <si>
    <t>Warmth10</t>
  </si>
  <si>
    <t>Plants are more productive at warmer soil or sediment temperatures, and this supports higher productivity of aquatic insects.</t>
  </si>
  <si>
    <t>warmth8</t>
  </si>
  <si>
    <t>Warmer mean annual temperature implies higher aquatic productivity and a longer period during which surface waters remain ice-free and thus usable by waterbirds.</t>
  </si>
  <si>
    <t>Wetlands in regions with colder temperatures and shorter growing seasons take more time to recover from disturbances, and thus may be considered to be more sensitive.</t>
  </si>
  <si>
    <t>Doerr, S. H., C. T. Llewellyn, P. Douglas, C. P. Morley, K. A. Manwaring, and C. Haskins. 2005. Extraction of compounds associated with water repellency in sandy soils of different origin. Australian Journal of Soil Research 43:225.</t>
  </si>
  <si>
    <t>Distance to Nearest Maintained Road</t>
  </si>
  <si>
    <t>North-facing wetlands are likely to be more shaded and thus cooler and more capable of contributing cool water to downslope water bodies.</t>
  </si>
  <si>
    <t>There is more opportunity for suspended sediments to be trapped by a wetland (and thus more value to this function) if the wetland contains surface water which facilitates transport of suspended sediment. into the wetland.</t>
  </si>
  <si>
    <t>SatPct2</t>
  </si>
  <si>
    <t>SatPct3</t>
  </si>
  <si>
    <t>AVERAGE(SatPct, Persis, DomDepth, Fluctu)</t>
  </si>
  <si>
    <t>SatPct4</t>
  </si>
  <si>
    <t>Stressor Subscore=</t>
  </si>
  <si>
    <t>The larvae of many wetland invertebrates require surface water, so the absence or scarcity of that limits aquatic invertebrate richness.</t>
  </si>
  <si>
    <t>Visib12</t>
  </si>
  <si>
    <t>PopCtr12</t>
  </si>
  <si>
    <t>Warmth12</t>
  </si>
  <si>
    <t>SatPct_S</t>
  </si>
  <si>
    <r>
      <t xml:space="preserve">Assuming access permission was granted, select </t>
    </r>
    <r>
      <rPr>
        <b/>
        <sz val="10"/>
        <rFont val="Arial Narrow"/>
        <family val="2"/>
      </rPr>
      <t xml:space="preserve">ALL </t>
    </r>
    <r>
      <rPr>
        <sz val="10"/>
        <rFont val="Arial Narrow"/>
        <family val="2"/>
      </rPr>
      <t>statements that are true of the AA as it currently exists:</t>
    </r>
  </si>
  <si>
    <t>The frequency of most recreational visits declines with increasing distance from roads.</t>
  </si>
  <si>
    <t>DistRdPU</t>
  </si>
  <si>
    <t>RecUse</t>
  </si>
  <si>
    <t>Enrich</t>
  </si>
  <si>
    <t>Hydrologic Stressors</t>
  </si>
  <si>
    <t>Water Quality Stressors</t>
  </si>
  <si>
    <t>Fragmentation Stressors</t>
  </si>
  <si>
    <t>Disturbance Stressors</t>
  </si>
  <si>
    <t>VisibWet</t>
  </si>
  <si>
    <t>BuffDisturbTyp</t>
  </si>
  <si>
    <t>OpenPonded7</t>
  </si>
  <si>
    <t>Interspers2</t>
  </si>
  <si>
    <t>PondedPct6</t>
  </si>
  <si>
    <t>Lack of physical barriers, provision of trails, and interpretive signs encourage greater public use of areas. However, some apparent barriers (e.g., deep water, dense brush) may be barriers only to summer recreation; frozen wetlands may enjoy considerable wintertime use.</t>
  </si>
  <si>
    <t>OF24</t>
  </si>
  <si>
    <t>OF25</t>
  </si>
  <si>
    <t>The longer the hydrologic path length, the greater the friction provided and thus the most effective a wetland potentially is at slowing or desynchonizing the downslope movement of runoff.</t>
  </si>
  <si>
    <t>Longer flow paths within a wetland allow more time and opportunity for suspended sediments to be deposited.</t>
  </si>
  <si>
    <t>Phosphorus retention often correlates with detention time, which in turn correlates with flow path length within a wetland.</t>
  </si>
  <si>
    <t>N removal often correlates with detention time, which in turn correlates with flow path length within a wetland.</t>
  </si>
  <si>
    <t>Longer flow paths allow for more interaction between runoff and wetland vegetation, which potentially leads to removal and export of more decomposed organic matter.</t>
  </si>
  <si>
    <t xml:space="preserve">The water regimes of wetlands whose catchments are small relative to wetland size are often more precarious and sensitive to landscape alterations (Fitzgerald et al. 2003). </t>
  </si>
  <si>
    <t>FlowDist2</t>
  </si>
  <si>
    <t>FlowDist3</t>
  </si>
  <si>
    <t>Interspers3</t>
  </si>
  <si>
    <t>Algae3</t>
  </si>
  <si>
    <t>Nsource4</t>
  </si>
  <si>
    <t>Warmth</t>
  </si>
  <si>
    <t xml:space="preserve">Interception and/or Erosion Resistance </t>
  </si>
  <si>
    <t>Redox</t>
  </si>
  <si>
    <t>WetPctCA4</t>
  </si>
  <si>
    <t>FloDist4</t>
  </si>
  <si>
    <t>Warmth4</t>
  </si>
  <si>
    <t>SoilDisturb5</t>
  </si>
  <si>
    <t>Warmth5</t>
  </si>
  <si>
    <t>Sedge5</t>
  </si>
  <si>
    <t>Warmth6</t>
  </si>
  <si>
    <t>FloDist6</t>
  </si>
  <si>
    <t>Wettype6</t>
  </si>
  <si>
    <t>Interspers6</t>
  </si>
  <si>
    <t>AVERAGE(GroundW, TidalProx, Elev, Wettype, Karst, Nfix)</t>
  </si>
  <si>
    <t>Beaver9</t>
  </si>
  <si>
    <t>Core9</t>
  </si>
  <si>
    <t>DistRd10</t>
  </si>
  <si>
    <t>Core10</t>
  </si>
  <si>
    <t>DepthDiv8</t>
  </si>
  <si>
    <t>HerbDiv8</t>
  </si>
  <si>
    <r>
      <t>Burger, J. and M. Gochfeld. 1991. Human activity influence and diurnal and nocturnal foraging of sanderlings (</t>
    </r>
    <r>
      <rPr>
        <i/>
        <sz val="10"/>
        <rFont val="Arial Narrow"/>
        <family val="2"/>
      </rPr>
      <t>Calidris alba</t>
    </r>
    <r>
      <rPr>
        <sz val="10"/>
        <rFont val="Arial Narrow"/>
        <family val="2"/>
      </rPr>
      <t>). Condor 93:259-265.</t>
    </r>
  </si>
  <si>
    <t>Algae12</t>
  </si>
  <si>
    <r>
      <t>Hood, G. A. and S. E. Bayley. 2008. Beaver (</t>
    </r>
    <r>
      <rPr>
        <i/>
        <sz val="10"/>
        <rFont val="Arial Narrow"/>
        <family val="2"/>
      </rPr>
      <t>Castor canadensis</t>
    </r>
    <r>
      <rPr>
        <sz val="10"/>
        <rFont val="Arial Narrow"/>
        <family val="2"/>
      </rPr>
      <t>) mitigate the effects of climate on the area of open water in boreal wetlands in western Canada. Biological Conservation 141:556-567.</t>
    </r>
  </si>
  <si>
    <t>AVERAGE(Convenience, Invest, RecPot)</t>
  </si>
  <si>
    <t xml:space="preserve">Within or near the AA, there is an interpretive center, trails with interpretive signs or brochures, and/or regular guided interpretive tours. </t>
  </si>
  <si>
    <t>BMP - Soils</t>
  </si>
  <si>
    <t>BMP - Wildlife Protection</t>
  </si>
  <si>
    <t>BMPsoilsPU</t>
  </si>
  <si>
    <t>BMPwildPU</t>
  </si>
  <si>
    <t>BMP11</t>
  </si>
  <si>
    <t>BMP12</t>
  </si>
  <si>
    <t>AVERAGE(Corea, Coreb, BMP, _Tox)</t>
  </si>
  <si>
    <t>BMP13</t>
  </si>
  <si>
    <t>BMPsoils20</t>
  </si>
  <si>
    <t>_IBA13</t>
  </si>
  <si>
    <t>Rare13</t>
  </si>
  <si>
    <t>RareHerb</t>
  </si>
  <si>
    <t>Calmé, S. and A. Desrochers. 2000. Biogeographic aspects of the distribution of bird species breeding in Québec’s peatlands. Journal of Biogeography 27: 725–732.</t>
  </si>
  <si>
    <r>
      <t>Bosschieter, L. and P. W. Goedhart. 2005. Gap crossing decisions by reed warblers (</t>
    </r>
    <r>
      <rPr>
        <i/>
        <sz val="10"/>
        <rFont val="Arial Narrow"/>
        <family val="2"/>
      </rPr>
      <t>Acrocephalus scirpaceus</t>
    </r>
    <r>
      <rPr>
        <sz val="10"/>
        <rFont val="Arial Narrow"/>
        <family val="2"/>
      </rPr>
      <t>) in agricultural landscapes. Landscape Ecology 20:455–468.</t>
    </r>
  </si>
  <si>
    <t>Bakker, V. J. and D. H. Van Vuren. 2004. Gap‐crossing decisions by the red squirrel, a forest‐dependent small mammal. Conservation Biology 18:689-697.</t>
  </si>
  <si>
    <r>
      <t>Flaherty, E. A., W. P. Smith, S. Pyare, and M. Ben-David. 2008. Experimental trials of the Northern flying squirrel (</t>
    </r>
    <r>
      <rPr>
        <i/>
        <sz val="10"/>
        <rFont val="Arial Narrow"/>
        <family val="2"/>
      </rPr>
      <t>Glaucomys sabrinus</t>
    </r>
    <r>
      <rPr>
        <sz val="10"/>
        <rFont val="Arial Narrow"/>
        <family val="2"/>
      </rPr>
      <t>) traversing managed rainforest landscapes: perceptual range and fine-scale movements. Canadian Journal of Zoology-Revue Canadienne De Zoologie 86:1050-1058.</t>
    </r>
  </si>
  <si>
    <t>Constricted</t>
  </si>
  <si>
    <t>BuffCovTyp4</t>
  </si>
  <si>
    <t>Island13</t>
  </si>
  <si>
    <t>PondPct4</t>
  </si>
  <si>
    <t>Infiltration, and thus deposition of sediment suspended in runoff, is potentially greater in areas where water and soils do not remain frozen for long periods. Wetlands tend to be ice-covered for shorter duration, thus reducing the erosion of sediment from their shorelines as a result of ice scour. Mean annual temperature is one indicator of the likelihood of this condition.</t>
  </si>
  <si>
    <t>The effectiveness for storing runoff or delaying the downslope movement of surface water for long or short periods.</t>
  </si>
  <si>
    <t>WS</t>
  </si>
  <si>
    <t>WC</t>
  </si>
  <si>
    <t>SR</t>
  </si>
  <si>
    <t>Phosphorus Retention</t>
  </si>
  <si>
    <t>The effectiveness for retaining phosphorus for long periods (&gt;1 growing season) as a result of chemical adsorption, or from translocation by plants to belowground zones with less potential for physically or chemically  remobilizing phosphorus into the water column.</t>
  </si>
  <si>
    <t>PR</t>
  </si>
  <si>
    <t>NR</t>
  </si>
  <si>
    <t>Carbon Sequestration</t>
  </si>
  <si>
    <t>CS</t>
  </si>
  <si>
    <t>OE</t>
  </si>
  <si>
    <t>FR</t>
  </si>
  <si>
    <t>Invertebrate Habitat</t>
  </si>
  <si>
    <t>INV</t>
  </si>
  <si>
    <t>AM</t>
  </si>
  <si>
    <t>SBM</t>
  </si>
  <si>
    <t>POL</t>
  </si>
  <si>
    <t>PH</t>
  </si>
  <si>
    <t xml:space="preserve">A wetland's lack of intrinsic resistance and resilience to human and natural stressors (higher score = more sensitive).
</t>
  </si>
  <si>
    <t>Sen</t>
  </si>
  <si>
    <t>STR</t>
  </si>
  <si>
    <t>The degree to which a wetland is, or has recently been altered by, or exposed to risk from, factors capable of reducing one or more of its functions and which are primarily human-related.</t>
  </si>
  <si>
    <t>The effectiveness for maintaining or reducing temperature of downslope waters.</t>
  </si>
  <si>
    <t>SFS</t>
  </si>
  <si>
    <t>The capacity to support or contribute to an abundance or diversity of waterbirds that migrate or winter but do not breed in the region.</t>
  </si>
  <si>
    <t>WBF</t>
  </si>
  <si>
    <t>The capacity to support or contribute to an abundance or diversity of waterbirds that nest in the region.</t>
  </si>
  <si>
    <t>The capacity to support or contribute to an abundance or diversity of native songbird, raptor, and mammal species and functional groups, especially those that are most dependent on wetlands or water.</t>
  </si>
  <si>
    <t>The capacity to support or contribute to a diversity of native, hydrophytic, vascular plant species, communities, and/or functional groups.</t>
  </si>
  <si>
    <t>PU</t>
  </si>
  <si>
    <t>Fyles, J. W. and I. H. Fyles. 1993. Interaction of Douglas-fir with red alder and salal foliage litter during decomposition. Canadian Journal of Forest Research 23:358-361.</t>
  </si>
  <si>
    <t>Pacific, V. J., K. G. Jensco, and B. L. McGlynn. 2010. Variable flushing mechanisms and landscape structure control stream DOC export during snowmelt in a set of nested catchments. Biogeochemistry 99:193-211.</t>
  </si>
  <si>
    <t>Wildlife Access</t>
  </si>
  <si>
    <t>Internal Flow Distance (Path Length)</t>
  </si>
  <si>
    <t>If they attract waterbirds, wetlands closer to settled areas may also attract greater bird-centered use by humans (e.g., birdwatching, hunting) thus increasing their value.</t>
  </si>
  <si>
    <t>FloDist1</t>
  </si>
  <si>
    <t>Warmth7</t>
  </si>
  <si>
    <t>Where a wetland comprises a large proportion of its catchment, nutrient loading is more likely to occur at rates and levels that can be processed effectively.</t>
  </si>
  <si>
    <r>
      <t xml:space="preserve">Grünfeld, S. and H. Brix. 1999. Methanogenesis and methane emissions: effects of water table, substrate type and presence of </t>
    </r>
    <r>
      <rPr>
        <i/>
        <sz val="10"/>
        <rFont val="Arial Narrow"/>
        <family val="2"/>
      </rPr>
      <t>Phragmites australis.</t>
    </r>
    <r>
      <rPr>
        <sz val="10"/>
        <rFont val="Arial Narrow"/>
        <family val="2"/>
      </rPr>
      <t xml:space="preserve"> Aquatic Botany 64.1 (1999): 63-75.</t>
    </r>
  </si>
  <si>
    <t>Number of anglers -- an indicator of fish value --would usually be expected to increase with increasing proximity to population centers.</t>
  </si>
  <si>
    <t>Number of anglers -- an indicator of fish value --would usually be expected to increase with increasing proximity to roads which facilitate access to wetlands with fish.</t>
  </si>
  <si>
    <t>Number of anglers -- an indicator of fish value -- would usually be expected to increase when more parts of a wetland are physically accessible.</t>
  </si>
  <si>
    <t>Bunn, S. and A. Arthington. 2002. Basic principles and ecological consequences of altered flow regimes for aquatic biodiversity. Environmental Management 30:492–507.</t>
  </si>
  <si>
    <t>Brown, J. 2007. Groundwater and Biodiversity Conservation.in A. Wyers, A. Aldous, and L. Bach, editors. A Methods Guide for Integrating Groundwater Needs of Ecosystems and Species into Conservation Plans in the Pacific Northwest. The Nature Conservancy, Portland, OR.</t>
  </si>
  <si>
    <t>Excessive human traffic and free-roaming pets can harm native amphibians directly (collecting and predation) and indirectly (habitat alteration), so measures to reduce such impacts are given credit.</t>
  </si>
  <si>
    <t>Bolenbaugh, J. R., D. G. Krementz, and S. E. Lehnen. 2011. Secretive marsh bird species co-occurrences and habitat associations across the Midwest, USA. Journal of Fish and Wildlife Management 2:49-60.</t>
  </si>
  <si>
    <t>Shepherd, P. C. F. and D. B. Lank. 2004. Marine and agricultural habitat preferences of dunlin wintering in British Columbia. Journal of Wildlife Management 68:61-73.</t>
  </si>
  <si>
    <r>
      <t>Sprague, A. J., D. J. Hamilton, and A. W. Diamond. 2008. Site safety and food affect movements of Semipalmated Sandpipers (</t>
    </r>
    <r>
      <rPr>
        <i/>
        <sz val="10"/>
        <rFont val="Arial Narrow"/>
        <family val="2"/>
      </rPr>
      <t>Calidris pusilla</t>
    </r>
    <r>
      <rPr>
        <sz val="10"/>
        <rFont val="Arial Narrow"/>
        <family val="2"/>
      </rPr>
      <t>) migrating through the upper Bay of Fundy. Avian Conservation and Ecology 3:1-22.</t>
    </r>
  </si>
  <si>
    <t>Frequent traffic by people and free-roaming pets can stress some waterbirds, so measures to reduce such impacts are given credit.</t>
  </si>
  <si>
    <t>Lokemoen, J. T. and R. O. Woodward. 1992. Nesting waterfowl and water birds on natural islands in the Dakotas and Montana. Wildlife Society Bulletin 20:163-171.</t>
  </si>
  <si>
    <t xml:space="preserve">Non-native plants that can reduce native plant richness tend to be more prevalent closer to population centers because many have been introduced intentionally or unintentionally by humans. </t>
  </si>
  <si>
    <t>Such features and practices minimize damage to plants and wildlife and thus help sustain the natural features that attract people to wetlands.</t>
  </si>
  <si>
    <t>Large water bodies often support high richness of wetland plants and animals, such that if a wetland is distant from a lake, recolonization of the wetland following impacts is likely to be slower.</t>
  </si>
  <si>
    <t>Scannell, P.W. 2009. Effects of copper on aquatic species: a review of the literature. Tech. Rept. No. 09-04. Alaska Dept. of Fish &amp; Game, Juneau, AK.</t>
  </si>
  <si>
    <t>ToxUp2</t>
  </si>
  <si>
    <t>Intermediate (1 - 10% of vegetated part of the AA).</t>
  </si>
  <si>
    <t>Many (e.g., wetland-upland "mosaic", &gt;10% of the vegetated AA).</t>
  </si>
  <si>
    <t>AVERAGE[Beaver, AVERAGE(Wettype, WoodAbove, AqPlantCov, Shade, IsoWet)]</t>
  </si>
  <si>
    <t>Most songbirds prefer to nest in drier parts of wetlands because ground cover and vegetation height, which provide essential structure, tend to be greater there.</t>
  </si>
  <si>
    <t xml:space="preserve"> #</t>
  </si>
  <si>
    <t>Rationales</t>
  </si>
  <si>
    <t xml:space="preserve">Hirsch, R. M., J. F. Walker, J. C. Day, and R. Kollio. 1990. The influence of man on hydrologic systems. Pages 329–359 in M. G. Wolaman and H. C. Riggs, editors. Surface Water Hydrology. Geological Society of America, Boulder, CO. </t>
  </si>
  <si>
    <t>Live Store</t>
  </si>
  <si>
    <t>5-30% of the ponded water.</t>
  </si>
  <si>
    <t>30-70% of the ponded water.</t>
  </si>
  <si>
    <t>70-99% of the ponded water.</t>
  </si>
  <si>
    <t>Dry Intercept</t>
  </si>
  <si>
    <t>Wet Intercept</t>
  </si>
  <si>
    <t>Methane Limit</t>
  </si>
  <si>
    <t>Frozen Duration</t>
  </si>
  <si>
    <t>Nutrient Availability</t>
  </si>
  <si>
    <t>Export Potential</t>
  </si>
  <si>
    <t>Vitt, D. H. 2006. Functional characteristics and indicators of boreal peatlands. Pages 9-24 in R. K. Wieder and D. H. Vitt, editors. Boreal peatland ecosystems. Springer, Berlin, Heidelberg, Germany.</t>
  </si>
  <si>
    <t>Wright, J. P., A. S. Flecker, and C. G. Jones. 2003. Local versus landscape controls on plant species richness in beaver meadows. Ecology 84:3162–3173.</t>
  </si>
  <si>
    <t>Stain3</t>
  </si>
  <si>
    <t>Infiltration, which enhances deposition of sediment-bound P, is potentially greater in areas where water and soils do not remain frozen for long periods. However, cold temperatures slow the decomposition of plant material and increase the retention of P in accumulating peat.</t>
  </si>
  <si>
    <t>Intercept Dry</t>
  </si>
  <si>
    <t>Intercept Wet</t>
  </si>
  <si>
    <t>Adsorption</t>
  </si>
  <si>
    <t>Desorption</t>
  </si>
  <si>
    <t>Organic</t>
  </si>
  <si>
    <t>Historical Accumulation</t>
  </si>
  <si>
    <t>Current Productivity:</t>
  </si>
  <si>
    <t>AVERAGE(Frozen Duration, Plant Cover, Nutrient Availability) WHERE:</t>
  </si>
  <si>
    <t>Stressors (lack of)</t>
  </si>
  <si>
    <t>Convenience</t>
  </si>
  <si>
    <t>Recreation Potential</t>
  </si>
  <si>
    <t>AVERAGE(ISOwet, SatPct, Fluctu, MAX(SeasWpct, PermWpct), Depth, DepthEven)</t>
  </si>
  <si>
    <t>Fish13A</t>
  </si>
  <si>
    <t>DecidTree5</t>
  </si>
  <si>
    <t>DecidTree8</t>
  </si>
  <si>
    <t>AVERAGE (AqPlantCov, Decid, DecidTree, Gcover, Depth)</t>
  </si>
  <si>
    <t>Plant Cover &amp; Type</t>
  </si>
  <si>
    <t>Select one:</t>
  </si>
  <si>
    <t>1-25% of the AA's perimeter abuts upland (including filled areas). The rest adjoins other wetlands or water that is mostly wider than the AA.</t>
  </si>
  <si>
    <t>25-50% of the AA's perimeter abuts upland. The rest adjoins other wetlands or water that is mostly wider than the AA.</t>
  </si>
  <si>
    <t>50-75% of the AA's perimeter abuts upland. The rest adjoins other wetlands or water that is mostly wider than the AA.</t>
  </si>
  <si>
    <t>Upland Edge Contact</t>
  </si>
  <si>
    <t>AVERAGE [PermWpct, SatPct, SeasPct, Fluctu,GroundW) ]</t>
  </si>
  <si>
    <t>WetPctCA2</t>
  </si>
  <si>
    <t>Slowed Decomposition</t>
  </si>
  <si>
    <t>In calculations, if wetland is associated with a lake it counts positively; if not, this indicator is ignored in the calculations.</t>
  </si>
  <si>
    <t>LakePU</t>
  </si>
  <si>
    <t>Ibird12v</t>
  </si>
  <si>
    <t>The capacity to support a diversity or abundance of pollinating insects, such as bees, wasps, flies, butterflies, moths, and beetles.</t>
  </si>
  <si>
    <t>AVERAGE(RecreaPoten, BMPsoils, BMPwildlife, LakePU)</t>
  </si>
  <si>
    <t>Rounds, S. A. 2007. Temperature Effects of Weight Sources, Riparian Shading, and Dam Operations on the Willamette River, Oregon. Scientific Investigations Report 2007–5185. U.S. Department of the Interior, U.S. Geological Survey, Portland, OR.</t>
  </si>
  <si>
    <t>Condition Choices</t>
  </si>
  <si>
    <t>Siegel, D. I. and P. H. Glaser. 1987. Groundwater flow in a bog-fen complex, Lost River Peatland, northern Minnesota. The Journal of Ecology 75:743-754.</t>
  </si>
  <si>
    <t>Lacustrine wetlands are more likely than bogs or fens to be phosphorus-limited (Walbridge &amp; Navaratnam 2006), and thus should be more able to take up and retain phosphorus.</t>
  </si>
  <si>
    <t>Function          Indicators</t>
  </si>
  <si>
    <t>Unvegetated Surface in the Contributing Area</t>
  </si>
  <si>
    <t>Function Score for Organic Nutrient Export</t>
  </si>
  <si>
    <t>Slightly bare ground (5-20% bare between plants) is visible in places, but those areas comprise less than 5% of the unflooded parts of the AA.</t>
  </si>
  <si>
    <r>
      <t xml:space="preserve">Much bare ground (20-50% bare between plants) is visible in places, and those areas comprise </t>
    </r>
    <r>
      <rPr>
        <b/>
        <sz val="10"/>
        <rFont val="Arial Narrow"/>
        <family val="2"/>
      </rPr>
      <t>more than</t>
    </r>
    <r>
      <rPr>
        <sz val="10"/>
        <rFont val="Arial Narrow"/>
        <family val="2"/>
      </rPr>
      <t xml:space="preserve"> 5% of the unflooded parts of the AA. </t>
    </r>
  </si>
  <si>
    <t>Wetland Sensitivity (Sens)</t>
  </si>
  <si>
    <r>
      <t xml:space="preserve">This directly estimates the relative amount of </t>
    </r>
    <r>
      <rPr>
        <b/>
        <sz val="10"/>
        <rFont val="Arial Narrow"/>
        <family val="2"/>
      </rPr>
      <t>vertical</t>
    </r>
    <r>
      <rPr>
        <sz val="10"/>
        <rFont val="Arial Narrow"/>
        <family val="2"/>
      </rPr>
      <t xml:space="preserve"> space in which precipitation and runoff are being stored, at least temporarily. </t>
    </r>
    <r>
      <rPr>
        <i/>
        <sz val="10"/>
        <rFont val="Arial Narrow"/>
        <family val="2"/>
      </rPr>
      <t>In calculations, is excluded automatically (cell goes blank) if wetland never has surface water during an average year.</t>
    </r>
  </si>
  <si>
    <r>
      <t xml:space="preserve">Suspended sediment is more likely to be filtered and stranded in vegetation if water levels fluctuate. However, in some soil types, large water level fluctuations cause erosion that results in more sediment being exported than retained. </t>
    </r>
    <r>
      <rPr>
        <i/>
        <sz val="10"/>
        <rFont val="Arial Narrow"/>
        <family val="2"/>
      </rPr>
      <t>In calculations, is excluded automatically (cell goes blank) if wetland never has surface water during an average year or if surface water is permanent (i.e., must have at least a seasonal-only zone in order to have water fluctuation).</t>
    </r>
  </si>
  <si>
    <r>
      <t xml:space="preserve">Deeper waters usually imply slower water velocity, longer water detention time, more space for storing deposited sediments over time, and reduced likelihood of deposited sediments being resuspended by wind mixing or currents (Evans &amp; Rigler 1983, Nolen et al. 1985). However, vegetation density is usually greater in shallow wetlands, providing other opportunities to filter and stabilize (with roots systems) suspended sediments. </t>
    </r>
    <r>
      <rPr>
        <i/>
        <sz val="10"/>
        <rFont val="Arial Narrow"/>
        <family val="2"/>
      </rPr>
      <t xml:space="preserve">In calculations, is excluded automatically (cell goes blank) if wetland never has surface water during an average year. </t>
    </r>
  </si>
  <si>
    <r>
      <t xml:space="preserve">Greater interspersion of open water and vegetation should allow more contact between plants and moving sediment-bearing water, resulting in greater deposition of suspended sediment. </t>
    </r>
    <r>
      <rPr>
        <i/>
        <sz val="10"/>
        <rFont val="Arial Narrow"/>
        <family val="2"/>
      </rPr>
      <t>In calculations, is excluded automatically (cell goes blank) if wetland never has surface water during an average year, or if there is no ponded water, or if ponded water but no vegetation, or if ponded but no open water.</t>
    </r>
  </si>
  <si>
    <r>
      <t xml:space="preserve">Greater interspersion of open water and vegetation is hypothesized to support greater sediment and phosphorus removal. That is because plants assist the deposition of suspended sediment which contains P, while open water areas tend to be more aerobic which immobilizes P in the deposited sediment. </t>
    </r>
    <r>
      <rPr>
        <i/>
        <sz val="10"/>
        <rFont val="Arial Narrow"/>
        <family val="2"/>
      </rPr>
      <t>In calculations, is excluded automatically (cell goes blank) if wetland never has surface water during an average year, if no ponded water, if ponded water but no vegetation, or if ponded but no open water.</t>
    </r>
  </si>
  <si>
    <r>
      <t xml:space="preserve">Like a constricted outlet, vegetation and other obstacles create a "roughness" within a wetland that can slow the water and allow phosphorus adsorbed to sediment particles to be deposited. This is much truer if the vegetation intercepts a large proportion of the flow during high-flow periods (i.e., is not merely along an upland edge that never floods). Although tall and stiff vegetation provides the most resistance and thus may be more effective at allowing sediment to be deposited, it often tends to have less ground cover, so the net effect is uncertain in some wetlands. Water takes longer to move through complex channel networks (e.g., braided or sinuous) which themselves provide additional friction, thus allowing more suspended sediment and the phosphorus associated with it to be deposited. Wetlands with a sheet flow pattern often retain more total phosphorus than channelized systems (Morris et al. 1981, Knox et al. 2008). </t>
    </r>
    <r>
      <rPr>
        <i/>
        <sz val="10"/>
        <rFont val="Arial Narrow"/>
        <family val="2"/>
      </rPr>
      <t>In calculations, is excluded automatically (cell goes blank) if wetland never has surface water during an average year or if no surface inflows.</t>
    </r>
  </si>
  <si>
    <t>Phosphorus commonly adsorbs to suspended sediment, and wetlands that comprise a large proportion of their contributing area are more effective for retaining sediment in runoff, and thus phosphorus.</t>
  </si>
  <si>
    <r>
      <t>The need for (and value of) phosphorus retention capacity (which is potentially provided by wetlands) is greater when upland runoff is rapid and erosive, with the potential to contribute much sediment and associated P. This occurs when much of the contributing area contains impervious surface. Other factors being equal, wetlands in developed watersheds (with little remaining natural cover) tend to receive higher loads of phosphorus. Even if the only watershed disturbance is logging, a typical post-logging shift from coniferous or mixed vegetation to deciduous vegetation can contribute 40% more phosphorus to streams and alters the seasonal timing of the inputs and light availability (Roberts &amp; Bilby 2009).</t>
    </r>
    <r>
      <rPr>
        <i/>
        <sz val="10"/>
        <rFont val="Arial Narrow"/>
        <family val="2"/>
      </rPr>
      <t xml:space="preserve"> In calculations, is excluded automatically (cell goes blank) if wetland is larger than its contributing area.</t>
    </r>
  </si>
  <si>
    <r>
      <t>Annual plant productivity (and thus potentially-storable carbon) is often less in ponded wetlands than in wetlands where periodic water circulation replenishes nutrients (Thormann &amp; Bayley 1997). Also, methane emissions may be higher in ponded areas because such areas are more likely to develop anaerobic conditions (Magenheimer et al. 1996, Tranvik et al. 2009). Aerobic conditions can increase the proportion of plant production that is allocated to belowground tissue, which benefits carbon storage because such tissue is more likely to resist erosion and be incorporated into longterm storage in soil. However, organic matter in ponded areas is less subject than organic matter in channels to being transported downslope in floodwaters or groundwater and thus could be more likely to become incorporated into soils, resulting in carbon being sequestered.</t>
    </r>
    <r>
      <rPr>
        <i/>
        <sz val="10"/>
        <rFont val="Arial Narrow"/>
        <family val="2"/>
      </rPr>
      <t xml:space="preserve"> In calculations, is excluded automatically (cell goes blank) if wetland never has surface water during an average year.</t>
    </r>
  </si>
  <si>
    <r>
      <t xml:space="preserve">Large woody debris helps protect young fish from aerial predators and provides cooler water preferred by salmonids. </t>
    </r>
    <r>
      <rPr>
        <i/>
        <sz val="10"/>
        <rFont val="Arial Narrow"/>
        <family val="2"/>
      </rPr>
      <t xml:space="preserve">In calculations, is excluded automatically (cell goes blank) if wetland never has open surface water during an average year. </t>
    </r>
  </si>
  <si>
    <r>
      <t xml:space="preserve">Provided that they hold surface water for several weeks, shallow areas support greater primary production, support higher vascular plant densities, and consequently greater invertebrate production. </t>
    </r>
    <r>
      <rPr>
        <i/>
        <sz val="10"/>
        <rFont val="Arial Narrow"/>
        <family val="2"/>
      </rPr>
      <t xml:space="preserve">In calculations, is excluded automatically (cell goes blank) if wetland never has surface water during an average year. </t>
    </r>
  </si>
  <si>
    <r>
      <t xml:space="preserve">Wider vegetated areas provide more area for phosphorus adsorbed to sediment particles in runoff to be filtered and deposited. Where phosphorus is mainly attached to sediment (as often it is), then buffer widths sufficient for sediment retention (generally 10-30 ft) may be almost as effective for retaining phosphorus (White et al. 2007). But if phosphorus is mostly in dissolved form (orthophosphate, or soluble reactive phosphorus), then vegetated buffers may need to be very large or may not be effective at all (Prepas et al. 2001, Hoffman et al. 2009). </t>
    </r>
    <r>
      <rPr>
        <i/>
        <sz val="10"/>
        <rFont val="Arial Narrow"/>
        <family val="2"/>
      </rPr>
      <t>In calculations, is excluded automatically (cell goes blank) if wetland never has surface water during an average year, or has no open water.</t>
    </r>
  </si>
  <si>
    <r>
      <t>When water and vegetation (especially woody or other robust vegetation) are moderately interspersed, this provides more extensive feeding areas for many wetland-dependent songbirds and raptors.</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</si>
  <si>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r>
      <t>The model considers the presence (1) of this condition to indicate a somewhat degraded condition, but does not consider the absence (0) of this indicator a sign that a wetland is necessarily undegraded, so</t>
    </r>
    <r>
      <rPr>
        <i/>
        <sz val="10"/>
        <rFont val="Arial Narrow"/>
        <family val="2"/>
      </rPr>
      <t xml:space="preserve"> if the condition is absent, the score is changed to blank and is not used by the model.</t>
    </r>
  </si>
  <si>
    <t>Asada, T., &amp; B. G. Warner. 2005. Surface peat mass and carbon balance in a hypermaritime peatland. Soil Science Society of America Journal 69(2): 549-562.</t>
  </si>
  <si>
    <t>Weight</t>
  </si>
  <si>
    <t>Data  x  Weight</t>
  </si>
  <si>
    <t>Walbridge, M. R. and J. A. Navaratnam. 2006. Phosphorous in boreal peatlands. Pages 231-258 in R. K. Wieder and D. H. Vitt, editors. Boreal Peatland Ecosystems, Ecological Studies, Volume 188. Springer, Berlin, Heidelberg, Germany.</t>
  </si>
  <si>
    <r>
      <t>Wetlands that lack outlets retain all phosphorus that enters them. Wetlands that connect to downslope water bodies for only part of the year may export less phosphorus annually than those with persistent outflow.</t>
    </r>
    <r>
      <rPr>
        <i/>
        <sz val="10"/>
        <rFont val="Arial Narrow"/>
        <family val="2"/>
      </rPr>
      <t xml:space="preserve"> In calculations, is excluded automatically (cell goes blank) if wetland never has surface water during an average year.</t>
    </r>
  </si>
  <si>
    <t>Function               Indicators</t>
  </si>
  <si>
    <t>Poff, N. L., B. P. Bledsoe, and C. O. Cuhaciyan. 2006. Hydrologic variation with land use across the contiguous United States: Geomorphic and ecological consequences for stream ecosystems. Geomorphology 79:264–285.</t>
  </si>
  <si>
    <t>Dickman, M. and G. Rygiel. 1998. Municipal landfill impacts on a natural stream located in an urban wetland in regional Niagara, Ontario. The Canadian Field-Naturalist 112:619-630.</t>
  </si>
  <si>
    <t>Chadwick, D. R., B. J. Chambers, S. Anthony, P. M. Haygarth, D. Harris, and K. Smith. 2006. A measure centric approach to diffuse pollution modelling and cost curve analysis of mitigation methods. Cost-effectiveness of Best Management Practices (BMPs)? Pages 92-99 in L. Gairns, K. Chrighton, and B. Jeffrey, editors. Agriculture and the Environment VI -  Managing Rural Diffuse Pollution: Proceedings of the SAC and SEPA Biennial Conference, Edinburgh University, Edinburgh, UK, 6 April 2006. International Water Association, London, UK.</t>
  </si>
  <si>
    <r>
      <t xml:space="preserve">Persistent surface water is essential to resident fish in isolated wetlands, and is important to resident fish even in wetlands that connect seasonally to other water bodies. </t>
    </r>
    <r>
      <rPr>
        <i/>
        <sz val="10"/>
        <rFont val="Arial Narrow"/>
        <family val="2"/>
      </rPr>
      <t xml:space="preserve">In calculations, is excluded automatically (cell goes blank) if wetland never has surface water during an average year. </t>
    </r>
  </si>
  <si>
    <r>
      <t xml:space="preserve">Most resident fish spend much of their time in deeper water because of the cover it provides. Wetlands with deeper water provide more habitat space. </t>
    </r>
    <r>
      <rPr>
        <i/>
        <sz val="10"/>
        <rFont val="Arial Narrow"/>
        <family val="2"/>
      </rPr>
      <t xml:space="preserve">In calculations, is excluded automatically (cell goes blank) if wetland never has surface water during an average year. </t>
    </r>
  </si>
  <si>
    <r>
      <t xml:space="preserve">Life histories of resident fish are closely synchronized to natural hydrologic patterns. Wetlands where that has been disrupted will have lower capacity to support resident fish. </t>
    </r>
    <r>
      <rPr>
        <i/>
        <sz val="10"/>
        <rFont val="Arial Narrow"/>
        <family val="2"/>
      </rPr>
      <t>In calculations, is excluded automatically (cell goes blank) if wetland has no surface inflows.</t>
    </r>
  </si>
  <si>
    <r>
      <t xml:space="preserve">Aquatic plants provide cover for fish and in some cases the associated shading helps maintain cool water temperature. However, as they decay beneath winter ice, they can deprive fish of necessary oxygen. </t>
    </r>
    <r>
      <rPr>
        <i/>
        <sz val="10"/>
        <rFont val="Arial Narrow"/>
        <family val="2"/>
      </rPr>
      <t xml:space="preserve">In calculations, is excluded automatically (cell goes blank) if wetland never has ponded surface water during an average year. </t>
    </r>
  </si>
  <si>
    <r>
      <t>Greater interspersion of open water with vegetation provides resident fish with greater access to food sources, such as insects falling off emergent plants.</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</si>
  <si>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r>
      <t>Diffuse flow paths and large spatial complexity of channels within a wetland support a wider variety of microhabitats for fish and their invertebrate foods.</t>
    </r>
    <r>
      <rPr>
        <i/>
        <sz val="10"/>
        <rFont val="Arial Narrow"/>
        <family val="2"/>
      </rPr>
      <t xml:space="preserve"> In calculations, is excluded automatically (cell goes blank) if wetland never has surface water during an average year or if no surface inflows.</t>
    </r>
  </si>
  <si>
    <t>May, C. W. 2003. Stream-Riparian Ecosystems In the Puget Sound Lowland Eco-Region. A Review of Best Available Science. Watershed Ecology, LLC, Poulsbo, WA.</t>
  </si>
  <si>
    <t>Murphy, M. L., C. P. Hawkins, and N. H. Anderson. 1981. Effects of canopy modification and accumulated sediment on stream communities. Transactions of the American Fisheries Society 110:469-478.</t>
  </si>
  <si>
    <r>
      <t xml:space="preserve">Wider bands of wetland vegetation help protect a wetland's open waters from contaminants carried in from adjoining uplands. Wider bands of wetland vegetation also provide better cover for young frogs and salamanders as they transition to upland nonbreeding areas. </t>
    </r>
    <r>
      <rPr>
        <i/>
        <sz val="10"/>
        <rFont val="Arial Narrow"/>
        <family val="2"/>
      </rPr>
      <t>In calculations, is excluded automatically (cell goes blank) if wetland never has surface water during an average year, or has no open water.</t>
    </r>
  </si>
  <si>
    <r>
      <t xml:space="preserve">Large woody debris helps protect frogs and aquatic salamanders from aerial predators, and provides important basking sites. </t>
    </r>
    <r>
      <rPr>
        <i/>
        <sz val="10"/>
        <rFont val="Arial Narrow"/>
        <family val="2"/>
      </rPr>
      <t>In calculations, is excluded automatically (cell goes blank) if wetland never has surface water during an average year, or no open water.</t>
    </r>
  </si>
  <si>
    <r>
      <t xml:space="preserve">Shallower water depths support greater aquatic productivity and thus are attractive to many feeding waterbirds. </t>
    </r>
    <r>
      <rPr>
        <i/>
        <sz val="10"/>
        <rFont val="Arial Narrow"/>
        <family val="2"/>
      </rPr>
      <t xml:space="preserve">In calculations, is excluded automatically (cell goes blank) if wetland never has surface water during an average year. </t>
    </r>
  </si>
  <si>
    <r>
      <t xml:space="preserve">Different waterbird species prefer feeding in different water depths, so a diversity of depth classes in a wetland is likely to support a more varied mix of feeding birds. </t>
    </r>
    <r>
      <rPr>
        <i/>
        <sz val="10"/>
        <rFont val="Arial Narrow"/>
        <family val="2"/>
      </rPr>
      <t xml:space="preserve">In calculations, is excluded automatically (cell goes blank) if wetland never has surface water during an average year. </t>
    </r>
  </si>
  <si>
    <r>
      <t xml:space="preserve">Most waterbirds situate their nests on or near persistent water. However, wetlands that flood only seasonally often provide more food and cover for young. </t>
    </r>
    <r>
      <rPr>
        <i/>
        <sz val="10"/>
        <rFont val="Arial Narrow"/>
        <family val="2"/>
      </rPr>
      <t xml:space="preserve">In calculations, is excluded automatically (cell goes blank) if wetland never has surface water during an average year. </t>
    </r>
  </si>
  <si>
    <r>
      <t xml:space="preserve">Large water level fluctuations during the nesting season (late spring and early summer), can flood the nests of birds that nest along wetland edges. However, annual fluctuations (described here) do not necessarily parallel propensity of water levels to fluctuate during the nesting season, and can stimulate wetland productivity. </t>
    </r>
    <r>
      <rPr>
        <i/>
        <sz val="10"/>
        <rFont val="Arial Narrow"/>
        <family val="2"/>
      </rPr>
      <t>In calculations, is excluded automatically (cell goes blank) if wetland never has surface water during an average year, or if none of it floods only seasonally.</t>
    </r>
  </si>
  <si>
    <r>
      <t xml:space="preserve">Most waterbirds prefer depths of 1- 2 ft. Wetlands with greater depths will nonetheless usually have some portion of their area in this and shallower depth classes. Even the shallowest areas are important to many species. </t>
    </r>
    <r>
      <rPr>
        <i/>
        <sz val="10"/>
        <rFont val="Arial Narrow"/>
        <family val="2"/>
      </rPr>
      <t xml:space="preserve">In calculations, is excluded automatically (cell goes blank) if wetland never has surface water during an average year. </t>
    </r>
  </si>
  <si>
    <r>
      <t xml:space="preserve">Different waterbird species prefer different water depths, so a diversity of depth classes in a wetland is likely to support a more varied mix of waterbirds. </t>
    </r>
    <r>
      <rPr>
        <i/>
        <sz val="10"/>
        <rFont val="Arial Narrow"/>
        <family val="2"/>
      </rPr>
      <t xml:space="preserve">In calculations, is excluded automatically (cell goes blank) if wetland never has surface water during an average year. </t>
    </r>
  </si>
  <si>
    <r>
      <t xml:space="preserve">Waterbird nests located in narrow wetlands may be more vulnerable to predation. </t>
    </r>
    <r>
      <rPr>
        <i/>
        <sz val="10"/>
        <rFont val="Arial Narrow"/>
        <family val="2"/>
      </rPr>
      <t>In calculations, is excluded automatically (cell goes blank) if wetland never has surface water during an average year, or has no open water.</t>
    </r>
  </si>
  <si>
    <r>
      <t xml:space="preserve">Most wetland birds tend to feed more in ponded areas than along channels. If these isolated pools areas persist well into the summer, they allow waterbird populations to establish more breeding territories within the site, as well as concentrating invertebrate foods. </t>
    </r>
    <r>
      <rPr>
        <i/>
        <sz val="10"/>
        <rFont val="Arial Narrow"/>
        <family val="2"/>
      </rPr>
      <t xml:space="preserve">In calculations, is excluded automatically (cell goes blank) if wetland never has surface water during an average year. </t>
    </r>
  </si>
  <si>
    <r>
      <t>Waterfowl nests on Islands that are inaccessible to mammalian predators are more successful (Loekmoen &amp; Woodward 1992).</t>
    </r>
    <r>
      <rPr>
        <i/>
        <sz val="10"/>
        <rFont val="Arial Narrow"/>
        <family val="2"/>
      </rPr>
      <t xml:space="preserve"> In calculations, is excluded automatically (cell goes blank) if wetland lacks an island, but if island is present, it counts as a positive.</t>
    </r>
  </si>
  <si>
    <r>
      <t xml:space="preserve">Large-diameter trees are more important because of their potential to provide rookeries for herons and nest cavities for a few waterbird species, e.g., hooded merganser. Such trees may be used even when located a considerable distance from the wetland. </t>
    </r>
    <r>
      <rPr>
        <i/>
        <sz val="10"/>
        <rFont val="Arial Narrow"/>
        <family val="2"/>
      </rPr>
      <t>In calculations, is excluded automatically (cell goes blank) if wetland has few or no trees.</t>
    </r>
  </si>
  <si>
    <t>Rich, A. C., D. S. Dobkin, and L. J. Niles. 1994. Defining forest fragmentation by corridor width: the influence of narrow forest-dividing corridors on forest-nesting birds in southern New Jersey. Conservation Biology 8:1109-1121.</t>
  </si>
  <si>
    <t>St. Clair, C. C., M. Bélisle, A. Desrochers, and S. Hannon. 1998. Winter responses of forest birds to habitat corridors and gaps. Conservation Ecology 2:1-13 Online:  http://www.consecol.org/vol12/iss12/art13/.</t>
  </si>
  <si>
    <t>Mahaney, W. M., D. H. Wardrop, and R. P. Brooks. 2005. Impacts of sedimentation and nitrogen enrichment on wetland plant community structure. Plant Ecology 175:227-243.</t>
  </si>
  <si>
    <r>
      <t xml:space="preserve">With regard to submersed aquatic plants, shallower areas generally have greater plant richness due to greater availability of light and sediment oxygen. </t>
    </r>
    <r>
      <rPr>
        <i/>
        <sz val="10"/>
        <rFont val="Arial Narrow"/>
        <family val="2"/>
      </rPr>
      <t xml:space="preserve">In calculations, is excluded automatically (cell goes blank) if wetland never has surface water during an average year. </t>
    </r>
  </si>
  <si>
    <t>If accessible, wetlands closer to population centers are likely to be visited by more people on foot.</t>
  </si>
  <si>
    <t>Loomis, P. and R. Liebermann. 2006. Biological Impacts of Off-Road Vehicles in Alaska: A Literature Review Denali National Park and Preserve, Denali National Park and Preserve, AK.</t>
  </si>
  <si>
    <t>Petrone, R., K. DeVito, S. Kaufman, M. L. MacRae, and J. M. Waddington. 2005. Potential carbon losses from boreal ponds and riparian areas: influence of temperature and drought. Pages 10-18 in L. Heathwaite, B. Webb, D. Rosenberry, D. Weaver, and M. Hayash, editors. Dynamics and Biogeochemistry of River Corridors and Wetlands: Proceedings of Symposium held during the Seventh  IAHS Scientific Assembly. IAHS International Commission on Water Quality, IAHS International Commission on Science, Wallingford, Oxfordshire, UK.</t>
  </si>
  <si>
    <t>Sum=</t>
  </si>
  <si>
    <t xml:space="preserve">Wetland Types - Adjoining or Subordinate </t>
  </si>
  <si>
    <t>Height Class Interspersion</t>
  </si>
  <si>
    <t>Large Snags (Dead Standing Trees)</t>
  </si>
  <si>
    <t>Ponded Open Water - Minimum Size</t>
  </si>
  <si>
    <r>
      <t xml:space="preserve">In ducks-eye aerial view, the percentage of the ponded water that is </t>
    </r>
    <r>
      <rPr>
        <b/>
        <sz val="10"/>
        <rFont val="Arial Narrow"/>
        <family val="2"/>
      </rPr>
      <t>open</t>
    </r>
    <r>
      <rPr>
        <sz val="10"/>
        <rFont val="Arial Narrow"/>
        <family val="2"/>
      </rPr>
      <t xml:space="preserve"> (lacking emergent vegetation during most of the growing season, and unhidden by a forest or shrub canopy) is:</t>
    </r>
  </si>
  <si>
    <t xml:space="preserve">100% of the ponded water. </t>
  </si>
  <si>
    <t>Robust Emergents</t>
  </si>
  <si>
    <r>
      <t xml:space="preserve">The percentage </t>
    </r>
    <r>
      <rPr>
        <b/>
        <sz val="10"/>
        <rFont val="Arial Narrow"/>
        <family val="2"/>
      </rPr>
      <t>of the emergent vegetation</t>
    </r>
    <r>
      <rPr>
        <sz val="10"/>
        <rFont val="Arial Narrow"/>
        <family val="2"/>
      </rPr>
      <t xml:space="preserve"> cover in the AA that is cattail (</t>
    </r>
    <r>
      <rPr>
        <i/>
        <sz val="10"/>
        <rFont val="Arial Narrow"/>
        <family val="2"/>
      </rPr>
      <t>Typha</t>
    </r>
    <r>
      <rPr>
        <sz val="10"/>
        <rFont val="Arial Narrow"/>
        <family val="2"/>
      </rPr>
      <t xml:space="preserve"> spp.), common reed (</t>
    </r>
    <r>
      <rPr>
        <i/>
        <sz val="10"/>
        <rFont val="Arial Narrow"/>
        <family val="2"/>
      </rPr>
      <t>Phragmites</t>
    </r>
    <r>
      <rPr>
        <sz val="10"/>
        <rFont val="Arial Narrow"/>
        <family val="2"/>
      </rPr>
      <t>), or tall (&gt;1m) bulrush is:</t>
    </r>
  </si>
  <si>
    <t>Persistent Deepwater Area</t>
  </si>
  <si>
    <t>Throughflow Resistance</t>
  </si>
  <si>
    <t>pH Measurement</t>
  </si>
  <si>
    <t>The pH in most of the AA's surface water:</t>
  </si>
  <si>
    <t>TDS and/or Conductivity</t>
  </si>
  <si>
    <t>More than 1% of the AA's previously vegetated area:</t>
  </si>
  <si>
    <t>Burn History</t>
  </si>
  <si>
    <t>Calcareous Fen</t>
  </si>
  <si>
    <t>Few or none that meet these criteria.</t>
  </si>
  <si>
    <r>
      <t xml:space="preserve">The number of downed wood pieces </t>
    </r>
    <r>
      <rPr>
        <b/>
        <sz val="10"/>
        <rFont val="Arial Narrow"/>
        <family val="2"/>
      </rPr>
      <t xml:space="preserve">longer than 2 m </t>
    </r>
    <r>
      <rPr>
        <sz val="10"/>
        <rFont val="Arial Narrow"/>
        <family val="2"/>
      </rPr>
      <t xml:space="preserve">and with diameter </t>
    </r>
    <r>
      <rPr>
        <b/>
        <sz val="10"/>
        <rFont val="Arial Narrow"/>
        <family val="2"/>
      </rPr>
      <t>&gt;10 cm,</t>
    </r>
    <r>
      <rPr>
        <sz val="10"/>
        <rFont val="Arial Narrow"/>
        <family val="2"/>
      </rPr>
      <t xml:space="preserve"> and not persistently submerged, is:</t>
    </r>
  </si>
  <si>
    <t>Several (&gt;5 if AA is &gt;5 hectares, less for smaller AAs) meet these criteria.</t>
  </si>
  <si>
    <t xml:space="preserve">&lt;5% of the vegetated part of the AA. </t>
  </si>
  <si>
    <t>% Bare Ground &amp; Thatch</t>
  </si>
  <si>
    <r>
      <t>Little or no (&lt;5%) </t>
    </r>
    <r>
      <rPr>
        <i/>
        <sz val="10"/>
        <rFont val="Arial Narrow"/>
        <family val="2"/>
      </rPr>
      <t>bare ground </t>
    </r>
    <r>
      <rPr>
        <sz val="10"/>
        <rFont val="Arial Narrow"/>
        <family val="2"/>
      </rPr>
      <t>is visible between erect stems or under canopy anywhere in the vegetated AA. Ground is extensively blanketed by dense thatch, moss, lichens, graminoids with great stem densities, or plants with ground-hugging foliage. </t>
    </r>
  </si>
  <si>
    <t xml:space="preserve">Ground Irregularity </t>
  </si>
  <si>
    <t xml:space="preserve">Shorebird Feeding Habitats </t>
  </si>
  <si>
    <t>Herbaceous % of Vegetated Wetland</t>
  </si>
  <si>
    <t xml:space="preserve">Forb Cover </t>
  </si>
  <si>
    <r>
      <t xml:space="preserve">Within parts of the AA having herbaceous cover (excluding SAV), the areal cover of </t>
    </r>
    <r>
      <rPr>
        <b/>
        <sz val="10"/>
        <rFont val="Arial Narrow"/>
        <family val="2"/>
      </rPr>
      <t>forbs</t>
    </r>
    <r>
      <rPr>
        <sz val="10"/>
        <rFont val="Arial Narrow"/>
        <family val="2"/>
      </rPr>
      <t xml:space="preserve"> reaches an annual maximum of:</t>
    </r>
  </si>
  <si>
    <t xml:space="preserve">&lt;5% of the herbaceous part of the AA. </t>
  </si>
  <si>
    <t xml:space="preserve">Sedge Cover </t>
  </si>
  <si>
    <t xml:space="preserve">Dominance of Most Abundant Herbaceous Species </t>
  </si>
  <si>
    <r>
      <t xml:space="preserve">The percentage of the AA that </t>
    </r>
    <r>
      <rPr>
        <u/>
        <sz val="10"/>
        <rFont val="Arial Narrow"/>
        <family val="2"/>
      </rPr>
      <t xml:space="preserve">never </t>
    </r>
    <r>
      <rPr>
        <sz val="10"/>
        <rFont val="Arial Narrow"/>
        <family val="2"/>
      </rPr>
      <t>contains</t>
    </r>
    <r>
      <rPr>
        <u/>
        <sz val="10"/>
        <rFont val="Arial Narrow"/>
        <family val="2"/>
      </rPr>
      <t xml:space="preserve"> surface</t>
    </r>
    <r>
      <rPr>
        <sz val="10"/>
        <rFont val="Arial Narrow"/>
        <family val="2"/>
      </rPr>
      <t xml:space="preserve"> water during an average year (that is, except perhaps for a few hours after snowmelt or rainstorms), but which is still a wetland, is:</t>
    </r>
  </si>
  <si>
    <t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t>
  </si>
  <si>
    <t>&gt;95% of the AA. True for many fringe wetlands.</t>
  </si>
  <si>
    <t>% of Summertime Water that Is Shaded</t>
  </si>
  <si>
    <t>&lt;5% of the water is shaded, or no surface water is present then.</t>
  </si>
  <si>
    <r>
      <t xml:space="preserve">% of AA that is Flooded </t>
    </r>
    <r>
      <rPr>
        <b/>
        <sz val="11"/>
        <rFont val="Arial Narrow"/>
        <family val="2"/>
      </rPr>
      <t xml:space="preserve">Only </t>
    </r>
    <r>
      <rPr>
        <sz val="11"/>
        <rFont val="Arial Narrow"/>
        <family val="2"/>
      </rPr>
      <t>Seasonally</t>
    </r>
  </si>
  <si>
    <t xml:space="preserve">&gt;95% of the AA. </t>
  </si>
  <si>
    <t>During most of the time when surface water is present during the growing season, its depth, averaged over the entire inundated part of the AA, is:</t>
  </si>
  <si>
    <t>Depth Classes - Evenness of Proportions</t>
  </si>
  <si>
    <r>
      <t xml:space="preserve">When present, surface water in </t>
    </r>
    <r>
      <rPr>
        <b/>
        <sz val="10"/>
        <rFont val="Arial Narrow"/>
        <family val="2"/>
      </rPr>
      <t>most</t>
    </r>
    <r>
      <rPr>
        <sz val="10"/>
        <rFont val="Arial Narrow"/>
        <family val="2"/>
      </rPr>
      <t xml:space="preserve"> of the AA usually consists of (select one):</t>
    </r>
  </si>
  <si>
    <t>Width of Vegetated Zone within Wetland</t>
  </si>
  <si>
    <r>
      <t>At the time during the growing season when the AA's water level is lowest, the average width of vegetated area</t>
    </r>
    <r>
      <rPr>
        <u/>
        <sz val="10"/>
        <rFont val="Arial Narrow"/>
        <family val="2"/>
      </rPr>
      <t xml:space="preserve"> </t>
    </r>
    <r>
      <rPr>
        <b/>
        <u/>
        <sz val="10"/>
        <rFont val="Arial Narrow"/>
        <family val="2"/>
      </rPr>
      <t xml:space="preserve">in </t>
    </r>
    <r>
      <rPr>
        <u/>
        <sz val="10"/>
        <rFont val="Arial Narrow"/>
        <family val="2"/>
      </rPr>
      <t>the AA</t>
    </r>
    <r>
      <rPr>
        <sz val="10"/>
        <rFont val="Arial Narrow"/>
        <family val="2"/>
      </rPr>
      <t xml:space="preserve"> that separates adjoining uplands from open water within the AA is:</t>
    </r>
  </si>
  <si>
    <t>Clumped. More than 70% of such vegetation is in bands along the wetland perimeter or is clumped at one or a few sides of the surface water area.</t>
  </si>
  <si>
    <t xml:space="preserve">Floating Algae &amp; Duckweed </t>
  </si>
  <si>
    <t>Tributary Channel</t>
  </si>
  <si>
    <r>
      <t xml:space="preserve">Input </t>
    </r>
    <r>
      <rPr>
        <sz val="11"/>
        <rFont val="Arial Narrow"/>
        <family val="2"/>
      </rPr>
      <t>Water Temperature</t>
    </r>
  </si>
  <si>
    <t>Channel Connection &amp; Outflow Duration</t>
  </si>
  <si>
    <t xml:space="preserve">Outflow Confinement </t>
  </si>
  <si>
    <r>
      <t>During major runoff events, in the places where</t>
    </r>
    <r>
      <rPr>
        <b/>
        <sz val="10"/>
        <rFont val="Arial Narrow"/>
        <family val="2"/>
      </rPr>
      <t xml:space="preserve"> surface</t>
    </r>
    <r>
      <rPr>
        <sz val="10"/>
        <rFont val="Arial Narrow"/>
        <family val="2"/>
      </rPr>
      <t xml:space="preserve"> water exits the AA or connected waters nearby, the water:</t>
    </r>
  </si>
  <si>
    <t>Beaver Probability</t>
  </si>
  <si>
    <t>Groundwater Strength of Evidence</t>
  </si>
  <si>
    <r>
      <t xml:space="preserve">The gradient along most of the flow path </t>
    </r>
    <r>
      <rPr>
        <b/>
        <sz val="10"/>
        <rFont val="Arial Narrow"/>
        <family val="2"/>
      </rPr>
      <t xml:space="preserve">within </t>
    </r>
    <r>
      <rPr>
        <sz val="10"/>
        <rFont val="Arial Narrow"/>
        <family val="2"/>
      </rPr>
      <t>the AA is:</t>
    </r>
  </si>
  <si>
    <t xml:space="preserve">Buffer Slope </t>
  </si>
  <si>
    <t>The steepest and/or most disturbed part of the upland area that is within 30 m of the wetland and occupies &gt;10% of that upland area has a percent slope of:</t>
  </si>
  <si>
    <t>&lt;1% (flat -- almost no noticeable slope) or all the area within 30 m of the AA edge is other wetlands.</t>
  </si>
  <si>
    <t>The maximum percentage of the wetland that is visible from the best vantage point on public roads, public parking lots, public buildings, or public maintained trails that intersect, adjoin, or are within 100 m of the AA (select one) is:</t>
  </si>
  <si>
    <t xml:space="preserve">Ownership </t>
  </si>
  <si>
    <t xml:space="preserve">Non-consumptive Uses - Actual or Potential </t>
  </si>
  <si>
    <r>
      <t>For an average person, walking is physically possible</t>
    </r>
    <r>
      <rPr>
        <u/>
        <sz val="10"/>
        <rFont val="Arial Narrow"/>
        <family val="2"/>
      </rPr>
      <t xml:space="preserve"> in</t>
    </r>
    <r>
      <rPr>
        <sz val="10"/>
        <rFont val="Arial Narrow"/>
        <family val="2"/>
      </rPr>
      <t xml:space="preserve"> (not just near) &gt;5% of the AA during most of the growing season, e.g., free of deep water and dense shrub thickets.</t>
    </r>
  </si>
  <si>
    <t>Maintained roads, parking areas, or foot-trails are within 10 m of the AA, or the AA can be accessed part of the year by boats arriving via contiguous waters.</t>
  </si>
  <si>
    <t xml:space="preserve">Unvisited Core Area </t>
  </si>
  <si>
    <t>Frequently Visited Area</t>
  </si>
  <si>
    <t xml:space="preserve">Consumptive Uses (Provisioning Services)  </t>
  </si>
  <si>
    <t>The closest wells or water bodies that currently provide drinking water are:</t>
  </si>
  <si>
    <r>
      <t xml:space="preserve">% of AA with </t>
    </r>
    <r>
      <rPr>
        <b/>
        <sz val="11"/>
        <rFont val="Arial Narrow"/>
        <family val="2"/>
      </rPr>
      <t xml:space="preserve">Persistent </t>
    </r>
    <r>
      <rPr>
        <sz val="11"/>
        <rFont val="Arial Narrow"/>
        <family val="2"/>
      </rPr>
      <t>Surface Water</t>
    </r>
  </si>
  <si>
    <r>
      <t xml:space="preserve">Surface water that persists for all or most of a year (and especially, during the early summer) provides more physical habitat for waterbirds. If no surface water persists, waterbird nesting can still be substantial if the wetland borders a lake, large river, or estuary. </t>
    </r>
    <r>
      <rPr>
        <i/>
        <sz val="10"/>
        <rFont val="Arial Narrow"/>
        <family val="2"/>
      </rPr>
      <t xml:space="preserve">In calculations, is excluded automatically (cell goes blank) if wetland never has surface water during an average year. </t>
    </r>
  </si>
  <si>
    <t xml:space="preserve">Size of Largest Nearby Vegetated Tract or Corridor </t>
  </si>
  <si>
    <t xml:space="preserve">Degraded Water Upstream </t>
  </si>
  <si>
    <t xml:space="preserve">Degraded Water Downstream </t>
  </si>
  <si>
    <t>Other Conservation Designation</t>
  </si>
  <si>
    <t>Species of Conservation Concern</t>
  </si>
  <si>
    <t>Calcareous Region</t>
  </si>
  <si>
    <t>Growing Degree Days</t>
  </si>
  <si>
    <t>Riparian buffers (in contrast to vegetation and other features located far from streams) can be responsible for up to 70% of the reduction in nutrient loads to streams (Diebel et al. 2009, Roberts &amp; Prince 2010), so a lack of an adequate buffer increases the opportunity (and thus value) for a wetland to process nutrients.. However, many factors other than buffers control a wetland’s water quality. These include underlying soils and geology, groundwater discharge or recharge rates, topography, plants and animals within a wetland, and proximity to the ocean (Feller 2005).</t>
  </si>
  <si>
    <t>Other factors being equal, wetlands in developed watersheds (with little remaining natural cover) tend to receive higher loads of sediment. Their sediment-trapping role could thus be considered to be more essential and valuable than if vegetated buffers were adequate to perform the same function.</t>
  </si>
  <si>
    <t>AVERAGE(WbirdFeed, Fishing, Core, PopCtr, DistRd)</t>
  </si>
  <si>
    <t>The capacity to support or contribute to an abundance or diversity of native frogs, toads, salamanders, and turtles.</t>
  </si>
  <si>
    <t xml:space="preserve">Other factors being equal, wetlands surrounded by little natural cover tend to receive higher loads of nitrate. Their nitrate removal role could thus be considered to be more essential and valuable for protecting waters further downstream. Even if the only watershed disturbance is logging, a typical post-logging shift from coniferous or mixed vegetation to deciduous vegetation can contribute 54% more nitrate to streams and alters the seasonal timing of the inputs and light availability (Roberts &amp; Bilby 2009). </t>
  </si>
  <si>
    <t>Relative Elevation in Watershed</t>
  </si>
  <si>
    <t>Herbaceous Uniqueness</t>
  </si>
  <si>
    <t>HerbUniq</t>
  </si>
  <si>
    <t>WoodyUniq</t>
  </si>
  <si>
    <t>Distance to Large Vegetated Tract</t>
  </si>
  <si>
    <r>
      <t>Especially during migration, the diversity of waterbirds may be greater in wetlands with fish because many wetland birds (e.g., loons, herons) feed extensively on fish.</t>
    </r>
    <r>
      <rPr>
        <i/>
        <sz val="10"/>
        <rFont val="Arial Narrow"/>
        <family val="2"/>
      </rPr>
      <t xml:space="preserve"> In calculations, receives maximum indicator score if wetland has fish, but if fish absent, this indicator is ignored.</t>
    </r>
  </si>
  <si>
    <r>
      <t>Breeding density of some waterbirds can be twice as great in fishless lakes than in lakes with fish, after accounting for lake area, and some species occur almost exclusively in fishless lakes due to greater abundance of aquatic invertebrates upon which they feed (Epners et al. 2010).</t>
    </r>
    <r>
      <rPr>
        <i/>
        <sz val="10"/>
        <rFont val="Arial Narrow"/>
        <family val="2"/>
      </rPr>
      <t xml:space="preserve"> In calculations, receives maximum indicator score if wetland has water but is fishless, whereas if fish are present, this indicator is ignored.</t>
    </r>
  </si>
  <si>
    <t>PondProx</t>
  </si>
  <si>
    <t>AVERAGE(FishAcc, AVERAGE(RdDis, Toxic, Core1, Core2, BMP)</t>
  </si>
  <si>
    <t>RareHerp</t>
  </si>
  <si>
    <t>Distance to Ponded Water</t>
  </si>
  <si>
    <t>AreaTotal12</t>
  </si>
  <si>
    <t>AVERAGE (SatPct, PermWpct, PondProx, Beaver, Interspers)</t>
  </si>
  <si>
    <t>Woody Uniqueness</t>
  </si>
  <si>
    <t>Such wetlands may be considered more valuable because the rare species they host contribute disproportionately to waterbird biodiversity at a regional scale.</t>
  </si>
  <si>
    <t>Native Plant Habitat</t>
  </si>
  <si>
    <t xml:space="preserve">In Ontario, forested wetlands with the most plant species were those with the largest areas and the largest proportion of upland forest within 250 m of the wetlands (Houlahan et al. 2006). </t>
  </si>
  <si>
    <t>DistBig15</t>
  </si>
  <si>
    <t>VegPctScape_S</t>
  </si>
  <si>
    <t>WetSize_S</t>
  </si>
  <si>
    <t>RareSpp_S</t>
  </si>
  <si>
    <t>AVERAGE [AVERAGE[VwidthAbs, WetSize, (AVERAGE(EmSens, ShrubPattS, WoodySens2, Gcover, UpEdge)), RareSpp]</t>
  </si>
  <si>
    <t>Elev_S</t>
  </si>
  <si>
    <t>Wetlands near headwaters have less exposure to waterborne colonizing plant propagules, thus potentially longer recovery times and greater sensitivity.</t>
  </si>
  <si>
    <t>Stream Flow Support</t>
  </si>
  <si>
    <t>Elev4</t>
  </si>
  <si>
    <t>Vegetated Buffer as % of Perimeter</t>
  </si>
  <si>
    <t xml:space="preserve">Trees near water edges discourage use of those areas by some waterbird species, probably because it potentially conceals or provides a perch for predators such as eagles and falcons (Shepherd &amp; Lank 2004, Sprague et al. 2008). </t>
  </si>
  <si>
    <r>
      <t xml:space="preserve">% of AA </t>
    </r>
    <r>
      <rPr>
        <b/>
        <sz val="11"/>
        <rFont val="Arial Narrow"/>
        <family val="2"/>
      </rPr>
      <t xml:space="preserve">Without </t>
    </r>
    <r>
      <rPr>
        <sz val="11"/>
        <rFont val="Arial Narrow"/>
        <family val="2"/>
      </rPr>
      <t>Surface Water</t>
    </r>
  </si>
  <si>
    <r>
      <t xml:space="preserve">At mid-day during the warmest time of year, the area of surface water </t>
    </r>
    <r>
      <rPr>
        <u/>
        <sz val="10"/>
        <rFont val="Arial Narrow"/>
        <family val="2"/>
      </rPr>
      <t>within</t>
    </r>
    <r>
      <rPr>
        <sz val="10"/>
        <rFont val="Arial Narrow"/>
        <family val="2"/>
      </rPr>
      <t xml:space="preserve"> the AA that is shaded by vegetation and other features </t>
    </r>
    <r>
      <rPr>
        <b/>
        <sz val="10"/>
        <rFont val="Arial Narrow"/>
        <family val="2"/>
      </rPr>
      <t xml:space="preserve">that are </t>
    </r>
    <r>
      <rPr>
        <b/>
        <u/>
        <sz val="10"/>
        <rFont val="Arial Narrow"/>
        <family val="2"/>
      </rPr>
      <t>within</t>
    </r>
    <r>
      <rPr>
        <sz val="10"/>
        <rFont val="Arial Narrow"/>
        <family val="2"/>
      </rPr>
      <t xml:space="preserve"> the AA at that time is:</t>
    </r>
  </si>
  <si>
    <t>Nitrogen-fixing plants (e.g., alder, sweetgale, clover, lupine, other legumes) comprise:</t>
  </si>
  <si>
    <r>
      <t xml:space="preserve">&lt;1% of the shrub cover </t>
    </r>
    <r>
      <rPr>
        <b/>
        <sz val="10"/>
        <rFont val="Arial Narrow"/>
        <family val="2"/>
      </rPr>
      <t>and</t>
    </r>
    <r>
      <rPr>
        <sz val="10"/>
        <rFont val="Arial Narrow"/>
        <family val="2"/>
      </rPr>
      <t xml:space="preserve"> &lt;1% of the ground cover, or trees are the only cover.</t>
    </r>
  </si>
  <si>
    <t>Woody Height &amp; Form Diversity</t>
  </si>
  <si>
    <t>Deciduous Woody Cover</t>
  </si>
  <si>
    <t>DecidCov15</t>
  </si>
  <si>
    <t>CalcFen15</t>
  </si>
  <si>
    <t>HerbUniq20</t>
  </si>
  <si>
    <t>RarePsp20</t>
  </si>
  <si>
    <t>AVERAGE (Beaver, NatVegCA, BuffLUpd, PondScape, PondProx)</t>
  </si>
  <si>
    <t>Invas15</t>
  </si>
  <si>
    <t>F3A</t>
  </si>
  <si>
    <t>Denitrification may be less under evergreen canopies than under deciduous because of the more shaded (cooler) microclimate and acidic soil conditions of the former.</t>
  </si>
  <si>
    <t>Groundwater in many areas is phosphorus-rich, especially when associated with iron-rich bedrock. This increases the opportunity of the receiving wetlands to process the P, thus increasing the importance (value) of their role in the local ecosystem.</t>
  </si>
  <si>
    <r>
      <t>Collen, P. and R. J. Gibson. 2001. The general ecology of beavers (</t>
    </r>
    <r>
      <rPr>
        <i/>
        <sz val="10"/>
        <rFont val="Arial Narrow"/>
        <family val="2"/>
      </rPr>
      <t>Castor</t>
    </r>
    <r>
      <rPr>
        <sz val="10"/>
        <rFont val="Arial Narrow"/>
        <family val="2"/>
      </rPr>
      <t xml:space="preserve"> spp.), as related to their influence on stream ecosystems and riparian habitats, and the subsequent effects on fish – a review. Reviews in Fish Biology and Fisheries 10:439–461.</t>
    </r>
  </si>
  <si>
    <t>Meyer, J. L., D. L. Strayer, J. B. Wallace, S. L. Eggert, G. S. Helfman, and N. E. Leonard. 2007. The Contribution of Headwater Streams to Biodiversity in River Networks. JAWRA Journal of the American Water Resources Association 43:86-103.</t>
  </si>
  <si>
    <r>
      <t>Wipfli, M. S. and J. Musslewhite. 2004. Density of red alder (</t>
    </r>
    <r>
      <rPr>
        <i/>
        <sz val="10"/>
        <rFont val="Arial Narrow"/>
        <family val="2"/>
      </rPr>
      <t>Alnus rubra</t>
    </r>
    <r>
      <rPr>
        <sz val="10"/>
        <rFont val="Arial Narrow"/>
        <family val="2"/>
      </rPr>
      <t>) in headwaters influences invertebrate and detritus subsidies to downstream fish habitats in Alaska. Hydrobiologia 520:153-163.</t>
    </r>
  </si>
  <si>
    <t xml:space="preserve">Streams adjoined by natural vegetation provide shade that helps maintain water temperature, as well as supporting richer and healthier communities of fish as well as invertebrates. Often, only very tolerant fish species are present in streams in heavily urbanized areas (Yoder et al. 1999) and invasive species may enjoy a competitive advantage over native species under urban conditions. </t>
  </si>
  <si>
    <t xml:space="preserve">Aquatic invertebrates are especially valued in food webs when the same wetland's structure also strongly supports important consumers such as fish, bats, and birds (Baxter et al. 2005, Gende &amp; Wilson 2001, Christie &amp; Reimchen 2008). </t>
  </si>
  <si>
    <t>Schmutzer, A. C., M. J. Gray, E. C. Burton, and D. L. Miller. 2008. Impacts of cattle on amphibian larvae and the aquatic environment. Freshwater Biology 53:2613-2625.</t>
  </si>
  <si>
    <r>
      <t>Wood, W. E. and S. M. Yezerinac. 2006. Song sparrow (</t>
    </r>
    <r>
      <rPr>
        <i/>
        <sz val="10"/>
        <rFont val="Arial Narrow"/>
        <family val="2"/>
      </rPr>
      <t>Melospiza melodia</t>
    </r>
    <r>
      <rPr>
        <sz val="10"/>
        <rFont val="Arial Narrow"/>
        <family val="2"/>
      </rPr>
      <t>) song varies with urban noise. Auk 123:650-659.</t>
    </r>
  </si>
  <si>
    <t>Due to fertilizing effects of its nitrogen-fixing capacity, alder can increase the abundance of forbs important to songbirds and other wildlife.</t>
  </si>
  <si>
    <t>Different plant species occur under different moisture regimes, which correlate with different elevations (Samoni et al. 2010), so a greater diversity of elevations (i.e., complex microtopography) often supports a wider variety of plants. Adding small ridges and furrows to constructed depressional wetlands was found in one study to increase their percent cover of obligate wetland species (Alsfeld et al. 2009). Wetlands with more varied topography tended to have greater plant species richness because this creates different flood frequencies within the wetland (Pollack et al. 1998).</t>
  </si>
  <si>
    <t xml:space="preserve">Soil organic matter is slow to accumulate in constructed wetlands (Alsfeld et al. 2009), so less is likely to be available for export. </t>
  </si>
  <si>
    <t>Man-made wetlands typically have less diverse vegetation and limited soil carbon, making them more sensitive to extreme natural events and slower to recover.</t>
  </si>
  <si>
    <r>
      <t xml:space="preserve">Hogg, E. H. and V. J. Lieffers. 1991. The impact of </t>
    </r>
    <r>
      <rPr>
        <i/>
        <sz val="10"/>
        <rFont val="Arial Narrow"/>
        <family val="2"/>
      </rPr>
      <t>Calamagrostis canadensis</t>
    </r>
    <r>
      <rPr>
        <sz val="10"/>
        <rFont val="Arial Narrow"/>
        <family val="2"/>
      </rPr>
      <t xml:space="preserve"> on soil thermal regimes after logging in northern Alberta. Canadian Journal of Forest Research 21:387-394.</t>
    </r>
  </si>
  <si>
    <t>Anadromous Fish Habitat</t>
  </si>
  <si>
    <r>
      <t xml:space="preserve">Except when spawning, most anadromous fish spend much of their time in deep water because of the typically cooler temperatures and cover it provides. Preferred depths vary by species, season, and channel type. </t>
    </r>
    <r>
      <rPr>
        <i/>
        <sz val="10"/>
        <rFont val="Arial Narrow"/>
        <family val="2"/>
      </rPr>
      <t xml:space="preserve">In calculations, is excluded automatically (cell goes blank) if wetland never has surface water during an average year. </t>
    </r>
  </si>
  <si>
    <t>Waterbird Nesting Habitat</t>
  </si>
  <si>
    <t>Price, J. S. 1991. Evaporation from a blanket bog in a foggy coastal environment. Boundary-Layer Meteorology 57:391-406.</t>
  </si>
  <si>
    <t>Groundwater discharging into wetlands supports a wetland's capacity to cool surface runoff during summer, because groundwater in most cases is cooler than surface water during that time (Mellina et al. 2002). In this region, cooler stream temperatures are associated with a greater proportion of groundwater-discharging wetlands in stream headwaters (Monk et al. 2013).</t>
  </si>
  <si>
    <t>Monk, W. A., N. M. Wilbur, R. A. Curry, R. Gagnon, and R. N. Faux. 2013. Linking landscape variables to cold water refugia in rivers. Journal of Environmental Management 118:170-176.</t>
  </si>
  <si>
    <t>Gorham, E., J. K. Underwood, J. A. Janssens, B. Freedman, W. Maass, D. H. Waller, and J. G. Ogden. 1998. The chemistry of streams in southwestern and central Nova Scotia, with particular reference to catchment vegetation and the influence of dissolved organic carbon primarily from wetlands. Wetlands 18:115-132.</t>
  </si>
  <si>
    <t>Denitrification rates are often limited by the amount of available carbon (Groffman et al. 2009, Capps et al. 2014). Organic soils have the most carbon, and coarse soils usually have the least. Denitrification enzyme activity, on a per gram basis, is typically greater in organic soils than mineral soils (Van Hoewyk et al. 2000). However, the acidic nature of many organic soils can limit denitrification, the major process for nitrate removal. Soils having less than 65% silt and clay have very limited capacity to remove nitrate via denitrification (Pinay et al. 2003). Emissions of nitrous oxide (a detrimental greenhouse gas) are most likely to occur in soils that are poor in organic matter but rich in nitrogen (e.g., the carbon-nitrogen ratio is less than 25, Hunt et al. 2007). The 40 cm threshold represents a frequent transition zone in some soil types from aerobic to anaerobic conditions; in other soils the transition occurs at about 25 cm</t>
  </si>
  <si>
    <t>Capps, K. A., R. Rancatti, N. Tomczyk, T. B. Parr, A. J. K. Calhoun, and M. Hunter Jr. 2014. Biogeochemical hotspots in forested landscapes: the role of vernal pools in denitrification and organic matter processing. Ecosystems 17:1455-1468.</t>
  </si>
  <si>
    <t>Devito, K. J., P. J. Dillon, and B. D. Lazerte. 1989. Phosphorus and nitrogen retention in five Precambrian Shield wetlands. Biogeochemistry 8:185–204.</t>
  </si>
  <si>
    <r>
      <t xml:space="preserve">Glenn, A. J., L. B. Flanagan, K. H. Syed, and P. J. Carlson. 2006. Comparison of net ecosystem CO2 exchange in two peatlands in western Canada with contrasting dominant vegetation, </t>
    </r>
    <r>
      <rPr>
        <i/>
        <sz val="10"/>
        <rFont val="Arial Narrow"/>
        <family val="2"/>
      </rPr>
      <t>Sphagnum</t>
    </r>
    <r>
      <rPr>
        <sz val="10"/>
        <rFont val="Arial Narrow"/>
        <family val="2"/>
      </rPr>
      <t xml:space="preserve"> and </t>
    </r>
    <r>
      <rPr>
        <i/>
        <sz val="10"/>
        <rFont val="Arial Narrow"/>
        <family val="2"/>
      </rPr>
      <t>Carex</t>
    </r>
    <r>
      <rPr>
        <sz val="10"/>
        <rFont val="Arial Narrow"/>
        <family val="2"/>
      </rPr>
      <t>. Agricultural and Forest Meteorology 140:115-135.</t>
    </r>
  </si>
  <si>
    <t>Dalva, M. and T. R. Moore. 1991. Sources and sinks of dissolved organic carbon in a forested swamp catchment. Biogeochemistry 15:1-19.</t>
  </si>
  <si>
    <t>Baldwin, R. F., A. J. K. Calhoun, and P. G. DeMaynadier. 2006a. The significance of hydroperiod and stand maturity for pool-breeding amphibians in forested landscapes. Canadian Journal of Zoology 84:1604-1615.</t>
  </si>
  <si>
    <t>Collins, S. J. and R. W. Russell. 2009. Toxicity of road salt to Nova Scotia amphibians. Environmental Pollution 157:320-324.</t>
  </si>
  <si>
    <t>Gravel, M., M. J. Mazerolle, and M.-A. Villard. 2012. Interactive effects of roads and weather on juvenile amphibian movements. Amphibia-Reptilia 33:113-127.</t>
  </si>
  <si>
    <t>Mazerolle, M. J. 2004. Amphibian road mortality in response to nightly variations in traffic intensity. Herpetologica 60:45-53.</t>
  </si>
  <si>
    <t>Patrick, D. A., M. L. Hunter, and A. J. K. Calhoun. 2006. Effects of experimental forestry treatments on a Maine amphibian community. Forest Ecology and Management 234:323-332.</t>
  </si>
  <si>
    <t>Patrick, D. A., E. B. Harper, M. L. Hunter Jr, and A. J. K. Calhoun. 2008. Terrestrial habitat selection and strong density-dependent mortality in recently metamorphosed amphibians. Ecology 89:2563-2574.</t>
  </si>
  <si>
    <t>Waldick, R. C., B. Freedman, and R. J. Wassersug. 1999. The consequences for amphibians of the conversion of natural, mixed-species forests to conifer plantations in southern New Brunswick. Canadian Field-Naturalist 113:408-418.</t>
  </si>
  <si>
    <t>Gibbs, J. P., J. R. Longcore, D. G. McAuley, and J. K. Ringelman. 1991. Use of Wetland Habitats by Selected Nongame Water Birds in Maine. Report No. 9. U.S. Fish and Wildlife Service, Washington, DC.</t>
  </si>
  <si>
    <t>Hierl, L. A., C. S. Loftin, J. R. Longcore, D. G. McAuley, and D. L. Urban. 2007. A multivariate assessment of changes in wetland habitat for waterbirds at Moosehorn National Wildlife Refuge, Maine, USA. Wetlands 27:141-152.</t>
  </si>
  <si>
    <t>Parker, G. R. 1991. Survival of juvenile American black ducks on a managed wetland in New Brunswick. Journal of Wildlife Management 55:466-470.</t>
  </si>
  <si>
    <t>Prince, H. H. 1968. Nest sites used by wood ducks and common goldeneyes in New Brunswick. Journal of Wildlife Management 32:489-500.</t>
  </si>
  <si>
    <t>Desrochers, A., L. Rochefort, and J.-P. L. Savard. 1998. Avian recolonization of eastern Canadian bogs after peat mining. Canadian Journal of Zoology 76:989-997.</t>
  </si>
  <si>
    <t>Drapeau, P., A. Nappi, L. Imbeau, and M. Saint-Germain. 2009. Standing deadwood for keystone bird species in the eastern boreal forest: managing for snag dynamics. The Forestry Chronicle 85:227-234.</t>
  </si>
  <si>
    <t>Whitaker, D. M. and W. A. Montevecchi. 1999. Breeding bird assemblages inhabiting riparian buffer strips in Newfoundland, Canada. The Journal of Wildlife Management:167-179.</t>
  </si>
  <si>
    <t>Wetlands, especially bogs, that are ice-free for longer during the year, as inferred from growing degree days, tend to have more plant species (Glaser 1992).</t>
  </si>
  <si>
    <t>Catling, P. M., B. Freedman, C. Stewart, J. J. Kerekes, and L. P. Lefkovitch. 1986. Aquatic plants of acid lakes in Kejimkujik National Park, Nova Scotia; floristic composition and relation to water chemistry. Canadian Journal of Botany 64:724-729.</t>
  </si>
  <si>
    <t>Glaser, P. H. 1992. Raised bogs in eastern North America--regional controls for species richness and floristic assemblages. Journal of Ecology:535-554.</t>
  </si>
  <si>
    <t>Kerekes, J. and B. Freedman. 1989. Characteristics of three acidic lakes in Kejimkujik National Park, Nova Scotia, Canada. Archives of Environmental Contamination and Toxicology 18:183-200.</t>
  </si>
  <si>
    <t>Langlois, M. N., J. S. Price, and L. Rochefort. 2015. Landscape analysis of nutrient-enriched margins (lagg) in ombrotrophic peatlands. Science of the Total Environment 505:573-586.</t>
  </si>
  <si>
    <t>Freda, J. 1986. The influence of acidic pond water on amphibians: a review. Water, Air, and Soil Pollution 30:439-450.</t>
  </si>
  <si>
    <t>Wood, J. A. and C. D. A. Rubec. 1989. Chemical characterization of several wetlands in Kejimkujik National Park, Nova Scotia. Water, Air, and Soil Pollution 46:177-186.</t>
  </si>
  <si>
    <t xml:space="preserve">Because actual data on sediment loads are lacking for many wetland watersheds, this approximation is included as well, and is based on a host of activities known in some cases to contribute excessive sediment, e.g., wetland ditching (Pavey et al. 2007). </t>
  </si>
  <si>
    <t>Pavey, B., A. Saint-Hilaire, S. Courtenay, T. Ouarda, and B. Bobee. 2007. Exploratory study of suspended sediment concentrations downstream of harvested peat bogs. Environmental Monitoring and Assessment 135:369-382.</t>
  </si>
  <si>
    <t>Mullen, S. F., J. A. Janssens, and E. Gorham. 2000. Acidity of and the concentrations of major and minor metals in the surface waters of bryophyte assemblages from 20 North American bogs and fens. Canadian Journal of Botany 78:718-727.</t>
  </si>
  <si>
    <t>Mazerolle, M. J. 2001. Amphibian activity, movement patterns, and body size in fragmented peat bogs. Journal of Herpetology 35:13-20.</t>
  </si>
  <si>
    <t>Mazerolle, M. J. 2005. Drainage ditches facilitate frog movements in a hostile landscape. Landscape Ecology 20:579-590.</t>
  </si>
  <si>
    <t>Mazerolle, M. J. and A. Desrochers. 2005. Landscape resistance to frog movements. Canadian Journal of Zoology 83:455-464.</t>
  </si>
  <si>
    <t>Karraker, N. E. and J. P. Gibbs. 2011. Road deicing salt irreversibly disrupts osmoregulation of salamander egg clutches. Environmental Pollution 159:833-835.</t>
  </si>
  <si>
    <t>Keddy, P. A. and I. C. Wisheu. 1989. Ecology, biogeography, and conservation of coastal plain plants: some general principles from the study of Nova Scotian wetlands. Rhodora:72-94.</t>
  </si>
  <si>
    <t>Hill, N. M. and P. A. Keddy. 1992. Prediction of rarities from habitat variables: coastal plain plants on Nova Scotian lakeshores. Ecology:1852-1859.</t>
  </si>
  <si>
    <t>Hinds, H. R. 1983. The Rare Vascular Plants of New Brunswick. Syllogeus Series No. 50. National Museum of Natural Sciences, Ottawa, ON.</t>
  </si>
  <si>
    <t>Hinds, H. R. 2000. Flora of New Brunswick, Second Edition. University of New Brunswick, Biology Department, Fredericton, NB.</t>
  </si>
  <si>
    <t>Moore, D. R. J., P. A. Keddy, C. L. Gaudet, and I. C. Wisheu. 1989. Conservation of wetlands: do infertile wetlands deserve a higher priority? Biological Conservation 47:203-217.</t>
  </si>
  <si>
    <t xml:space="preserve">Coarse soils tend to be less productive and in some cases this results in reduced species richness of wetland plants. Wetland soils with higher organic content often support greater plant species richness (e.g., Alsfeld et al. 2009). </t>
  </si>
  <si>
    <t>Groundwater provides relatively warm temperatures that can maintain ice-free conditions for longer, and helps sustain water levels and low flows, thus increasing annual production. However, the "flocs" created by the presence of iron oxidizing bacteria in some instances causes groundwater to be deficient in oxygen that is critical to resident fish, especially when this occurs under winter ice cover.</t>
  </si>
  <si>
    <t>Morley, T. R., A. S. Reeve, and A. J. K. Calhoun. 2011. The role of headwater wetlands in altering streamflow and chemistry in a Maine, USA catchment. Journal of American Water Resources Association (JAWRA) 47:337-349.</t>
  </si>
  <si>
    <t>Although hardly representative of the needs of all wetland-dependent songbirds and mammals, the presence of suitable wintering habitat for deer is an important component of this function. However, very high deer densities reduce habitat for ground- and understory-nesting birds.</t>
  </si>
  <si>
    <r>
      <t xml:space="preserve">Beaver impoundments, especially after they are abandoned and revert to early successional shrubs, support higher bird species richness than many other land cover types (Grover &amp; Baldassarre 1995, Aznar &amp; Desrochers 2008) and are also important to river otter (LeBlanc et al. 2007, Gallant et al. 2009). </t>
    </r>
    <r>
      <rPr>
        <i/>
        <sz val="10"/>
        <rFont val="Arial Narrow"/>
        <family val="2"/>
      </rPr>
      <t>In calculations, is excluded automatically (cell goes blank) if wetland never has surface water during an average year.</t>
    </r>
  </si>
  <si>
    <t>Snaith, T. V., K. F. Beazley, F. MacKinnon, and P. Duinker. 2002. Preliminary habitat suitability analysis for moose in mainland Nova Scotia, Canada. Alces 38:73-88.</t>
  </si>
  <si>
    <t>Traffic poses a hazard to songbirds and mammals that attempt to cross roads (Forman et al. 2002, Clevenger et al. 2003, Massey et al. 2008, Minor &amp; Urban 2010, Tremblay &amp; St. Clair 2010, and see reviews by Fahrig &amp; Rytwinski 2009, Benitez-Lopez et al. 2010). Roadsides also may channel the movements of predators. Noise from heavy traffic interferes with bird reproduction because some birds cannot hear singing of prospective mates (Wood &amp; Yezerinac 2006, Slabbekoorn &amp; Ripmeester 2008, Barber et al. 2010) and road noise can restrict habitat use by bats (Schaub et al. 2008) and moose (Snaith et al. 2002).</t>
  </si>
  <si>
    <t>Popescu, V. D., D. A. Patrick, M. L. Hunter, and A. J. K. Calhoun. 2012. The role of forest harvesting and subsequent vegetative regrowth in determining patterns of amphibian habitat use. Forest Ecology and Management 270:163-174.</t>
  </si>
  <si>
    <r>
      <t xml:space="preserve">A gentle shore slope provides waterbirds with easier access to upland nesting cover near the water (Staicer et al. 1994). </t>
    </r>
    <r>
      <rPr>
        <i/>
        <sz val="10"/>
        <rFont val="Arial Narrow"/>
        <family val="2"/>
      </rPr>
      <t>In calculations, is excluded automatically (cell goes blank) if wetland never has surface water during an average year, or has no open water.</t>
    </r>
  </si>
  <si>
    <t>Staicer, C. A., B. Freedman, D. Srivastava, N. Dowd, J. Kilgar, J. Hayden, F. Payne, and T. Pollock. 1994. Use of lakes by black duck broods in relation to biological, chemical, and physical features. Pages 185-199 in G. A. J. Clark, editor. Aquatic Birds in the Trophic Web of Lakes. Springer, Netherlands.</t>
  </si>
  <si>
    <t>Urban, N. R., S. E. Bayley, and S. J. Eisenreich. 1989. Export of dissolved organic carbon and acidity from peatlands. Water Resources Research 25:1619-1628.</t>
  </si>
  <si>
    <t>Srivastava, D. S., C. A. Staicer, and B. Freedman. 1995. Aquatic vegetation of Nova Scotian lakes differing in acidity and trophic status. Aquatic Botany 51:181-196.</t>
  </si>
  <si>
    <t>Krause, H. H. 1982. Nitrate formation and movement before and after clear-cutting of a monitored watershed in central New Brunswick, Canada. Canadian Journal of Forest Research 12:922-930.</t>
  </si>
  <si>
    <t>Price, J. S. and D. A. Maloney. 1994. Hydrology of a patterned bog-fen complex in southeastern Labrador, Canada. Nordic Hydrology 25:313-330.</t>
  </si>
  <si>
    <r>
      <t xml:space="preserve">Snags provide nest cavities for a few waterbird species, e.g., wood duck, common goldeneye (Prince 1968). Such trees may be used even when located a considerable distance from the wetland. </t>
    </r>
    <r>
      <rPr>
        <i/>
        <sz val="10"/>
        <rFont val="Arial Narrow"/>
        <family val="2"/>
      </rPr>
      <t>In calculations, is excluded automatically (cell goes blank) if wetland has few or no trees.</t>
    </r>
  </si>
  <si>
    <t>Keddy, P. A., A. J. Spavold, and C. J. Keddy. 1979. Snowmobile impact on old field and marsh vegetation in Nova Scotia, Canada: An experimental study. Environmental Management 3:409-415.</t>
  </si>
  <si>
    <t>Wisheu, I. C. and P. A. Keddy. 1994. The low competitive ability of Canada's Atlantic coastal plain shoreline flora: Implications for conservation. Biological Conservation 68:247-252.</t>
  </si>
  <si>
    <t>Freedman, B., V. Zelazny, D. Beaudette, T. Fleming, G. Johnson, S. Flemming, J. S. Gerrow, G. Forbes, and S. Woodley. 1996. Biodiversity implications of changes in the quantity of dead organic matter in managed forests. Environmental Reviews 4: 238-265.</t>
  </si>
  <si>
    <t>Several ( &gt;8/hectare) and a pond, lake, or slow-flowing water wider than 10 m is within 1 km.</t>
  </si>
  <si>
    <t>Several ( &gt;8/hectare) but above not true.</t>
  </si>
  <si>
    <t>Laenen, A. 1980. Storm Runoff as Related to Urbanization in the Portland, Oregon-Vancouver, Washington Area. Water Resources Investigations 80-689. U.S. Geological Survey, Portland, OR.</t>
  </si>
  <si>
    <t>Function         Indicators</t>
  </si>
  <si>
    <t>Function Indicators</t>
  </si>
  <si>
    <t>Northward (N, NE). north-facing contributing area.</t>
  </si>
  <si>
    <t>Southward (S, SW). south-facing contributing area.</t>
  </si>
  <si>
    <t>Consider the parts of the AA that lack surface water at the driest time of the growing season. Viewed from directly above the ground layer, the predominant condition in those areas at that time is:</t>
  </si>
  <si>
    <t>Not applicable. Surface water (either open or obscured by emergent plants) covers all of the AA all the time.</t>
  </si>
  <si>
    <t>&gt;2 m deep. True for many fringe wetlands.</t>
  </si>
  <si>
    <t>Neither of above. There are 3 or more depth classes and none occupy &gt;50%.</t>
  </si>
  <si>
    <t>Scattered. More than 30% of such vegetation forms small islands or corridors surrounded by water.</t>
  </si>
  <si>
    <t>At some time of the year, mats of algae and/or duckweed are likely to cover &gt;50% of the AA's otherwise-unshaded water surface, or blanket &gt;50% of the underwater substrate. If true, enter "1" in next column. If untrue or uncertain, enter "0".</t>
  </si>
  <si>
    <t>Based on lack of shade, water source characteristics, or actual temperature measurements, the inflow is likely to be warmer than surface water in the AA during part of most years. Enter 1= yes, 0= no.</t>
  </si>
  <si>
    <t>Neither of above is true, although some groundwater may discharge to or flow through the AA. Or groundwater influx is unknown.</t>
  </si>
  <si>
    <t>Boardwalks, paved trails, fences or other infrastructure and/or well-enforced regulations appear to effectively prevent visitors from walking on soil within nearly all of the AA when the soil is unfrozen. Enter "1" if true.</t>
  </si>
  <si>
    <t>Recent evidence was found within the AA of the following potentially-sustainable consumptive uses. Select ALL that apply.</t>
  </si>
  <si>
    <t>In the last column, place a check mark next to any item that is likely to have caused the timing of water inputs (but not necessarily their volume) to shift by hours, days, or weeks, becoming either more muted (smaller or less frequent peaks spread over longer times, more temporal homogeneity of flow or water levels) or more flashy (larger or more frequent spikes but over shorter times). [FA, FR, INV, PH, STR]</t>
  </si>
  <si>
    <t xml:space="preserve">If any items were checked above, then for each row of the table below, assign points. However, if you believe the checked items had no measurable effect on the timing of water conditions in any part of the AA, then leave the "0's" for the scores in the following rows. To estimate effects, contrast the current condition with the condition if the checked items never occurred or were no longer present. </t>
  </si>
  <si>
    <t xml:space="preserve">If any items were checked above, then for each row of the table below, assign points. However, if you believe the checked items did not cumulatively expose the AA to significantly higher levels of contaminants and/or salts, then leave the "0's" for the scores in the following rows. To estimate effects, contrast the current condition with the condition if the checked items never occurred or were no longer present. </t>
  </si>
  <si>
    <t xml:space="preserve">If any items were checked above, then for each row of the table below, assign points. However, if you believe the checked items did not cumulatively expose the AA to significantly more nutrients, then leave the "0's" for the scores in the following rows. To estimate effects, contrast the current condition with the condition if the checked items never occurred or were no longer present. </t>
  </si>
  <si>
    <t xml:space="preserve">If any items were checked above, then for each row of the table below, assign points (3, 2, or 1 as shown in header) in the last column. However, if you believe the checked items did not cumulatively add significantly more sediment or suspended solids to the AA, then leave the "0's" for the scores in the following rows. To estimate effects, contrast the current condition with the condition if the checked items never occurred or were no longer present. </t>
  </si>
  <si>
    <t xml:space="preserve">If any items were checked above, then for each row of the table below, assign points. However, if you believe the checked items did not measurably alter the soil structure and/or topography, then leave the "0's" for the scores in the following rows. To estimate effects, contrast the current condition with the condition if the checked items never occurred or were no longer present. </t>
  </si>
  <si>
    <t xml:space="preserve">Considerable amounts of water can be stored below the land surface in peat and coarse-textured substrates. However, very little new runoff can be stored if the substrates are already saturated. Peat tends to be saturated much of the time, and groundwater discharge dominates many wetlands with coarse-textured substrate, keeping those saturated much of the time and thus limiting the capacity to store additional water. Runoff ratio (the percent of precipitation that contributes to streamflow immediately after storms) is lowest for open peatland areas with thick organic horizons (0.02-0.05) due to low topographic gradients and many surface depressions capable of retaining surface water. Runoff ratio is greatest in areas with more permeable soils, at least where those areas aren't sloping. That is due partly to higher likelihood of groundwater reaching the land surface via seeps (Quinton et al. 2003, Emili &amp; Price 2006). </t>
  </si>
  <si>
    <t>Many or most fens are groundwater discharge areas (Siegel &amp; Glaser 1987), and such discharge is more seasonally stable and thus more likely to contribute water late in the season when streamflow otherwise can be low. Some bogs, especially those that have outlets, discharge groundwater and thus potentially influence low flows (Siegal 1988). Where located near the Maritime coast, they lose relatively little water to evaporation and infiltration (Price 1992). Much of their water is released later in the spring and summer than in other wetland types, due to its remaining frozen later on account of the insulating effects of peat (Price &amp; Maloney 1994). Water tables in riparian swamps and marshes typically fluctuate with river levels, and so are less likely to contribute much water during low flow conditions.</t>
  </si>
  <si>
    <t>Wetlands whose shorelines have gentle slope are more likely than those with steep ones to retain sediment runoff from adjoining uplands, and are likely to have more vegetation that facilitates this. In calculations, is excluded automatically (cell goes blank) if wetland never has surface water during an average year, or has no open water.</t>
  </si>
  <si>
    <t xml:space="preserve">The effectiveness for retaining particulate nitrate and converting soluble nitrate and ammonium to nitrogen gas, primarily through the microbial process of denitrification, while generating little or no nitrous oxide (a potent greenhouse gas). </t>
  </si>
  <si>
    <t xml:space="preserve">The effectiveness for retaining both incoming particulate and dissolved carbon, and through the photosynthetic process converting carbon dioxide gas to organic matter (particulate or dissolved), and then retaining that organic matter on a net annual basis for long periods while emitting little or no methane (a potent “greenhouse gas”). </t>
  </si>
  <si>
    <t xml:space="preserve">Wetland emissions of methane increase with warming temperatures (Moosavi et al. 1994, Sha et al. 2011). Although plants responsible for much of the carbon sequestration in wetlands grow fastest at warmer soil or sediment temperatures, they also decompose faster. With colder temperatures (fewer degree days), the concentration of mobile DOC in forested wetland soils and streams decreases, suggesting more immobile carbon is sequestered onsite rather than being exported downslope in groundwater (D’Amore et al. 2010). </t>
  </si>
  <si>
    <t xml:space="preserve">Where groundwater is anaerobic (as it often is) it can stimulate methane emissions, as can its usually circumneutral acidity (Updegraff et al. 1995). As a result less carbon may be sequestered in some groundwater-fed wetlands (Smemo &amp;Yavitt 2006). However, in many wetlands groundwater also increases the levels of iron, calcium, and sulfate in surface water (Heagle et al. 2007) which can result in less methane emission. Lakes and wetlands with large groundwater inputs may have less organic matter in their sediments (Squires et al. 2006), thus generating less methane. </t>
  </si>
  <si>
    <t xml:space="preserve">The initial sparseness of vegetation in new wetlands suggests that overall carbon stores are less than in some of the more mature wetlands with greater plant cover, diversity, and structural complexity. Aboveground production and soil organic matter have been shown to be less in lands newly restored to wetland conditions than in long-established wetlands (Fennessy et al. 2008). However, many pioneering plants in new wetlands (especially on fertile soils) grow rapidly and thus are fixing large amounts of carbon per plant per unit time. In recovering windfall areas mosses established a dense carpet on windthrow mounds within the first few decades after the disturbance and quickly sequestered carbon. They were found to comprise as much as 25% of understory plant biomass and as much as 50% of understory productivity (den Ouden &amp; Alaback 1996). </t>
  </si>
  <si>
    <t>MacKenzie, W. and J. Shaw. 2000. Wetland classification and habitats at risk in British Columbia. Volume Two. Pages 537-547 in L. M. Darling, editor. Proceedings of a Conference on the Biology and Management of Species and Habitats at Risk, Kamloops, B.C.,15 - 19 Feb.,1999. B.C. Ministry of Environment, Lands and Parks, Victoria, B.C. and University College of the Cariboo, Kamloops, B.C. .</t>
  </si>
  <si>
    <t>Roulet, N. T., P. M. Crill, N. T. Comer, A. Dove, and R. A. Boubonniere. 1997. CO2 and CH4 flux between a boreal beaver pond and the atmosphere. Journal of Geophysical Research 102(D24): 29313-29.</t>
  </si>
  <si>
    <t>Plants are most productive at warmer soil or sediment temperatures, and their foliage that contributes organic matter to downslope food chains decomposes most rapidly under warmer conditions (Fissore et al. 2009). Those conditions are described by increasing mean annual temperature. As soil temperatures increase, so does the concentration of DOC in forested wetland soils and streams, and in that form carbon is readily exported (D’Amore et al. 2010). The production of Sphagnum moss in particular is greater in warmer areas (Gunnarsson 2005). However, ice that is more prevalent in cooler regions can erode organic matter and aid its transport out of a wetland during ice-melt periods.</t>
  </si>
  <si>
    <t xml:space="preserve"> Increased access to wetlands by anadromous fish can make other fish more vulnerable to competition or predation by anadromous fish. For non-anadromous fish, access to other water bodies is helpful to escape temporary oxygen deficits (particularly under ice in winter) and to access additional food and spawning areas, but is not always essential. </t>
  </si>
  <si>
    <t>Excessive sediment limits aquatic productivity, contributes to surface water warming, and thus adversely affects resident fish habitat (e.g., Gray et al. 2005). It also is directly stressful to fish. However, in some cases moderate turbidity can provide cover from aerial predators.</t>
  </si>
  <si>
    <t xml:space="preserve">The capacity to support or contribute to an abundance or diversity of invertebrate animals which spend all or part of their life cycle underwater or in moist soil. Includes dragonflies, midges, clams, snails, water beetles, shrimp, aquatic worms, and others.
</t>
  </si>
  <si>
    <t xml:space="preserve">1-25% of the shrub cover (if shrubs/trees are the dominant cover) or 1-25% of the ground cover (if herbaceous plants are the dominant cover). </t>
  </si>
  <si>
    <t xml:space="preserve">25-50% of the shrub cover (if shrubs/trees are the dominant cover) or 25-50% of the ground cover (if herbaceous plants are the dominant cover). </t>
  </si>
  <si>
    <t xml:space="preserve">50-75% of the shrub cover (if shrubs/trees are the dominant cover) or 50-75% of the ground cover (if herbaceous plants are the dominant cover). </t>
  </si>
  <si>
    <t xml:space="preserve">&gt;75% of the shrub cover (if shrubs/trees are the dominant cover) or &gt;75% % of the ground cover (if herbaceous plants are the dominant cover). </t>
  </si>
  <si>
    <t>Comparing data from multiple regions, Utz et al. (2009) reported that once urbanization in a watershed reached 60%, all taxa remaining responded either neutrally or positively with respect to continued urbanization. Most were harmed at much lower levels. The importance of streamside vegetation, especially trees, for sustaining the health of aquatic systems has been documented in the Pacific Northwest (e.g., Gregory et al. 1991, Naiman et al. 2000, Richardson et al. 2005, Wipfli et al. 2007). The positive effect is partly because wood falling into streams increases channel complexity which benefits aquatic invertebrates and fish; that may not apply to wood falling into wetlands. Trees also help maintain stream temperature and streams adjoined by natural vegetation support richer and healthier aquatic invertebrate communities (Richards et al. 1996). However, the effects of buffers and/or tree canopy closure on aquatic life in perennial streams vary, with some studies showing little effect on native fish (Roy et al. 2005, Fischer et al. 2010) and others a positive effect especially when buffer width was at least 100 ft (Frimpong et al. 2005, Horwitz et al. 2008). A 30-ft wide buffer along perennial streams in British Columbia was found to be insufficient to protect stream invertebrate communities from adverse effects of clear-cut logging, although the terrestrial insects the buffer provided were noted as a potentially important food source for fish using the streams (Hoover et al. 2007). Another study of BC perennial streams found uncut riparian buffers of at least 30 ft were needed to limit changes from clear-cut logging to aquatic life in headwater forested watersheds; those changes included increase abundance of aquatic invertebrates and algae (Kiffney et al. 2003). Increased sunlight from vegetation removal can increase stream and wetland productivity and thus the density of some invertebrate groups, where nutrients and elevation (stream temperature) are not severely limiting (Moldenke &amp; Linden 2007).</t>
  </si>
  <si>
    <t>Waite, I. R., S. Sobieszczyk, K. D. Carpenter, A. J. Arnsberg, H. M. Johnson, C. A. Hughes, M. J. Sarantou, and F. A. Rinella. 2008. Effects of Urbanization on Stream Ecosystems in the Willamette River Basin and Surrounding Area, Oregon and Washington. Scientific Investigations Report 2006–5101–D, U.S. Geological Survey, Portland, OR.</t>
  </si>
  <si>
    <t xml:space="preserve">Roads and/or traffic are a significant barrier to or hazard for dispersing amphibians, as demonstrated both in this region (Mazerolle 2004, Maxerolle &amp; Desrochers 2005, Mazerolle et al. 2005, Jacobs &amp; Houlahan 2011, Gravel et al. 2012) and elsewhere (Mader 1984, Fahrig et al. 1995, and see review by Fahrig &amp; Rytwinski 2009). Roads with as few as 10 vehicles per hour can still have significant amphibian roadkill (Mazerolle 2004). Even some narrow logging roads that had long been abandoned continued to impair movements and densities of salamanders in North Carolina; the road effect appeared to extend about 35 m into the adjoining woods on both sides of the road (Semlitsch et al. 2007). </t>
  </si>
  <si>
    <t>Amphibians do not physiologically regulate their body temperature. Thus their populations are likely to be more productive (and have greater survival) in warmer parts of the region.</t>
  </si>
  <si>
    <t>Although many amphibians may benefit from warmer temperatures associated with sparser ground cover within a wetland, dense ground cover provides better protection from predators (Mazerolle &amp; Desrochers 2005). Thus, intermediate levels are scored highest.</t>
  </si>
  <si>
    <t>Amphibians are highly sensitive to many contaminants. These include road salt (Collins &amp; Russell 2009), which is not necessarily diluted by spring rains to harmless levels (Karraker &amp; Gibbs 2011).</t>
  </si>
  <si>
    <t>Larger wetlands are used disproportionately by feeding waterbirds. Smaller identical wetlands of equal cumulative area probably support lower numbers and cumulative richness of feeding waterbirds, unless they are close together in a complex.</t>
  </si>
  <si>
    <t>Contaminants in food webs are detrimental in the long term. This indicator denotes potential or actual exposure.</t>
  </si>
  <si>
    <t>Humans visiting wetlands commonly bring dogs, which potentially harass waterbirds. Even the simple presence of people on foot will cause many waterbirds to take flight (Burger 1981; Klein et al. 1995; Burger &amp; Gochfeld 1998). Although some species may habituate to frequent disturbance more readily than others, repeated intrusions drain the energy of many waterbirds. This is especially damaging during cold weather, or when birds (especially shorebirds) are stopping briefly to feed during long migrations.</t>
  </si>
  <si>
    <t>Human enjoyment of waterbirds (birding, hunting) is facilitated where wetlands are largely visible from major access points. This increases the value of any level of feeding waterbird function.</t>
  </si>
  <si>
    <t>Waterbirds prefer landscapes where multiple wetlands are present in close proximity, so that if birds are disturbed in one area, they can fly to alternate sites that serve as refuge and which may provide different but complementary water regimes and foods. Corridors can be important to ducks that must walk overland with their young to find other wetlands in which to feed or molt. Nesting waterbird richness in this region is depressed more by isolation when that occurs in small than in large wetlands (Gibbs et al. 1991).</t>
  </si>
  <si>
    <t>Most waterbirds favor emergent herbaceous vegetation rather than woody vegetation, partly because it provides food as well as cover. Herbaceous rather than woody vegetation is the most attractive nesting cover for most species of waterbirds (Bolenbaugh et al. 2011), partly because it provides food as well as cover. Trees near water edges discourage use of those areas by some waterbird species, probably because it potentially conceals or provides a perch for predators such as eagles and falcons (Shepherd &amp; Lank 2004, Sprague et al. 2008). Even tree-nesting species such as wood duck and goldeneye prefer nest sites with relatively open surroundings (Prince 1968).</t>
  </si>
  <si>
    <t>Many wetland songbirds and mammals may prefer landscapes where multiple wetlands are present in close proximity, so that if birds are disturbed in one area, they can use alternate sites which may provide different but complementary types of food and cover. Corridors can be important to small mammals moving between wetlands.</t>
  </si>
  <si>
    <t>Such wetlands may be considered more valuable because the rare species they host contribute disproportionately to songbird biodiversity at a regional scale. In New Brunswick, wetlands are used to a greater extent than other habitats by the bird species identified as being of highest conservation concern (Environment Canada 2013).</t>
  </si>
  <si>
    <t>Betts, M. G., G. J. Forbes, and A. W Diamond. 2007. Thresholds in songbird occurrence in relation to landscape structure. Conservation Biology, 21(4), 1046-1058.</t>
  </si>
  <si>
    <t>Environment Canada. 2013. Bird Conservation Strategy for Bird Conservation Region 14 and Marine Biogeographic Units 11 and 12 in New Brunswick: Atlantic Northern Forest, Bay of Fundy, and Gulf of St. Lawrence. Environment Canada, Ottawa, ON.</t>
  </si>
  <si>
    <t>More plant species occur in drier parts of wetlands than in parts that remain flooded for long duration. However, long duration flooding adds some aquatic species not otherwise found in wetlands.</t>
  </si>
  <si>
    <t>Inflowing streams bring plant propagules that can sprout and diversify wetland plant communities. Wetlands with surface water connections also tend to be more fertile, although suspended silt can reduce submerged aquatic plants.</t>
  </si>
  <si>
    <t>Trampling of native vegetation by recreationists can decrease seed germination and increase vulnerability to invasion by more tolerant invasive plants and ultimately reduce native plant richness. These and other Best Management Practices (BMPs) potentially reduce such damage.</t>
  </si>
  <si>
    <t>Prior designation of the wetland, by a natural resource or environmental protection agency, as some type of special protected area. Also, the potential and actual use of a wetland for low-intensity outdoor recreation, education, or research. The model assigns higher scores to greater visitor use. It does not account for some areas being valued more highly (e.g., as wilderness) because they have fewer visitors.</t>
  </si>
  <si>
    <t>The integrity or health of a wetland, as defined operationally by its vegetation composition and richness of native species. More broadly, the similarity of a wetland's structure, composition, and function with that of a reference wetland of the same type and landscape setting, operating within the bounds of natural or historical disturbance regimes (Adamus 1996).</t>
  </si>
  <si>
    <t xml:space="preserve">Rare native species are usually the first to disappear after a wetland is subjected to alteration of its water quality, hydrologic connectivity, or normal water or sediment regimes. Thus, their absence is sometimes indicative of past or ongoing impacts to the wetland's processes and condition. </t>
  </si>
  <si>
    <t xml:space="preserve">Wetlands are likely to be more resilient (less sensitive, thus lower weighting factor) if they are contiguous with or close to other natural cover, especially if it is extensive, because if an impact occurs to the wetland's vegetation, plant propagules from the surrounding landscape may speed recovery. Presence of natural vegetation in the surrounding landscape also may also help the wetland avoid the impact before it happens, by mitigating hydrologic and water quality alterations. </t>
  </si>
  <si>
    <t>Larger wetlands have a greater proportional area that is buffered against external disturbances and thus may be considered less sensitive. Small wetlands or more vulnerable to drying up as a result of climate change or changes in groundwater flow patterns, and many are poorly-buffered chemically against acifiying chemical inputs from precipitation (Freda 1986).</t>
  </si>
  <si>
    <t>Wetlands that are only saturated (no surface water) are more susceptible to year-to-year differences in precipitation, runoff, and flow. Some also are more vulnerable to invasion by non-native upland plants (Magee &amp; Kentula 2005). In contrast, persistently-inundated wetlands tend to be deeper and have more "buffer" against annual variation in available water.</t>
  </si>
  <si>
    <t xml:space="preserve">If a wetland lacks surface water outflow, nearly all contaminants that enter it will remain and be accumulated over time (Oberts 1977). This is particularly true of runoff-borne sediment, which can eventually fill a wetland and thus destroy it (Whited 2001, Whigham &amp; Jordan 2003, Leibowitz 2003). </t>
  </si>
  <si>
    <t>Because of its ability to fertilize soil, alder can speed biological recovery following disturbance [Gomi et al. 2006]. Wetlands without alder may be slower to recover and thus more sensitive.</t>
  </si>
  <si>
    <t xml:space="preserve">Organic soils are particularly sensitive because slight changes in the water table often cause rapid decomposition and/or compaction (subsidence) of this substrate, resulting in major shifts in characteristic plants and animal species as well as biogeochemical processes. Coarse soils are most resistant to compaction, though they are less moisture-retentive and dry out quickly. </t>
  </si>
  <si>
    <t xml:space="preserve">Wetlands are likely to be more resilient (less sensitive, thus lower weighting factor) if large and/or surrounded by other natural landscapes, and/or if they are near other wetlands of the same type, because if an impact occurs to the wetland's vegetation, plant propagules from the surrounding landscape may speed recovery. Presence of natural vegetation in the surrounding landscape also may also help the wetland avoid the impact before it happens, by mitigating hydrologic and water quality alterations. </t>
  </si>
  <si>
    <t xml:space="preserve">Wetlands adjoined by steep slopes are likely to be subject to more sediment and contaminant input, other factors being equal. </t>
  </si>
  <si>
    <t>Warmer parts of the region imply a longer period of time during which the ground remains unfrozen and during which vegetation can potentially remove water via evapotranspiration.</t>
  </si>
  <si>
    <t>Black Duck Nesting Area</t>
  </si>
  <si>
    <t>Conduc3</t>
  </si>
  <si>
    <t>CalcFen3</t>
  </si>
  <si>
    <t xml:space="preserve">Long-term retention of phosphorus can occur when soil or sediment contains high concentrations of aluminum or iron, mainly at low pH (Richardson et al. 1985), and to a lesser extent, calcium at higher pH (Bridgham et al. 1996).  Aluminum occurs most commonly in organic and clay soils.  Phosphorus is also retained in wetlands via plant uptake, but in organic soils, acidic conditions can inhibit plant capacity to take up and retain phosphorus (Prescott et al. 2000) and in most cases, this represents only a temporary retention.. </t>
  </si>
  <si>
    <t>P retention is expected to be considerable in calcareous fens because soluble P is precipitated by calcium when pH is basic, and those conditions typify calcareous fens..</t>
  </si>
  <si>
    <r>
      <t xml:space="preserve">A proliferation of algae and floating aquatics can indicate that the wetland is receiving more nutrients than it is capable of processing effectively. These non-rooted plants do not oxygenate the sediments, they take up and store nutrients only briefly, and their die-offs create anoxic conditions that mobilize phosphorus temporarily retained in sediments. In the calculations, abundant algae reduces the score but absence of blooms does not increase it. </t>
    </r>
    <r>
      <rPr>
        <i/>
        <sz val="10"/>
        <rFont val="Arial Narrow"/>
        <family val="2"/>
      </rPr>
      <t>In calculations, is excluded automatically (cell goes blank) if wetland never has surface water during an average year.</t>
    </r>
  </si>
  <si>
    <t>Burrell, B. C. and J. E. Anderson. 1991. Regional hydrology of New Brunswick. Canadian Water Resources Journal 16:317-330.</t>
  </si>
  <si>
    <t>Bridgham, S. D., J. Pastor, J. A. Janssens, C. Chapin, and T. J. Malterer. 1996. Multiple limiting gradients in peatlands: a call for a new paradigm. Wetlands 16:45-65.</t>
  </si>
  <si>
    <t>Richardson, C. J. 1985. Mechanisms controlling phosphorus retention capacity in freshwater wetlands. Science 228:1424-1427.</t>
  </si>
  <si>
    <t>Richardson, C. J., S. Qian, C. B. Craft, and R. G. Qualls. 1996. Predictive models for phosphorus retention in wetlands. Wetlands Ecology and Management 4:159-175.</t>
  </si>
  <si>
    <t>Many studies have highlighted the importance of subsurface (hyporheic) flow, or groundwater discharge, to denitrification rates in both riverine and non-riverine (e.g., Kroeger &amp; Charette 2008) wetlands. Groundwater in many regions is iron-rich, and addition or removal of nitrate can significantly affect the ecological mobility of iron and perhaps some other metals in wetland soils (Shrestha et al. 2011).</t>
  </si>
  <si>
    <t>Less canopy cover increases soil warming in spring which could accelerate denitrification, a major process for removing nitrate. However, tree roots can extend the subsurface zone of denitrification by oxidizing deeper subsurface areas. Trees also take up and temporarily retain nitrate, as well as adding carbon to the soil, which promotes denitrification. Therefore, a balanced interspersed mix of shading woody and non-shading herbaceous vegetation is hypothesized to enhance N removal.</t>
  </si>
  <si>
    <t>Damman, A. W. H. 1988. Regulation of nitrogen removal and retention in Sphagnum bogs and other peatlands. Oikos 51:291-305.</t>
  </si>
  <si>
    <t>Groffman, P. M., K. Butterbach-Bahl, R. W. Fulweiler, A. J. Gold, J. L. Morse, E. K. Stander, C. Tague, C. Tonitto, and P. Vidon. 2009. Challenges to incorporating spatially and temporally explicit phenomena (hotspots and hot moments) in denitrification models. Biogeochemistry 93:49–77.</t>
  </si>
  <si>
    <t xml:space="preserve">The presence of peat or muck implies the presence (at least historically) of a microclimate favorable to long-term retention of particulate carbon. Peat is also a poor substrate for methanogenesis (White et al. 2008) but that is also true of well-oxygenated coarse soils (Grunfeld &amp; Brix 1999). However, in very coarse soils the annual productivity of plants is often less than in clay/ loam soils because, unless the coarse soils are flooded regularly by rivers, they tend to be nutrient-poor. Moderately coarse soils (silts, loams), especially those with a large component of soil aggregates in the 2-8 mm range (Hossler &amp; Bouchard 2000), tend to have neutral pH and support greater plant productivity and thus more soil organic carbon. </t>
  </si>
  <si>
    <t>D’Amore, D. V., K. L. Oken, P. A. Herendeen, E. A. Steel, and P. E. Hennon. 2015. Carbon accretion in unthinned and thinned young-growth forest stands of the Alaskan perhumid coastal temperate rainforest. Carbon balance and management 10:1-12.</t>
  </si>
  <si>
    <t xml:space="preserve">Mosses contribute at least 48% of the productivity of some wetlands. Although the rate at which bogs store new carbon is relatively low, and because mosses decompose more slowly than woody and herbaceous plants, the peat layer in bogs and fens represents a considerable amount of carbon that already has been sequestered. Peat hummocks are particularly effective for sequestering carbon (Asada &amp; Warner 2005). On a per unit area basis, bogs and other moss-covered areas generate less methane than many other wetlands (Hines et al. 2006, 2008), </t>
  </si>
  <si>
    <t>Neilson, E. T., D. A. MacLean, F. R. Meng, and P. A. Arp. 2007. Spatial distribution of carbon in natural and managed stands in an industrial forest in New Brunswick, Canada. Forest Ecology and Management 253:148-160.</t>
  </si>
  <si>
    <t>Marinier, M., S. Glatzel, and T. R. Moore. 2004. The role of cotton-grass (Eriophorum vaginatum) in the exchange of CO2 and CH4 at two restored peatlands, eastern Canada. Ecoscience:141-149.</t>
  </si>
  <si>
    <t>Fenton, N., N. Lecomte, S. Légaré, and Y. Bergeron. 2005. Paludification in black spruce (Piceamariana) forests of eastern Canada: Potential factors and management implications. Forest Ecology and Management 213:151-159.</t>
  </si>
  <si>
    <t>Fissore, C., C. P. Giardina, R. K. Kolka, and C. C. Trettin. 2009. Soil organic carbon quality in forested mineral wetlands at different mean annual temperature. Soil Biology and Biochemistry 41:458-466.</t>
  </si>
  <si>
    <t>Gergel, S. E., M. G. Turner, and T. K. Kratz. 1999. Dissolved organic carbon as an indicator of the scale of watershed influence on lakes and rivers. Ecological Applications 9:1377-1390.</t>
  </si>
  <si>
    <t>Xenopoulos, M. A., D. M. Lodge, J. Frentress, T. A. Kreps, S. D. Bridgham, E. Grossman, and C. J. Jackson. 2003. Regional comparisons of watershed determinants of dissolved organic carbon in temperate lakes from the Upper Great Lakes region and selected regions globally. Limnology and Oceanography 48:2321-2334.</t>
  </si>
  <si>
    <t>Emi Fergus, C., P. A. Soranno, K. S. Cheruvelil, and M. T. Bremigan. 2011. Multiscale landscape and wetland drivers of lake total phosphorus and water color. Limnology and Oceanography 56:2127-2146.</t>
  </si>
  <si>
    <t>A wetland exposed to toxic substances has less or no capacity to sustain anadromous fish. Fish are especially sensitive to heavy metals such as copper (Scannell 2009).</t>
  </si>
  <si>
    <r>
      <t xml:space="preserve">Over the long term, beaver dam-building activities are highly beneficial to fish rearing habitat, creating pools used by fish as refuge, adding wood that provides fish cover, and increasing the overall productivity of river systems (Collen &amp; Gibson 2001). </t>
    </r>
    <r>
      <rPr>
        <i/>
        <sz val="10"/>
        <rFont val="Arial Narrow"/>
        <family val="2"/>
      </rPr>
      <t xml:space="preserve">In calculations, is excluded automatically (cell goes blank) if wetland never has ponded surface water during an average year. </t>
    </r>
  </si>
  <si>
    <t>Aquatic invertebrate communities (both benthic and planktonic) are harmed by excessive sedimentation and turbidity from sediment runoff. Sediment from timber-harvest activity (clearings and roads) can intensify the turbidity effects of spawning-salmon disturbance on macroinvertebrates. The deposition of fine sediment can limit populations of grazing invertebrates even when algal foods become more available following timber harvest (Kiffney &amp; Bull 2000).</t>
  </si>
  <si>
    <t>Betts, M. and G. G. Forbes. 2005. Forest management guidelines to protect native biodiversity in the Greater Fundy ecosystem. New Brunswick Co-operative Fish and Wildlife Research Unit, University of New Brunswick, Fredericton, NB.</t>
  </si>
  <si>
    <t>Jacobs, L. and J. E. Houlahan. 2011. Adjacent land-use affects amphibian community composition and species richness in managed forests in New Brunswick, Canada. Canadian Journal of Forest Research-Revue Canadienne De Recherche Forestiere 41:1687-1697.</t>
  </si>
  <si>
    <t>Patrick, D. A., A. J. K. Calhoun, and M. L. Hunter Jr. 2007. Orientation of juvenile wood frogs, Rana sylvatica, leaving experimental ponds. Journal of Herpetology 41:158-163.</t>
  </si>
  <si>
    <t>Stevens, C. E., A. W. Diamond, and T. S. Gabor. 2002. Anuran call surveys on small wetlands in Prince Edward Island, Canada restored by dredging of sediments. Wetlands 22:90-99.</t>
  </si>
  <si>
    <t>Mudflats and seasonally inundated shortgrass flats (including farmed wetlands, Taft &amp; Haig 2005) are important to large numbers of migratory waterbirds.</t>
  </si>
  <si>
    <t>LeBlanc, F. A., D. Gallant, L. Vasseur, and L. Leger. 2007. Unequal summer use of beaver ponds by river otters: influence of beaver activity, pond size, and vegetation cover. Canadian Journal of Zoology-Revue Canadienne De Zoologie 85:774-782.</t>
  </si>
  <si>
    <t>Shirley, S. 2004. The influence of habitat diversity and structure on bird use of riparian buffer strips in coastal forests of British Columbia, Canada. Canadian Journal of Forest Research-Revue Canadienne De Recherche Forestiere 34:1499-1510.</t>
  </si>
  <si>
    <t>Gallant, D., L. Vasseur, M. Dumond, E. Tremblay, and C. H. Berube. 2009. Habitat selection by river otters (Lontra canadensis) under contrasting land-use regimes. Canadian Journal of Zoology-Revue Canadienne De Zoologie 87:422-432.</t>
  </si>
  <si>
    <t xml:space="preserve">Lichens and mosses have been affected by edge-induced microclimate changes extending at least 50 ft into forested areas (Hylander et al. 2002, Boudreault et al. 2008) and as far as ~150 ft from the forest edge (Baldwin &amp; Bradfield 2005). In Oregon, selective thinning of forests that adjoined riparian buffers did not affect the herbaceous or shrub cover in the buffers when they were wider than ~50 ft (Anderson &amp; Meleason 2009). Thinning can increase the distance seeds disperse into the forest and the number that disperse successfully (Cadenasso et al. 2001). One study found that where more than 50% of the basal area was cut, a significantly different plant community structure resulted. Partial cutting did not significantly change abundance for most of the important forage species for deer. </t>
  </si>
  <si>
    <t>AVERAGE (WoodyHtDiv, ShrubDiv, WoodPatt, TreeTypes)</t>
  </si>
  <si>
    <t>AVERAGE(ISOwet, SatPct, MAX(SeasWpct, PermWpct), Depth, DepthEven)</t>
  </si>
  <si>
    <t>Sloping wetlands retain surface runoff and precipitation for shorter times.</t>
  </si>
  <si>
    <t>Wetlands that store floodwater are more valuable if they are in the headwaters of a watershed, placing them above areas which might otherwise be damaged by floods.</t>
  </si>
  <si>
    <t>ShedPos1</t>
  </si>
  <si>
    <t>Wetlands that contribute to stream flow are more valuable if they are in the headwaters of a watershed, because small and intermittent streams are most likely to be prevalent there, and the proportion of their base flow that is affected by wetlands there is likely to be greater than in lowlands.</t>
  </si>
  <si>
    <t>Snow tends to accumulate more on north-facing slopes due to less sun exposure, and water losses from evapotranspiration are less. Consequently, streamflow fed by such slopes may persist longer into drier periods.</t>
  </si>
  <si>
    <t>Anadromous fish in this region are highly sensitive to warm temperatures, so wetlands that cool or maintain natural water temperatures could be considered more valuable.</t>
  </si>
  <si>
    <t>ShedPos7</t>
  </si>
  <si>
    <t>Wetlands that contribute cooler water to stream flow are more valuable if they are in the headwaters of a watershed, because small and intermittent streams are most likely to be prevalent there, and the proportion of their base flow (and thus their temperature) that is affected by wetlands there is likely to be greater than in lowlands.</t>
  </si>
  <si>
    <t xml:space="preserve">Wetlands with large contributing areas are likely to receive more suspended sediment and thus have more opportunity to trap sediment, which potentially increases their value as protectors of downstream water quality. </t>
  </si>
  <si>
    <t>Sediment deposition (and P-retention, which sometimes correlates with that) increases as the ratio of the volume of a storage basin (e.g., wetland) to the volume of runoff entering the basin from its contributing area increases (Heinemann 1981).</t>
  </si>
  <si>
    <t>If excessive phosphorus from upslope is entering a wetland, this provides more opportunity for the wetland to retain P and thus increases the value of any P-retention that the wetland provides.  High P levels often correspond with high levels of other pollutants.</t>
  </si>
  <si>
    <t>If excessive sediment from upslope is entering a wetland, this provides more opportunity for the wetland to trap sediment and associated metals and hydrocarbons.  This increases the value of any retention capacity that the wetland provides.  High levels of incoming suspended sediment often correspond with high levels of other pollutants.</t>
  </si>
  <si>
    <t>PsampDown3</t>
  </si>
  <si>
    <t>PsampUp3</t>
  </si>
  <si>
    <t>If excessive nitrate from upslope is entering a wetland, this provides more opportunity for the wetland to remove N and thus increases the value of any N-retention that the wetland provides.  High nitrate levels often correspond with high levels of other pollutants.</t>
  </si>
  <si>
    <t>Vehicle emissions contain substantial N products, so road traffic often results in increased nitrogen deposition in wetlands.  This increases the opportunity for N-removal, and thus the value of a wetland's capacity for N removal. Also, N removal efficiency increases exponentially with N deposition (especially when deposition is 0.25 to 0.50 g of N per year (Bragazza et al. 2004).</t>
  </si>
  <si>
    <t>Population centers, even when they do not drain into wetlands, can provide wetlands with more opportunity to remove N because population centers often generate more airborne N as a result of greater vehicle traffic, and this enters wetlands as N deposition.</t>
  </si>
  <si>
    <t>RdDist4</t>
  </si>
  <si>
    <t>NsampUp</t>
  </si>
  <si>
    <t>NsampDown</t>
  </si>
  <si>
    <t>Total available nitrogen in soil increases with increasing density of nitrogen-fixers such as red alder (Sanborn et al. 2002, Cortini &amp; Comeau 2008). Consequently, wetland contributing areas with a large proportion of alder often export more nitrate to wetlands (Compton et al. 2003, Cairns &amp; Lajtha 2005, Shaftel et al. 2012, Greathouse et al. 2014). Because this provides wetlands with increased opportunity to process the N, it increases the value of their role in the local ecosystem.</t>
  </si>
  <si>
    <t>Floodplain wetlands are notably effective for removing N via denitrification and that process is limited by available carbon more than it is in bogs (Pinay et al. 2003). Bogs are typically nitrogen-poor (Heilman 1966) and thus are able to rapidly take up much of the nitrate that reaches them. Their acidic conditions inhibit generation of nitrous oxide as well as inhibiting nitrification (Dammann 1988) and the removal of nitrate via denitrification (Pinay et al. 2003). Denitrification is more prominent in fens and marshes than in acidic bogs. Bogs tend to cycle nitrogen internally and remove added N (Li &amp; Vitt 1997, Bayley &amp; Mewhort 2004), although due to acidic conditions and other factors, mosses in some wetlands have less capacity to take up apparently available N than do vascular plants (Heijmans et al. 2002, Berendse et al. 2001). Forested wetlands, especially those with an alder component or on slopes, may have less capacity to remove N via denitrification and may actually add nitrate via N fixation (Fellman &amp; D’Amore 2007).</t>
  </si>
  <si>
    <r>
      <t xml:space="preserve">Like a constricted outlet, vegetation and other obstacles create a "roughness" within a wetland that can slow the water and allow more time for biological processing of nitrate. This is much truer if the vegetation intercepts a large proportion of the flow during high-flow periods (i.e., is not merely along an upland edge that never floods). Water takes longer to move through complex channel networks (e.g., braided or sinuous) which themselves provide additional friction, thus allowing more suspended sediment and the nitrate associated with it to be deposited. Increased channel complexity also implies greater interspersion of open water and vegetation (see above) and in some cases, more hyporheic flow -- both of which favor nitrate removal. Wetlands with a sheet flow pattern often retain more nitrate than channelized systems (Morris et al. 1981, Knox et al. 2008). </t>
    </r>
    <r>
      <rPr>
        <i/>
        <sz val="10"/>
        <rFont val="Arial Narrow"/>
        <family val="2"/>
      </rPr>
      <t>In calculations, is excluded automatically (cell goes blank) if wetland never has surface water during an average year or if no surface inflows.</t>
    </r>
  </si>
  <si>
    <t xml:space="preserve"> Constructed (and some restored) wetlands typically have lower soil organic matter (Shaffer &amp; Ernst 1999), and that deficit limits the denitrification that otherwise removes nitrate. Thus, new wetlands would be expected to release the more nitrate to downstream waters. However, the proportion of incoming nitrate that is exported in some cases is greater in soils that are more fertile, i.e., nearing nitrate saturation, with a C:N ratio lower than 25 (e.g., Gundersen et al. 2006).</t>
  </si>
  <si>
    <t xml:space="preserve">Dense vegetation offers frictional resistance to runoff, promoting deposition of organic nitrogen and resisting erosion of N-containing sediments. Vegetation takes up nitrate at least seasonally and plant roots can promote denitrification by providing a carbon source (Lin et al. 2002) and oxidizing otherwise anoxic subsurface soils (Brix 1994). However, shade from plants reduces soil temperature which slows the denitrification rate (Hogg &amp; Lieffers 1991), and emissions of harmful nitrous oxide can be greater in wetlands with denser vegetation. </t>
  </si>
  <si>
    <t>Pavement and other impervious surfaces facilitate transport of N-bearing runoff into downslope wetlands, thus increasing opportunities for N-removal.  Increased opportunity translates into increased value of the wetland's N-removal service.</t>
  </si>
  <si>
    <t>Burn5</t>
  </si>
  <si>
    <t xml:space="preserve">Of the wetland types listed, riparian and marsh wetlands are typically most important to anadromous fish because they have the most water and are the most accessible. When accessible, other wetland types are used but invertebrate foods may be less abundant due to acidic conditions. </t>
  </si>
  <si>
    <t xml:space="preserve">Leaves of nitrogen-fixing plants such as alder have been shown to support higher densities and richness of aquatic and terrestrial invertebrates (Wipfli et al. 2007, Wipfli &amp; Musselwhite 2004, LeSage et al. 2005). From that, it can be inferred that fish production should be higher as well, where food is limiting fish survival. </t>
  </si>
  <si>
    <r>
      <t xml:space="preserve">Many studies have demonstrated the importance to anadromous fish of streams and wetlands that are inundated only seasonally, provided fish can enter and exit them then (e.g., Brown &amp; Hartman 1988, Nickelson et al. 1992, Freeman et al. 2007, Meyer et al. 2007, Welsch &amp; Hodgson 2008). Even during brief periods of high water, fish enter those areas and gorge themselves on invertebrates made more available by the flooding. </t>
    </r>
    <r>
      <rPr>
        <i/>
        <sz val="10"/>
        <rFont val="Arial Narrow"/>
        <family val="2"/>
      </rPr>
      <t>In calculations, is excluded automatically (cell goes blank) if wetland never has surface water during an average year.</t>
    </r>
  </si>
  <si>
    <r>
      <t xml:space="preserve">Greater interspersion of open water with vegetation provides fish with greater access to food sources, such as insects falling off emergent plants. </t>
    </r>
    <r>
      <rPr>
        <i/>
        <sz val="10"/>
        <rFont val="Arial Narrow"/>
        <family val="2"/>
      </rPr>
      <t>In calculations, is excluded automatically (cell goes blank) if wetland never has surface water during an average year, if no ponded water, if ponded water but no vegetation, if ponded but no open water.</t>
    </r>
  </si>
  <si>
    <t xml:space="preserve">Especially in riverine wetlands, groundwater (hyporheic flow) that discharges into wetlands is extremely important to salmonids because of its cooler temperature. However, in some instances this "iron floc" decreases the oxygen required by fish and smothers fish spawning gravels. Groundwater influx is sometimes indicated by an orange precipitate, indicating the presence of iron oxidizing bacteria (Dickman &amp; Rygiel 1998). </t>
  </si>
  <si>
    <t>Excessive sediment in spawning areas smothers fish eggs, limits aquatic productivity, contributes to surface water warming, and thus potentially adversely affects anadromous fish habitat (Kemp et al. 2011, Sear et al. 2008). It also is directly stressful to fish. However, in some cases moderate turbidity can provide cover from aerial predators.</t>
  </si>
  <si>
    <r>
      <t xml:space="preserve">Fish access to wetlands is better if an outlet is present and outflows from the wetland are persistent. Although isolated wetlands with persistent surface water can support some resident fish, a permanent connection to other surface waters increases the ability of fish to move among wetlands and other surface waters in search of food and other needs. </t>
    </r>
    <r>
      <rPr>
        <i/>
        <sz val="10"/>
        <rFont val="Arial Narrow"/>
        <family val="2"/>
      </rPr>
      <t>In calculations, is excluded automatically (cell goes blank) if wetland never has surface water during an average year.</t>
    </r>
  </si>
  <si>
    <t>Feeley, H., Kerrigan, C., Fanning, P., Hannigan, E. and Kelly-Quinn, M. 2011 Longitudinal extent of acidification effects of plantation forest on benthic macroinvertebrate communities in soft water streams: evidence for localised impact and temporal ecological recovery. Hydrobiologia 671, 217–26.</t>
  </si>
  <si>
    <t xml:space="preserve">Streams adjoined by natural vegetation provide shade that helps maintain water temperature, as well as contributing terrestrial insects (Wipfli 1997) and supporting richer and healthier aquatic invertebrate communities. All of these factors help support anadromous fish. Within 90 years after clear-cut logging without a 100-ft wide stream-side buffer, LWD could be reduced by 70% and recovery to prelogging levels would take more than 250 years. Also, establishment of conifer plantations can acidify receiving waters and potentially harm Atlantic salmon eggs (Kreutzweiser et al. 2008, Drinan et al. 2013, Malcolm et al. 2014).  However, overall intensity of land use and forest fragmentation in a stream’s watershed sometimes has a greater influence on stream fish abundance than does buffer width (e.g., Shandas &amp; Alberti 2009, Stephenson &amp; Morin 2009). The effects of buffer width or proportion of forest in the watershed can also be overshadowed by differences in stream substrate type and flow duration (Roy et al. 2005). </t>
  </si>
  <si>
    <t>High levels of contaminants (especially heavy metals such as copper) can be detrimental to anadromous fish.</t>
  </si>
  <si>
    <t>Acid9</t>
  </si>
  <si>
    <r>
      <t xml:space="preserve">Over the long term, beaver dam-building activities are highly beneficial to fish rearing habitat, creating pools used by fish as refuge, adding wood that provides fish cover, and increasing the overall productivity of river systems (Collen &amp; Gibson 2001). </t>
    </r>
    <r>
      <rPr>
        <i/>
        <sz val="10"/>
        <rFont val="Arial Narrow"/>
        <family val="2"/>
      </rPr>
      <t xml:space="preserve">In calculations, is excluded automatically (cell goes blank) if wetland never has surface water during an average year. </t>
    </r>
  </si>
  <si>
    <t xml:space="preserve">Of the wetland types listed, riparian and marsh wetlands are typically most important because they have the most water and are the most accessible to resident fish. When accessible, other wetland types are used but invertebrate foods may be less abundant in those due to acidic conditions. </t>
  </si>
  <si>
    <t>Conduc10</t>
  </si>
  <si>
    <t>Beaver10</t>
  </si>
  <si>
    <t>Acid4</t>
  </si>
  <si>
    <t>WoodHerbMix8</t>
  </si>
  <si>
    <t>Conduc8</t>
  </si>
  <si>
    <r>
      <t xml:space="preserve">Downed wood provides food, cover, and a stable microclimate for many salamanders (Patrick et al. 2006) as well as frogs and toads that move between wetlands (Freedman et al. 1996) but its presence may not be enough to offset broader changes in land cover (Popescu et al. 2012). </t>
    </r>
    <r>
      <rPr>
        <i/>
        <sz val="10"/>
        <rFont val="Arial Narrow"/>
        <family val="2"/>
      </rPr>
      <t>In calculations, is excluded automatically (cell goes blank) if few or no trees of any kind are present.  If downed wood is numerous it is scored as a 1 but if absent this indicator is ignored in model calculations.</t>
    </r>
  </si>
  <si>
    <r>
      <t xml:space="preserve">Downed wood provides food, cover, and a stable microclimate for many  invertebrates that live in soil and peat of wetlands that seldom flood. In calculations, is excluded automatically (cell goes blank) if little or no woody vegetation in the wetland.  </t>
    </r>
    <r>
      <rPr>
        <i/>
        <sz val="10"/>
        <rFont val="Arial Narrow"/>
        <family val="2"/>
      </rPr>
      <t>In calculations, is excluded automatically (cell goes blank) if few or no trees of any kind are present.  If downed wood is numerous it is scored as a 1 but if absent this indicator is ignored in model calculations.</t>
    </r>
  </si>
  <si>
    <r>
      <t>Downed wood provides cover for many small mammals. Downed wood is often the result of natural windthrow, which also creates small patches of semi-open canopy within blocks of forest and in so doing can support a larger number of wildlife species, despite the temporary loss of nest trees (Zmihorski 2010). In calculations, is excluded automatically (cell goes blank) if wetland has few or no trees.</t>
    </r>
    <r>
      <rPr>
        <i/>
        <sz val="10"/>
        <rFont val="Arial Narrow"/>
        <family val="2"/>
      </rPr>
      <t xml:space="preserve"> In calculations, is excluded automatically (cell goes blank) if few or no trees of any kind are present.  If downed wood is numerous it is scored as a 1 but if absent this indicator is ignored in model calculations.</t>
    </r>
  </si>
  <si>
    <r>
      <t>Lack of one dominant shrub species suggests higher shrub richness, which has the potential to provide more food sources to more species throughout a season.</t>
    </r>
    <r>
      <rPr>
        <i/>
        <sz val="10"/>
        <rFont val="Arial Narrow"/>
        <family val="2"/>
      </rPr>
      <t xml:space="preserve"> In calculations, is excluded automatically (cell goes blank) if wetland has &lt;5% shrub cover.  If second choice is marked this indicator is scored as a 1 but if first choice is marked this indicator is ignored in model calculations.</t>
    </r>
  </si>
  <si>
    <r>
      <t xml:space="preserve">Some of these features are important to bank-living beavers, swallows, and swifts.  </t>
    </r>
    <r>
      <rPr>
        <i/>
        <sz val="10"/>
        <rFont val="Arial Narrow"/>
        <family val="2"/>
      </rPr>
      <t>If present this indicator is scored as a 1 but if absent this indicator is ignored in model calculations.</t>
    </r>
  </si>
  <si>
    <t>Interspersion of a balanced mix of concealing woody cover and warmer more food-rich openings of herbaceous vegetation probably provides optimal terrestrial habitat for most amphibians and turtles.</t>
  </si>
  <si>
    <t>WoodHerbMix11</t>
  </si>
  <si>
    <t>Waterbirds prefer landscapes where multiple wetlands are present in close proximity, so that if birds are disturbed in one area, they can fly to alternate sites that serve as refuge and which may provide different but complementary water regimes and foods. Although they will fly much farther than 1 km to reach other wetlands and water bodies (Haig et al. 1998), 1 km is used as a practical distance for identifying such features in aerial images.</t>
  </si>
  <si>
    <t>Conduc4</t>
  </si>
  <si>
    <r>
      <t xml:space="preserve">Higher levels of N are commonly associated with higher levels of conductivity and TDS.  Higher N concentrations indicate more opportunity for the wetland to remove N, thus making its provision of this service more valuable to downstream waters. </t>
    </r>
    <r>
      <rPr>
        <i/>
        <sz val="10"/>
        <rFont val="Arial Narrow"/>
        <family val="2"/>
      </rPr>
      <t>In calculations, is assigned score of 1 if TDS&gt;300 mg/L or conductivity is &gt;200 µS/cm or if plants indicate highly saline conditions.  is excluded automatically (cell goes blank and ignored in model calculations) if not measured or lower levels are present.</t>
    </r>
  </si>
  <si>
    <t>Bduck13</t>
  </si>
  <si>
    <t>BuffPerim14</t>
  </si>
  <si>
    <t>Stressors (Lack of)</t>
  </si>
  <si>
    <t>HerbUniq14</t>
  </si>
  <si>
    <t>Rocky and other bare areas are more likely to support burrows for pollinator nests and mud for hive construction (Moisan-Deserres et al. 2014a).</t>
  </si>
  <si>
    <t>A small proportion of bare earth is important to some burrowing pollinators, but too much is at the expense of plants that provide pollen (Moisan-Deserres et al. 2014a).</t>
  </si>
  <si>
    <t>BuffPerim0</t>
  </si>
  <si>
    <t>BuffLUtype0</t>
  </si>
  <si>
    <r>
      <t xml:space="preserve">See above. </t>
    </r>
    <r>
      <rPr>
        <i/>
        <sz val="10"/>
        <rFont val="Arial Narrow"/>
        <family val="2"/>
      </rPr>
      <t xml:space="preserve"> In calculations, is ignored if &gt;90% of the wetland perimeter has a vegetated buffer. In other situations, the indicator score is set to 0 if impervious but otherwise is ignored in the model calculations.</t>
    </r>
  </si>
  <si>
    <t xml:space="preserve">Dominance of Most Abundant Shrub Species </t>
  </si>
  <si>
    <t>ShrubDiv0</t>
  </si>
  <si>
    <t>A wider variety of herbaceous plant species suggests greater availability of pollen and nectar throughout the year, and this helps sustain diverse pollinator populations.</t>
  </si>
  <si>
    <t>A wider variety of woody plant species suggests greater availability of pollen and nectar throughout the year, and this helps sustain diverse pollinator populations.</t>
  </si>
  <si>
    <t>HerbUniq0</t>
  </si>
  <si>
    <t>WoodyUniq0</t>
  </si>
  <si>
    <t>Toxic0</t>
  </si>
  <si>
    <t>The widest variety and/or greatest abundance of pollinators is likeliest to occur in areas surrounded at least partially by, or close to, unmanaged vegetation (Moisan-Deserres et al. 2014b, Cutler et al. 2015).</t>
  </si>
  <si>
    <t>&lt;50 m, but completely separated from the 375-ha vegetated area by those features, and AA does not contain &gt;375 ha of vegetation.</t>
  </si>
  <si>
    <t>Native pollinators are most abundant and diverse where naturally vegetated areas are nearby.  Distance to such areas is often a strong predictor (Westphal et al. 2006, Ricketts et al. 2008, Garibaldi et al. 2011).  However, the minimum size of such patches that is capable of influencing pollinators is unknown.</t>
  </si>
  <si>
    <t>DistNat0</t>
  </si>
  <si>
    <t>Pollinators may be especially valuable if the wetland contains a rare plant species dependent on insect pollination (Jones &amp; Klemetti 2012).</t>
  </si>
  <si>
    <t>Although some non-native plants attract pollinators, many of those plants tend to be invasive, reducing the overall diversity of plant species available for pollination at different times of the season (Thijs et al. 2012). A broad seasonal distribution of available pollen and nectar sources is critical to maintaining pollinator diversity.</t>
  </si>
  <si>
    <t>Amphibians require upland habitat as well as aquatic habitat (Baldwin et al. 2006b). Uplands that are dominated by natural vegetation, especially natural forest within 1 km, usually provide the most suitable microclimates and habitat structure (Mazerolle et al. 2005, Baldwin et al. 2006a). Unvegetated or artificially vegetated areas, such as clearcuts and tree plantations (Waldick et al. 1999, Patrick et al. 2006), can inhibit movements of some species within upland habitats and reduce population viability. When radiotracked frogs on Vancouver Island were released inside clusters of trees amidst otherwise unsuitable habitat (clearcuts), the proportion of frogs abandoning the tree cluster was greater the smaller the cluster. Frogs were less likely to leave tree patches intersected by a running stream or where neighborhood stream density was high. Scattered tree patches of at least 1 ha, preferably in stream locations, were the minimum needed to allow normal overland passage of one frog species (Chan-McLeod &amp; Moy 2007). The amount of forest surrounding a wetland is a strong positive predictor of amphibian richness and/or abundance (Findlay &amp; Houlahan 1997), even more so than the amount of other surrounding wetlands (Quesnelle et al. 2015).  However, on Prince Edward Island, no evidence was found to suggest that patch area or perimeter affects amphibian species richness (Silva et al. 2003).</t>
  </si>
  <si>
    <t xml:space="preserve">Larger wetlands generally support more bird species than smaller ones (Findlay &amp; Houlahan 1997) as well as being used disproportionately by some species. Smaller identical wetlands of equal cumulative area might support equal or greater cumulative richness of songbirds and mammals, especially if they are close together and connected with corridors of undeveloped land. For predicting bird diversity, some evidence from peatlands (Calme and Desrochers 2000) suggests that wetland size may be less important than microhabitat heterogeneity (which is represented by other indicators). </t>
  </si>
  <si>
    <t xml:space="preserve">Wetlands already dominated by non-native invasive species are likely to be more resistant to further impacts to their remaining plant communities from additional invasive plant species (Werner et al. 2002, Wigand et al. 2003, Stohlgren et al. 2002), </t>
  </si>
  <si>
    <r>
      <t xml:space="preserve">Plant species richness within a site may be broadly associated with a diversity of height classes, especially if combined with a mix of conifer and deciduous trees/shrubs in each height class (Brandt et al. 2015).  </t>
    </r>
    <r>
      <rPr>
        <i/>
        <sz val="10"/>
        <rFont val="Arial Narrow"/>
        <family val="2"/>
      </rPr>
      <t>Score is based on number of height-form classes (of a possible 6) that are present.</t>
    </r>
  </si>
  <si>
    <r>
      <t>Wetland plant species richness often correlates positively with presence of a relatively even and dispersed mix of herbaceous and woody vegetation within the wetland (Brandt et al. 2015).  Sparse woody cover sometimes indicates overgrazing by deer, which reduces plant diversity (Thiemann et al. 2009, Martin et al. 2010).</t>
    </r>
    <r>
      <rPr>
        <i/>
        <sz val="10"/>
        <rFont val="Arial Narrow"/>
        <family val="2"/>
      </rPr>
      <t xml:space="preserve"> In calculations, is excluded automatically (cell goes blank) if little or no woody cover is present.</t>
    </r>
  </si>
  <si>
    <r>
      <t>Partly because of the greater nutrient levels and relative hydrologic stability of most groundwater (Langlois et al. 2015), several plant species thrive best where a wetland's surface water originates most directly from groundwater (e.g., Radies et al. 2009).</t>
    </r>
    <r>
      <rPr>
        <i/>
        <sz val="10"/>
        <rFont val="Arial Narrow"/>
        <family val="2"/>
      </rPr>
      <t xml:space="preserve"> In calculations, is excluded automatically (cell goes blank) if no evidence of groundwater influx; otherwise is rated based on response in column D.</t>
    </r>
  </si>
  <si>
    <t>In Ontario, forested wetlands with the most plant species were those with the largest areas and the largest proportion of upland forest within 250 m of the wetlands (Houlahan et al. 2006). However, one study found that forested wetlands in developed landscapes had community composition and structure similar to those in undeveloped landscapes, with number of exotic species being no greater (Ehrenfeld 2005)</t>
  </si>
  <si>
    <t>Burn20</t>
  </si>
  <si>
    <r>
      <t xml:space="preserve">The germination of many plant species is triggered by the interaction of water conditions and season (light). Homogenization or alteration of the natural water regime can thus encourage invasive species at the expense of native flora (Zedler &amp; Kercher 2004, Catford et al. 2011). Inundation at aberrant times of the year can reduce native plant diversity because most native species have evolved in close synchronization with natural seasonal water regimes. Any development that involves increasing the area of lawn or impervious surface is likely to increase runoff amount and concentrate it within shorter time periods, i.e. “pulses” “flashiness” (Booth &amp; Jackson 1997, Booth et al. 2002, DeGasperi et al. 2009). This makes wetlands more susceptible to invasion by non-native plants (Magee &amp; Kentula 2005).  </t>
    </r>
    <r>
      <rPr>
        <i/>
        <sz val="10"/>
        <rFont val="Arial Narrow"/>
        <family val="2"/>
      </rPr>
      <t>In calculations, is excluded automatically (cell goes blank) if wetland has no surface water inflow.</t>
    </r>
  </si>
  <si>
    <r>
      <t xml:space="preserve">In many regions, wetlands with extensive seasonal flooding tend to have greater plant species richness (Pollack et al. 1998). Seasonal inundation brings in external nutrients to riverine wetlands, and in all wetlands is necessary for seed germination of many wetland plant species. For determining the number of plants and number of species that germinate, the monthly timing of first soil moistening may be more important than the duration of the pre-inundation moist period or the length of inundation (Bliss &amp; Zedler 1997). </t>
    </r>
    <r>
      <rPr>
        <i/>
        <sz val="10"/>
        <rFont val="Arial Narrow"/>
        <family val="2"/>
      </rPr>
      <t xml:space="preserve">In calculations, is excluded automatically (cell goes blank) if wetland never has surface water during an average year. </t>
    </r>
  </si>
  <si>
    <r>
      <t xml:space="preserve">Wetlands not dominated by one or two plant species are generally more diverse (e.g., Houlahan &amp; Findlay 2004). </t>
    </r>
    <r>
      <rPr>
        <i/>
        <sz val="10"/>
        <rFont val="Arial Narrow"/>
        <family val="2"/>
      </rPr>
      <t>In calculations, is excluded automatically (cell goes blank) if little or no exposed herbaceous cover is present.</t>
    </r>
  </si>
  <si>
    <t>At least in herbaceous wetlands, infrequent moderate-intensity fires diversify the herbaceous plant community, partly by releasing nutrients bound in soils and vegetation, and reducing shade and competition (e.g., de Szalay &amp; Resh 1997).</t>
  </si>
  <si>
    <t>Although burning potentially releases (rather than sequesters) large amounts of carbon from wetland soils, in the longer term, mosses recover within a few decades of surface burns (Kuhry 1994), and occasional surface burning can concentrate soil inorganic material in surface peat, thereby decreasing fuel quality and the likelihood of supporting severe fires in the future.  Loss of soil organic matter from burning can also result in a drop in wetland surface elevation, thus promoting wetter conditions and increasing fire resistance for years post-burn (Watts et al. 2015).  Although burning produces a period of minimal carbon storage immediately post-fire, vegetation recovery through succession within a few decades promotes long-term persistence of vegetation communities with greater rates of carbon sequestration than those of unburned (late successional) communities (Benscoter et al. 2012).</t>
  </si>
  <si>
    <t>Seeds of non-native plants commonly are carried by humans and their pets. Non-native plants can decrease plant species richness of the wetland. In the Kenai Peninsula of Alaska,significantly fewer nonnative species were found beyond a 500-m distance from a trailhead. High-use trails, especially those in open-canopied areas, exhibited the greatest numbers of nonnative species at the farthest distances from the trailhead and contained a greater number of less common nonnative species.</t>
  </si>
  <si>
    <t>Red alder often occurs in mildly disturbed settings, and through its ability to increase soil fertility by fixing nitrogen, can increase the cover and perhaps the diversity of understory plants. However, as alder stands age, they form a closed canopy which can block light and reduce understory plant richness.</t>
  </si>
  <si>
    <t>Calcareous fens often support more plant species than other wetlands of similar size, and the species they support are usually among the regionally rarest (Hinds 1983, Hill &amp; Keddy 1992, Mullen et al. 2000, Hinds 2000, McClellan et al. 2003).</t>
  </si>
  <si>
    <r>
      <t xml:space="preserve">Wetlands with naturally fluctuating water levels tend to have greater plant species richness, at least in Southeast Alaska floodplains (Pollack et al. 1998). Duration, frequency, and timing of inundation may be more important than magnitude of fluctuation, but cannot be estimated during a single visit to an ungaged wetland. Prolonged deep flooding can reduce plant species richness (Bayley &amp; Guimond 2009). </t>
    </r>
    <r>
      <rPr>
        <i/>
        <sz val="10"/>
        <rFont val="Arial Narrow"/>
        <family val="2"/>
      </rPr>
      <t>In calculations, is excluded automatically (cell goes blank) if wetland never has surface water during an average year, or if none of it floods only seasonally.</t>
    </r>
  </si>
  <si>
    <t>Conduc20</t>
  </si>
  <si>
    <t>Acidic20</t>
  </si>
  <si>
    <t>Larger wetlands generally support more plant species than smaller ones (Weiher &amp; Boylen 1994, Findlay &amp; Houlahan 1997, Matthews 2004, Houlahan et al. 2006) although in some landscapes, smaller identical wetlands of equal cumulative area support equal or greater cumulative richness of plants (Peintinger et al. 2003).</t>
  </si>
  <si>
    <t>In this region, amphibians have been shown to occur more frequently in wetlands located close to other wetlands, or with a large number of other wetlands in close proximity (Stevens et al. 2002, Mazerolle et al. 2005, Jacobs &amp; Houlahan 2011). That is because many species in these groups move regularly among wetlands in order to meet different life history needs (Gibbs 1993).</t>
  </si>
  <si>
    <t>Such wetlands may be considered more valuable because the rare species they host contribute disproportionately to amphibian biodiversity at a regional scale.</t>
  </si>
  <si>
    <t>Pearl, C., M. Adams, N. Leuthold, and R. Bury. 2005. Amphibian occurrence and aquatic invaders in a changing landscape: implications for wetland mitigation in the Willamette Valley, Oregon, USA. Wetlands 25:76-88.</t>
  </si>
  <si>
    <t>Silva, M., L. A. Hartling, S. A. Field, and K. Teather. 2003. The effects of habitat fragmentation on amphibian species richness of Prince Edward Island. Canadian Journal of Zoology 81:563-573.</t>
  </si>
  <si>
    <t>The type of non-natural land cover that surrounds a wetland can influence dispersal success of amphibians. Unvegetated lands are usually the least suitable. Clearcuts may be better but perhaps still not as suitable as natural cover on soils of similar productivity (Waldick et al. 1999).</t>
  </si>
  <si>
    <t xml:space="preserve">During certain times of their life cycle, frogs, turtles, and salamanders must move from their breeding wetlands into other wetlands or uplands with natural vegetation (Patrick et al. 2007, 2008). Pavement and other open surfaces act as barriers to these essential movements, and individuals that do attempt to cross roads are often crushed by vehicles (see above). In Ontario (Eigenbrod 2008a) and Virginia (Marsh 2007), “accessible habitat” -- defined as the habitat available to pond-dwelling amphibians without individuals needing to cross a major road -- was a better predictor of amphibian species richness than simply the amount of habitat within some distance of breeding ponds (Eigenbrod 2008b). </t>
  </si>
  <si>
    <r>
      <t xml:space="preserve">Populations of some amphibians seem to thrive best in fishless wetlands.  In some regions, predatory fish (especially, exotic species) severely reduce populations of native species (Pearl et al. 2005). </t>
    </r>
    <r>
      <rPr>
        <i/>
        <sz val="10"/>
        <rFont val="Arial Narrow"/>
        <family val="2"/>
      </rPr>
      <t>In calculations, if wetland is fishless it is scored as a 1 but if fish present this indicator is ignored in model calculations.</t>
    </r>
  </si>
  <si>
    <r>
      <t>During certain months of the year many salamanders and some frogs and toads require the moist microclimate and abundant invertebrate foods found in or under large downed wood in the uplands surrounding wetlands. Forests with large-diameter trees are most likely to have such conditions and in this region, American bullfrog and mink frog are more likely to occur in wetlands with nearby mature and overmature forest (Jacobs &amp; Houlahan 2011). The dominant type of vegetation, both near a stream and in a watershed generally, also has the potential to strongly influence aquatic productivity (Ball et al. 2010) and thus tadpole survival, with deciduous vegetation usually indicating greater nutrient and light availability. However, one survey in this region found fewer amphibian species in wetlands surrounded by hardwood (deciduous) forest (Jacobs &amp; Houlahan 2011). The formula used here gives equal weight to the variety of classes and increasing mean diameter.</t>
    </r>
    <r>
      <rPr>
        <i/>
        <sz val="10"/>
        <rFont val="Arial Narrow"/>
        <family val="2"/>
      </rPr>
      <t xml:space="preserve"> In calculations, is excluded automatically (cell goes blank) if few or no trees of any kind are present.</t>
    </r>
  </si>
  <si>
    <r>
      <t xml:space="preserve">Although shade provided by wider buffers is beneficial to many aquatic species, populations of a few species of native frogs, pond-breeding salamanders, and aquatic invertebrates sometimes increase following partial removal of woody cover. Gaps in woody cover imply less shading and thus warmer water temperatures and algae, increasing aquatic productivity as long as sediment inputs do not increase greatly at the same time (Murphy et al. 1981, Hawkins et al. 1983). </t>
    </r>
    <r>
      <rPr>
        <i/>
        <sz val="10"/>
        <rFont val="Arial Narrow"/>
        <family val="2"/>
      </rPr>
      <t>In calculations, is excluded automatically (cell goes blank) if little or no woody vegetation is present.</t>
    </r>
  </si>
  <si>
    <t>Wetlands that contain at least a little surface water support breeding amphibians, but even those that lack surface water throughout the year may still provide dispersal sites for adult frogs, toads, and salamanders.</t>
  </si>
  <si>
    <r>
      <t xml:space="preserve">Pools that remain isolated from other surface waters even during high water provide amphibians with the most protection from predatory fish. More amphibian species prefer ponded water than water flowing in channels. </t>
    </r>
    <r>
      <rPr>
        <i/>
        <sz val="10"/>
        <rFont val="Arial Narrow"/>
        <family val="2"/>
      </rPr>
      <t xml:space="preserve">In calculations, is excluded automatically (cell goes blank) if wetland never has surface water during an average year. </t>
    </r>
  </si>
  <si>
    <r>
      <t xml:space="preserve">Surface water that persists for all or nearly all of the year provides reproductive as well as feeding and overwintering habitat for most amphibian species (Baldwin et al. 2006a). However, risk of fish predation may be greater in some persistently inundated wetlands if they are fish-accessible. Ideally, a wetland should exist as part of a mosaic of wetlands with different water regimes (Gibbs 1993). </t>
    </r>
    <r>
      <rPr>
        <i/>
        <sz val="10"/>
        <rFont val="Arial Narrow"/>
        <family val="2"/>
      </rPr>
      <t xml:space="preserve">In calculations, is excluded automatically (cell goes blank) if wetland never has surface water during an average year. </t>
    </r>
  </si>
  <si>
    <r>
      <t xml:space="preserve">Egg masses of many frogs and aquatic salamanders are more susceptible to stranding in wetlands with large water level fluctuations. </t>
    </r>
    <r>
      <rPr>
        <i/>
        <sz val="10"/>
        <rFont val="Arial Narrow"/>
        <family val="2"/>
      </rPr>
      <t>In calculations, is excluded automatically (cell goes blank) if wetland never has surface water during an average year, or if none of it floods only seasonally.</t>
    </r>
  </si>
  <si>
    <r>
      <t xml:space="preserve">The eggs and larvae of many frogs and aquatic salamanders can easily be harmed by excessive ultraviolet radiation. Aquatic plants may provide some degree of shelter from such radiation, as well as providing attachment surfaces for eggs. However, one survey found that, among wetlands in this region, amphibian richness increased with increasing open water area (Stevens et al. 2002). </t>
    </r>
    <r>
      <rPr>
        <i/>
        <sz val="10"/>
        <rFont val="Arial Narrow"/>
        <family val="2"/>
      </rPr>
      <t xml:space="preserve">In calculations, is excluded automatically (cell goes blank) if wetland never has ponded surface water during an average year. </t>
    </r>
  </si>
  <si>
    <t>To meet all their life history requirements in this region, most amphibians require other wetlands and uplands in close proximity to, or interspersed within, suitable breeding wetlands (Baldwin et al. 2006b). Uplands that are dominated by natural vegetation, especially forest (Stevens et al. 2002), usually provide the most suitable microclimates and habitat structure. To help maintain biodiversity in central and eastern New Brunswick, vegetated buffers of &gt;30 m width should mostly surround wetlands (Betts et al  2005). Buffers narrower than 100 m will not protect most amphibian populations (Powell &amp; Babbitt 2015).</t>
  </si>
  <si>
    <r>
      <t xml:space="preserve">Fringe wetlands are often used by more wetland birds partly because the adjoining wide expanses of open water can provide refuge from disturbances as well as additional foods. </t>
    </r>
    <r>
      <rPr>
        <i/>
        <sz val="10"/>
        <rFont val="Arial Narrow"/>
        <family val="2"/>
      </rPr>
      <t xml:space="preserve">In calculations, presence increases the score but absence has no effect, and is excluded automatically (cell goes blank) if wetland never has surface water during an average year. </t>
    </r>
  </si>
  <si>
    <r>
      <t>Most wetland birds feed more in ponded areas than along channels. Especially at times of high water in channels, off-channel ponded areas provide refuge for many species.</t>
    </r>
    <r>
      <rPr>
        <i/>
        <sz val="10"/>
        <rFont val="Arial Narrow"/>
        <family val="2"/>
      </rPr>
      <t xml:space="preserve"> In calculations, is excluded automatically (cell goes blank) if wetland never has surface water during an average year. </t>
    </r>
  </si>
  <si>
    <r>
      <t xml:space="preserve">Surface water that persists for all or most of a year provides more feeding opportunities for wetland birds. If no surface water persists throughout a year, waterbird use of the wetland for feeding can still be substantial if the wetland borders a lake, large river, or estuary. Areas that are flooded only seasonally can be very productive when flooded. </t>
    </r>
    <r>
      <rPr>
        <i/>
        <sz val="10"/>
        <rFont val="Arial Narrow"/>
        <family val="2"/>
      </rPr>
      <t xml:space="preserve">In calculations, is excluded automatically (cell goes blank) if wetland never has surface water during an average year. </t>
    </r>
  </si>
  <si>
    <r>
      <t xml:space="preserve">Wetlands that flood only seasonally tend to be more productive and are immensely important as feeding and resting areas for migratory waterbirds. Occasional severe flood or drought can rejuvenate wetland productivity, and thus waterbird feeding opportunities, by stimulating release of nutrients from sediments or soil. </t>
    </r>
    <r>
      <rPr>
        <i/>
        <sz val="10"/>
        <rFont val="Arial Narrow"/>
        <family val="2"/>
      </rPr>
      <t xml:space="preserve">In calculations, is excluded automatically (cell goes blank) if wetland never has surface water during an average year. </t>
    </r>
  </si>
  <si>
    <r>
      <t xml:space="preserve">Interspersion of patches of open water amid patches of vegetation, in about equal proportions, provides waterbirds with the best access to aquatic foods (Longcore et al. 2006), and encourages establishment of breeding territories by more individual birds. Use of such wetlands has been shown to be significantly greater (Gibbs et al. 1991). </t>
    </r>
    <r>
      <rPr>
        <i/>
        <sz val="10"/>
        <rFont val="Arial Narrow"/>
        <family val="2"/>
      </rPr>
      <t>In calculations, is excluded automatically (cell goes blank) if wetland never has surface water during an average year, if no ponded water, if ponded water but no vegetation, if ponded but no open water.</t>
    </r>
  </si>
  <si>
    <r>
      <t xml:space="preserve">For most waterbirds, intermediate proportions of open ponded water and vegetation appear to provide the best protection from predators and the elements, as well as the richest feeding opportunities (Longcore et al. 2006). </t>
    </r>
    <r>
      <rPr>
        <i/>
        <sz val="10"/>
        <rFont val="Arial Narrow"/>
        <family val="2"/>
      </rPr>
      <t xml:space="preserve">In calculations, is excluded automatically (cell goes blank) if wetland never has ponded surface water during an average year. </t>
    </r>
  </si>
  <si>
    <r>
      <t xml:space="preserve">Aquatic plant cover and the abundant invertebrates it supports are favored by many waterbird species. Interspersion of patches of open water amid patches of vegetation, in about equal proportions, provides waterbirds with the best access to aquatic foods, and waterbird use of such wetlands is usually significantly greater (Longcore et al. 2006). </t>
    </r>
    <r>
      <rPr>
        <i/>
        <sz val="10"/>
        <rFont val="Arial Narrow"/>
        <family val="2"/>
      </rPr>
      <t>In calculations, is excluded automatically (cell goes blank) if wetland never has surface water during an average year, if no ponded water, if ponded water but no vegetation, if ponded but no open water.</t>
    </r>
  </si>
  <si>
    <r>
      <t xml:space="preserve">These plants usually indicate highly enriched conditions, and those tend to be more productive feeding areas for most waterbird species. </t>
    </r>
    <r>
      <rPr>
        <i/>
        <sz val="10"/>
        <rFont val="Arial Narrow"/>
        <family val="2"/>
      </rPr>
      <t>In calculations, is excluded automatically (cell goes blank) if wetland never has surface water during an average year. In calculations, is counted as a positive if present but does not decrease score if absent.</t>
    </r>
  </si>
  <si>
    <t xml:space="preserve">Many songbirds and mammals occur only in larger tracts of natural land cover. Fragmentation of wooded riparian areas by residential development or clearcuts can, over the long term, reduce the diversity of songbirds nesting in the remaining patches (e.g., Smith &amp; Wachob 2006). Breeding wetland birds sometimes do persist in small disturbed wetlands as long as much larger undisturbed wetlands nearby remain productive (e.g., Vermaat et al. 2008). Ideally, no clearing should result in a forest being fragmented into an isolate smaller than about 40 ha or narrower than 50 m, and definitely not smaller than about 1 ha or narrower than 30 m (Donnelly &amp; Marzluff 2004). In the Seattle metro area, Pacific (Winter) Wren occurred mostly in areas with less than 20% surrounding urban cover and forest patch size of more than about 1 ha (Donnelly 2004, Donnelly &amp; Marzluff 2006). Theoretical and limited empirical data suggest that 30% or more forest cover across a large area is the threshold value above which landscapes might provide sufficient habitat and connectivity for many forest species, allowing those species' populations to survive even in small remaining patches (Andren 1994). Minimum patch sizes required for breeding by the most sensitive forest songbirds (e.g., Brown Creeper) may be about 10 ha (Donnelly &amp; Marzluff 2004, Poulin et al. 2008). However, a study in British Columbia old growth forest found patch size had little to do with the abundance or diversity of birds in the forest (Schieck et al. 1995). </t>
  </si>
  <si>
    <t xml:space="preserve">The type as well as the amount of disturbed upland cover near the wetland is important to mammals and nesting songbirds. For most species, impervious surfaces are unusable. Habitat gaps caused by placement of roads, driveways, or homes – as well as by natural features such as wide tidal channels -- can impact movements of mammals and birds (Trombulak &amp; Frissell 2000, Ortega &amp; Capen 2002). This is especially true when the gaps are wider than about 30 m (Rich et al. 1994, Rail et al. 1997, St. Clair et al. 1998, Belisle &amp; Desrochers 2002, Tremblay &amp; St. Clair 2010), and definitely when wider than 60 m (Creegan &amp; Osborne 2005, Bosschieter &amp; Goedhart 2005, Awade &amp; Metzger 2008, Lees &amp; Peres 2009). Species that prefer low vegetation may be particularly reluctant to cross forest clearings. The presence of small clusters of trees scattered within very wide forest gaps may be sufficient to enhance willingness of some forest bird species to cross those gaps (Robertson &amp; Radford 2009). </t>
  </si>
  <si>
    <t>Roads that completely encircle a wetland limit the access to the wetland by upland mammals, and may isolate small mammal populations within the wetlands. To sustain most forest-dwelling bird species, linear clearings should cause no gap in the forest canopy wider than about 30 m (Belisle &amp; Desrochers 2002, Tremblay &amp; St. Clair 2010). Roads also tend to concentrate nest predators.</t>
  </si>
  <si>
    <t xml:space="preserve">High nest predation occurs on the edges of residential areas because jays and ravens are more abundant there. Nest predation can also be high in clearcut openings. Human settlements are accompanied by an increase in refuse, whether it be illegally dumped trash, recklessly contained household garbage, or well-intended compost piles. These serve as a food for ravens that prey extensively on native songbirds, frogs, and other wildlife (Chace &amp; Walsh 2006). Crow populations have been shown to increase up to at least 1 km from new urban areas (Oneal &amp; Rotenberry 2009). </t>
  </si>
  <si>
    <r>
      <t xml:space="preserve">Interspersion of woody cover with food-rich openings of herbaceous vegetation provides greater feeding opportunities for many songbirds and mammals, and is a natural phenomenon caused by windthrow and other factors in forested wetlands.  In British Columbia, activity levels of bats were more than 40 times greater in riparian than in upland areas, due to greater abundance of emerging aquatic insects, and were significantly greater where stand complexity and extent of forest edges was greater. Gaps of 3-10 trees in an otherwise forested matrix, that comprise about 30% of the matrix, resemble most closely the conditions in mature forest of Vancouver island, BC (Lertzman et al. 1964). Most canopy gaps occupy 50-200 m2 and a diameter-height ratio is typically &lt;0.50 (Ott &amp; Juday 2002). Excessive gap frequencies and areas (i.e., forest fragmentation) and lack of corridors that connect forested wetlands with upland forests can be detrimental to some species if the remaining forested patches are very small. </t>
    </r>
    <r>
      <rPr>
        <i/>
        <sz val="10"/>
        <rFont val="Arial Narrow"/>
        <family val="2"/>
      </rPr>
      <t xml:space="preserve">In calculations, is excluded automatically (cell goes blank) if wetland has little or no woody cover. </t>
    </r>
  </si>
  <si>
    <t>When wetland perimeter mostly adjoins upland rather than more wetland, this allows animals to move more conveniently between uplands and wetlands, benefitting from resources in each. In particular, small mammals avoid wetter (usually more central) parts of wetlands in favor of drier edges (Mazerolle et al. 2001).</t>
  </si>
  <si>
    <r>
      <t xml:space="preserve">Songbird richness within a site is strongly associated with a diversity of height classes, combined with a mix of conifer and deciduous trees/shrubs in each height class. Trees and shrubs support a wider diversity of songbirds, raptors, and mammals than does herbaceous vegetation, partly because they provide more vertical structure and produce downed wood and snags that have other habitat benefits. Trees help shelter the water in wetlands from high winds, facilitating the aerial foraging activities of birds and bats (Whitaker et al. 2000). </t>
    </r>
    <r>
      <rPr>
        <i/>
        <sz val="10"/>
        <rFont val="Arial Narrow"/>
        <family val="2"/>
      </rPr>
      <t>In calculations, the indicator score is based on number of height-form classes (of a possible 6).</t>
    </r>
  </si>
  <si>
    <r>
      <t xml:space="preserve">Tree cavities needed by many nesting songbirds and mammals are found mostly in dead standing trees (snags) and larger-diameter trees. Larger-diameter stands also tend to be older and provide more structure useful to a variety of songbirds and mammals. Taller snags are especially useful to raptors as hunting perches. A mixture of tree species, especially mixtures that include aspen, is necessary to sustain populations of most boreal woodpecker species (Drever &amp; Martin 2010). Deer need a diversity of forest types and ages (both early succession and old growth) near each other within their home ranges (Chang et al. 1995), as do moose (Snaith et al. 2002). </t>
    </r>
    <r>
      <rPr>
        <i/>
        <sz val="10"/>
        <rFont val="Arial Narrow"/>
        <family val="2"/>
      </rPr>
      <t>In calculations, is excluded automatically (cell goes blank) if wetland has few or no trees. The indicator score is based equally on the proportion of classes present and their weighted average.</t>
    </r>
    <r>
      <rPr>
        <sz val="10"/>
        <rFont val="Arial Narrow"/>
        <family val="2"/>
      </rPr>
      <t xml:space="preserve">
</t>
    </r>
  </si>
  <si>
    <r>
      <t xml:space="preserve">Wider vegetated zones within wetlands provide more nesting space and structure for songbirds and mammals. Wider riparian buffers in British Columbia supported a greater density of deciduous trees important to wildlife diversity in that region (Shirley 2004). Also in British Columbia, even buffers of 150 m failed to support several species at densities equivalent to those in extensive uncut forests: Brown Creeper, Pileated Woodpecker, Golden-crowned Kinglet. However, at least 2 species -- Warbling Vireo and Swainson’s Thrush – were more common in buffers than in uncut forest (Shirley &amp; Smith 2005). The diversity of microhabitats within bogs and fens generally increases with increasing area, and vertebrate richness consequently increases (Desrochers &amp; van Duinen 2006). </t>
    </r>
    <r>
      <rPr>
        <i/>
        <sz val="10"/>
        <rFont val="Arial Narrow"/>
        <family val="2"/>
      </rPr>
      <t>In calculations, is excluded automatically (cell goes blank) if wetland never has surface water during an average year, or has no open water.</t>
    </r>
  </si>
  <si>
    <t>Wetlands that are closer to natural land cover and not separated by roads that interfere with movements across the landscape, are more likely to support a large diversity of songbird and mammal species. Forest gaps deter red squirrel movement (Bakker &amp; Van Vuren 2004) and hinder movements of many birds. Nests in wetland forest edges, where both jays and squirrels occur frequently, are depredated more often than those in wetland openings or forest interior, where predators were less common (Desanto &amp; Wilson 2001). The probability that a forest-dwelling bird will fly in the open between two patches of forest decreases rapidly as the distance separating those patches increases (Desrochers &amp; Hannon 1997, St. Clair et al. 1998). Forest bird species usually prefer to detour under forest cover even if the forested route is longer, but if the detour is too long, they will prefer a shortcut across openland. However, when possible most forest bird species avoid venturing farther than about 30 m from a forest edge (St. Clair et al. 1998)</t>
  </si>
  <si>
    <t>_GDD1</t>
  </si>
  <si>
    <t>Ponding2</t>
  </si>
  <si>
    <t>WoodyTyp4</t>
  </si>
  <si>
    <t>Inflow4a</t>
  </si>
  <si>
    <t>Gradient5</t>
  </si>
  <si>
    <t>PopCtr9</t>
  </si>
  <si>
    <t>DistRd9</t>
  </si>
  <si>
    <t>ToxinIn9</t>
  </si>
  <si>
    <t>Fishing10</t>
  </si>
  <si>
    <t>AltTime8a</t>
  </si>
  <si>
    <t>SedCA8a</t>
  </si>
  <si>
    <t>SoilDisturb8a</t>
  </si>
  <si>
    <t>Acidic11</t>
  </si>
  <si>
    <t>Lake12a</t>
  </si>
  <si>
    <t>HerbUniq12</t>
  </si>
  <si>
    <t>Lacus13a</t>
  </si>
  <si>
    <t>HerbUniq13</t>
  </si>
  <si>
    <t>DeerHab14</t>
  </si>
  <si>
    <t>AVERAGE (Gcover, Girreg, Cliffs, SnagsD, WoodDown, DeerHab)</t>
  </si>
  <si>
    <t>WoodyHtDiv14</t>
  </si>
  <si>
    <t>VegPct5k15</t>
  </si>
  <si>
    <t>InflowPD</t>
  </si>
  <si>
    <t>AVERAGE[Invas, AVERAGE(DecidCov, WoodyHtDiv, WoodHerbMix, HerbDom, Burn, Girreg)]</t>
  </si>
  <si>
    <t>OverRich</t>
  </si>
  <si>
    <t>AcidicS</t>
  </si>
  <si>
    <t>ConductivS</t>
  </si>
  <si>
    <t>BurnHist</t>
  </si>
  <si>
    <t>The proportion of the AA's contributing area (measured to no more than 1000 m upslope) that is comprised of buildings, roads, parking lots, other pavement, exposed bedrock, landslides, and other mostly-bare surface is about :</t>
  </si>
  <si>
    <t>Function Score (raw)</t>
  </si>
  <si>
    <t>Subtypes8</t>
  </si>
  <si>
    <t>WetTypeDiv11</t>
  </si>
  <si>
    <t>WetTypeDiv12</t>
  </si>
  <si>
    <t xml:space="preserve">To help maintain biodiversity in central and eastern New Brunswick, vegetated buffers of &gt;30 m width should mostly surround wetlands (Betts &amp; Forbes 2005). However, riparian buffer strips 50 m wide were insufficient to maintain nesting forest interior songbird species in Newfoundland (Whitaker &amp; Montevecchi 1999). </t>
  </si>
  <si>
    <t>WetTypeDiv14</t>
  </si>
  <si>
    <r>
      <t xml:space="preserve">Deciduous cover allows more light to penetrate to the ground than does evergreen cover. In many instances this results in greater richness of understory plant species. </t>
    </r>
    <r>
      <rPr>
        <i/>
        <sz val="10"/>
        <rFont val="Arial Narrow"/>
        <family val="2"/>
      </rPr>
      <t>In calculations, is excluded automatically (cell goes blank) if few or no trees are present. Score is based on maximum deciduous cover in either the shrub (1-3 m) or tree (&gt;3 m) categories.</t>
    </r>
  </si>
  <si>
    <t xml:space="preserve">Invasion by non-native species often reduces native plant species richness (Zedler &amp; Kercher 2004, Schooler et al. 2006) but not always (Houlahan &amp; Findlay 2004). In some regions, a change of only 10 cm in mean water level or a change of only 2 cm in the degree of fluctuation may cause a shift from native to non-native species (Magee &amp; Kentula 2005). </t>
  </si>
  <si>
    <t>HYDROLOGIC Group (WS)</t>
  </si>
  <si>
    <t>AQUATIC HABITAT Group (max+avg/2 of FA, FR, AM, WBF, WBN)</t>
  </si>
  <si>
    <t>AQUATIC SUPPORT Group (max+avg/2 of SFS, INV, OE, WC)</t>
  </si>
  <si>
    <t>Wetland Ecological Condition (EC)</t>
  </si>
  <si>
    <t>Latitude &amp; Longitude (decimal degrees):</t>
  </si>
  <si>
    <r>
      <t>Hunt, J. F., C. W. Honeycutt, G. Starr, and D. Yarborough. 2009. Influence of coastal proximity on evapotranspiration rates and crop coefficients of Maine lowbush blueberry (</t>
    </r>
    <r>
      <rPr>
        <i/>
        <sz val="10"/>
        <rFont val="Arial Narrow"/>
        <family val="2"/>
      </rPr>
      <t>Vaccinium angustifolium</t>
    </r>
    <r>
      <rPr>
        <sz val="10"/>
        <rFont val="Arial Narrow"/>
        <family val="2"/>
      </rPr>
      <t>). International Journal of Fruit Science 9:323-343.</t>
    </r>
  </si>
  <si>
    <t>Booth, D. B. and C. R. Jackson. 1997. Urbanization of aquatic systems: Degradation thresholds, stormwater detection, and the limits of mitigation. Journal of the American Water Resources Association 33:1077-1090.</t>
  </si>
  <si>
    <t>Peat soils retain water for longer periods than coarse mineral soils, and the deeper the better. Subsurface ice which helps sustain streamflow also may remain longer into the late spring in peatlands due to the insulating effects of peat. Runoff ratio (the percent of precipitation that contributes to streamflow immediately after storms) is lowest for open peatland areas with thick organic horizons (0.02-0.05) due to low topographic gradients and many surface depressions capable of retaining surface water (Wiley &amp; Curran 2003). Runoff ratio is greatest (surface water retention is least) in areas with more permeable soils, at least where those areas aren't sloping. That is due partly to higher likelihood of groundwater reaching the land surface via seeps (Emili &amp; Price 2006)</t>
  </si>
  <si>
    <t>Wiley, J.B., and J.H. Curran. 2003. Estimating annual high-flow statistics and monthly and seasonal low-flow statistics for ungaged sites on streams in Alaska and conterminous basins in Canada: U.S. Geological Survey Water-Resources Investigations Report 03-4114.</t>
  </si>
  <si>
    <r>
      <t xml:space="preserve">Acidic conditions (indicated by staining) potentially support greater adsorption of P by iron and aluminum (Richardson et al. 1996, Sutmm &amp; Morgan 1996) and that is often associated with the dissolved organics that cause staining (Gorham et al. 1998). Acidic conditions also slow the decomposition of plant material, thus increasing P storage in peat.  P retention can also occur at high pH as a result of precipitation with calcium. </t>
    </r>
    <r>
      <rPr>
        <i/>
        <sz val="10"/>
        <rFont val="Arial Narrow"/>
        <family val="2"/>
      </rPr>
      <t>In calculations, is excluded automatically (cell goes blank) if wetland never has surface water during an average year.  Otherwise, retention is assumed to increase below a pH of 5 or above a pH of 9.</t>
    </r>
  </si>
  <si>
    <t>Brix, H. 1994. Functions of macrophytes in constructed wetlands. Water Science and Technology 29:71-78.</t>
  </si>
  <si>
    <t>Cairns, M. A. and K. Lajtha. 2005. Effects of succession on nitrogen export in the west-central Cascades, Oregon. Ecosystems 8:583-601.</t>
  </si>
  <si>
    <t>Compton, J. E., M. R. Church, S. T. Larned, and W. E. Hogsett. 2003. Nitrogen export from forested watersheds in the Oregon Coast Range: the role of N2-fixing red alder. Ecosystems 6:773-785.</t>
  </si>
  <si>
    <t>Greathouse, E. A., J. E. Compton, and J. Van Sickle. 2014. Linking landscape characteristics and high stream nitrogen in the Oregon Coast Range: red alder complicates use of nutrient criteria. JAWRA Journal of the American Water Resources Association 50:1383-1400.</t>
  </si>
  <si>
    <t>Lin, Y.-F., S.-R. Jing, T.-W. Wang, and D.-Y. Lee. 2002. Effects of macrophytes and external carbon sources on nitrate removal from groundwater in constructed wetlands. Environmental Pollution 119:413-420.</t>
  </si>
  <si>
    <t>Mayer, P. M., S. K. Reynolds, M. D. McCutchen, and T. J. Canfield. 2005. Riparian Buffer Width, Vegetative Cover, and Nitrogen Removal Effectiveness: A Review of Current Science and Regulations. EPA/600/R-05/118. U.S. Environmental Protection Agency, Cincinnati, OH.</t>
  </si>
  <si>
    <t>Morse, J. L., M. Ardón, and E. S. Bernhardt. 2012. Using environmental variables and soil processes to forecast denitrification potential and nitrous oxide fluxes in coastal plain wetlands across different land uses. Journal of Geophysical Research: Biogeosciences (2005–2012) 117.</t>
  </si>
  <si>
    <t>Shaftel, R. S., R. S. King, and J. A. Back. 2012. Alder cover drives nitrogen availability in Kenai lowland headwater streams, Alaska. Biogeochemistry 107:135-148.</t>
  </si>
  <si>
    <t>Šimek, M. and J. E. Cooper. 2002. The influence of soil pH on denitrification: progress towards the understanding of this interaction over the last 50 years. European Journal of Soil Science 53:345-354.</t>
  </si>
  <si>
    <r>
      <t xml:space="preserve">Among wetland plants, those best known for facilitating the emission of methane from sediments are sedge and cottongrass (Marinier et al. 2004, Strack et al. 2006, Green &amp; Baird 2012). However, one study found methane production from cattail litter was almost 3 times greater than from sedge litter (Williams &amp; Yavitt 2010), and alder also has been found to facilitate methane emissions from wetlands (Smialek et al. 2006, Gauci et al. 2010). </t>
    </r>
    <r>
      <rPr>
        <i/>
        <sz val="10"/>
        <rFont val="Arial Narrow"/>
        <family val="2"/>
      </rPr>
      <t>In calculations, is excluded automatically (cell goes blank) if no exposed herbaceous cover, or if cover is entirely forbs.</t>
    </r>
  </si>
  <si>
    <t>Benscoter, B., M. R. Turetsky, and J. Johnson. 2012. Regulation of Soil Carbon Storage by Wildfire in Boreal and Subtropical Peatlands. Page 0520  in AGU Fall Meeting Abstracts, Vol. 1.</t>
  </si>
  <si>
    <t>Kuhry, P. 1994. The role of fire in the development of sphagnum-dominated peatlands in western boreal Canada. Journal of Ecology 82:899-910.</t>
  </si>
  <si>
    <t>Watts, A. C., C. A. Schmidt, D. L. McLaughlin, and D. A. Kaplan. 2015. Hydrologic implications of smoldering fires in wetland landscapes. Freshwater Science 34:000-000.</t>
  </si>
  <si>
    <t xml:space="preserve">Tillage, regrading, or other soil disturbances can accelerate the decay of soil organic matter rather than supporting sequestration (Waddington &amp; Turetsky 2008). Farming of drained hydric soils is a particular concern, because such soils typically have substantial organic matter that converts to greenhouse gases when tilled and planted annually. However, tillage of compacted soils can reduce methane emissions (Willey &amp; Chameides 2007). Despite associated soil disturbance, selective logging in forested wetlands in some cases may increase carbon sequestration, at least temporarily, if the tree stands and other components of the forest ecosystem become more productive after thinning (Li et al. 2004, D' Amore et al. 2015). </t>
  </si>
  <si>
    <t>More extensive ground cover may imply more organic matter is available for export. However, excessive litter buildup implies a lack of significant exporting forces, e.g., currents.</t>
  </si>
  <si>
    <r>
      <t xml:space="preserve">Boreal streams are an important transporter of protein-rich, labile DOM (Urban et al. 1989, Gergel et al. 1999, Xenopoulos et al.2003, Fellman et al. 2009). Thus, annual export of accumulated organic matter to downstream water can be greater in wetlands with outlets, especially those with persistent outflow. Nonetheless, even wetlands that lack outlets may export variable amounts of dissolved carbon via subsurface infiltration and "pipes" created by decayed subsurface peat and tree roots which cannot be evaluated in a rapid assessment. </t>
    </r>
    <r>
      <rPr>
        <i/>
        <sz val="10"/>
        <rFont val="Arial Narrow"/>
        <family val="2"/>
      </rPr>
      <t>In calculations, is excluded automatically (cell goes blank) if wetland never has surface water during an average year.</t>
    </r>
  </si>
  <si>
    <r>
      <t>Narrow outlets limit water outflow from a wetland and its downstream or downslope movement, thus limiting export of organic matter. The types of outlets described here are ones that typically are more constricted than natural channels, which usually have adjusted over time to local runoff and thus are wider relative to volume of flow received.</t>
    </r>
    <r>
      <rPr>
        <i/>
        <sz val="10"/>
        <rFont val="Arial Narrow"/>
        <family val="2"/>
      </rPr>
      <t xml:space="preserve"> In calculations, is excluded automatically (cell goes blank) if no outlet.</t>
    </r>
  </si>
  <si>
    <r>
      <t xml:space="preserve">Increased channel complexity implies greater interspersion of open water and vegetation, which provides more opportunity for organic matter to be in contact with moving water and thus be exported. </t>
    </r>
    <r>
      <rPr>
        <i/>
        <sz val="10"/>
        <rFont val="Arial Narrow"/>
        <family val="2"/>
      </rPr>
      <t>In calculations, is excluded automatically (cell goes blank) if wetland never has surface water during an average year or if no surface inflows.</t>
    </r>
  </si>
  <si>
    <r>
      <t>Groundwater-fed wetlands remain ice-free for longer, thus lengthening the growing season and plant production, and increasing the potential for organic matter to be exported if the wetland is connected to other water bodies. However, groundwater generally contains less dissolved organic carbon than does surface runoff (Emi-Fergus et al. 2011).</t>
    </r>
    <r>
      <rPr>
        <i/>
        <sz val="10"/>
        <rFont val="Arial Narrow"/>
        <family val="2"/>
      </rPr>
      <t xml:space="preserve"> In calculations, is excluded automatically (cell goes blank) if no evidence of groundwater influx; otherwise is rated based on response in column D.</t>
    </r>
  </si>
  <si>
    <t>Drinan, T. J., C. T. Graham, J. O’Halloran, and S. S. C. Harrison. 2013. The impact of catchment conifer plantation forestry on the hydrochemistry of peatland lakes. Science of the Total Environment 443:608-620.</t>
  </si>
  <si>
    <t>Kemp, P., D. Sear, A. Collins, P. Naden, and I. Jones. 2011. The impacts of fine sediment on riverine fish. Hydrological Processes 25:1800-1821.</t>
  </si>
  <si>
    <t>Kreutzweiser, D. P., P. W. Hazlett, and J. M. Gunn. 2008. Logging impacts on the biogeochemistry of boreal forest soils and nutrient export to aquatic systems: a review. Environmental Reviews 16:157-179.</t>
  </si>
  <si>
    <t>Malcolm, I. A., C. N. Gibbins, R. J. Fryer, J. Keay, D. Tetzlaff, and C. Soulsby. 2014. The influence of forestry on acidification and recovery: insights from long-term hydrochemical and invertebrate data. Ecological Indicators 37:317-329.</t>
  </si>
  <si>
    <t>McCormick, S. D., D. T. Lerner, A. M. Regish, M. F. O'Dea, and M. Y. Monette. 2012. Thresholds for short-term acid and aluminum impacts on Atlantic salmon smolts. Aquaculture 362:224-231.</t>
  </si>
  <si>
    <t>Sear, D. A., L. B. Frostick, G. Rollinson, and T. E. Lisle. 2008. The significance and mechanics of fine-sediment infiltration and accumulation in gravel spawning beds. Pages 149-174 in D. A. Sear and P. DeVries, editors. Salmonid Spawning Habitat in Rivers; Physical Controls, Biological Responses and Approaches to Remediation. American Fisheries Society, Bethesda, MD.</t>
  </si>
  <si>
    <r>
      <t>Rosseland, B. O., F. Kroglund, M. Staurnes, K. Hindar, and A. Kvellestad. 2001. Tolerance to acid water among strains and life stages of Atlantic salmon (</t>
    </r>
    <r>
      <rPr>
        <i/>
        <sz val="10"/>
        <rFont val="Arial Narrow"/>
        <family val="2"/>
      </rPr>
      <t>Salmo salar</t>
    </r>
    <r>
      <rPr>
        <sz val="10"/>
        <rFont val="Arial Narrow"/>
        <family val="2"/>
      </rPr>
      <t>). Water, Air, and Soil Pollution 130:899-904.</t>
    </r>
  </si>
  <si>
    <t>Morley, T. R., A. S. Reeve, and A. J. K. Calhoun. 2011. The role of headwater wetlands in altering streamflow and chemistry in a Maine, USA catchment. Journal of American Water Resources Association  47:337-349.</t>
  </si>
  <si>
    <t>Kimmel, W. G. and D. G. Argent. 2010. Stream fish community responses to a gradient of specific conductance. Water, Air, and Soil Pollution 206:49-56.</t>
  </si>
  <si>
    <t>Rempel, R. S. and P. J. Colby. 1991. A statistically valid model of the morphoedaphic index. Canadian Journal of Fisheries and Aquatic Sciences 48:1937-1943.</t>
  </si>
  <si>
    <t>Sutela, T., T. Vehanen, and P. Jounela. 2010. Response of fish assemblages to water quality in boreal rivers. Hydrobiologia 641:1-10.</t>
  </si>
  <si>
    <t>Weber-Scannell, P. K. and L. K. Duffy. 2007. Effects of total dissolved solids on aquatic organism: a review of literature and recommendation for salmonid species. American Journal of Environmental Sciences 3:1-6.</t>
  </si>
  <si>
    <t>Life histories of most invertebrates are closely linked to specific thermal and light (seasonality) conditions as those interact with specific hydrologic patterns. Abnormal patterns of inundation to which invertebrate communities are not adapted may reduce populations of many intolerant invertebrate species and in some cases diminish local biodiversity (Bunn &amp; Arthington 2002).</t>
  </si>
  <si>
    <t>Van Sickle, J. and S. V. Gregory. 1990. Modeling inputs of large woody debris to streams from falling trees. Canadian Journal of Forest Research 20:1593-1601.</t>
  </si>
  <si>
    <t>Horwitz, R. J., T. E. Johnson, P. F. Overbeck, T. K. O'Donnell, W. C. Hession, and B. W. Sweeney. 2008. Effects of riparian vegetation and watershed urbanization on fishes in streams of the mid-Atlantic Piedmont (USA). Journal of the American Water Resources Association 44:724-741.</t>
  </si>
  <si>
    <t>Findlay, C. S. and J. Houlahan. 1997. Anthropogenic correlates of species richness in southeastern Ontario wetlands. Conservation Biology:1000-1009.</t>
  </si>
  <si>
    <t>Gibbs, J. P. 1993. Importance of small wetlands for the persistence of local populations of wetland-associated animals. Wetlands 13:25-31.</t>
  </si>
  <si>
    <t>Houlahan, J. E. and C. S. Findlay. 2003. The effects of adjacent land use on wetland amphibian species richness and community composition. Canadian Journal of Fisheries and Aquatic Sciences 60:1078-1094.</t>
  </si>
  <si>
    <t>Mazerolle, M. J., A. Desrochers, and L. Rochefort. 2005a. Landscape characteristics influence pond occupancy by frogs after accounting for detectability. Ecological Applications 15:824-834.</t>
  </si>
  <si>
    <t>Mazerolle, M. J., M. Huot, and M. Gravel. 2005b. Behavior of amphibians on the road in response to car traffic. Herpetologica 61:380-388.</t>
  </si>
  <si>
    <t>Powell, J. S. V. and K. J. Babbitt. 2015. An experimental test of buffer utility as a technique for managing pool-breeding amphibians. Plos One 10:e0133642.</t>
  </si>
  <si>
    <t>Quesnelle, P. E., K. E. Lindsay, and L. Fahrig. 2015. Relative effects of landscape-scale wetland amount and landscape matrix quality on wetland vertebrates: a meta-analysis. Ecological Applications 25:812-825.</t>
  </si>
  <si>
    <r>
      <t>Baldwin, R., A. J. K. Calhoun, and P. G. deMaynadier. 2006b. Conservation planning for amphibian species with complex habitat requirements: A case study using movements and habitat selection of the wood frog (</t>
    </r>
    <r>
      <rPr>
        <i/>
        <sz val="10"/>
        <rFont val="Arial Narrow"/>
        <family val="2"/>
      </rPr>
      <t>Rana sylvatica</t>
    </r>
    <r>
      <rPr>
        <sz val="10"/>
        <rFont val="Arial Narrow"/>
        <family val="2"/>
      </rPr>
      <t>). Journal of Herpetology 40:443-454.</t>
    </r>
  </si>
  <si>
    <t>Larger contiguous tracts of nearby natural land, especially natural forest land, are more likely than small or fragmented patches to meet the habitat needs of dispersing and summering amphibians (Cushman 2006). Some New Brunswick data indicate tree plantations may be less suitable than natural forest for amphibians (Waldick et al. 1999), and clearcuts in Maine were found to be unsuitable even when logs and other coarse material was retained (Popescu et al. 2012).</t>
  </si>
  <si>
    <t>Longcore, J. R., D. G. McAuley, G. W. Pendleton, C. R. Bennatti, T. M. Mingo, and K. L. Stromborg. 2006. Macroinvertebrate abundance, water chemistry, and wetland characteristics affect use of wetlands by avian species in Maine. Hydrobiologia 567:143–167.</t>
  </si>
  <si>
    <t>Although scattered open spots provide feeding opportunities for some species, most ground-nesting songbirds and mammals prefer dense ground cover as concealment from predators. Thinning of ground cover by high densities of deer can impact songbirds (Thiemann et al. 2009, Martin et al. 2010).</t>
  </si>
  <si>
    <t>The widest variety and/or greatest abundance of pollinators is likeliest to occur in areas surrounded by a large proportion of unmanaged vegetation (Savage et al. 2011, Kennedy et al. 2013, Moisan-Deserres et al. 2014b, Cutler et al. 2015).</t>
  </si>
  <si>
    <t>Many pollinators are highly sensitive to some of the pesticides used in this region (e.g., Kevan 1975, Plowright &amp; Rodd 1980, Brittain et al. 2010, Gradish et al. 2012).</t>
  </si>
  <si>
    <t>Brittain, C., R. Bommarco, M. Vighi, S. Barmaz, J. Settele, and S. G. Potts. 2010. The impact of an insecticide on insect flower visitation and pollination in an agricultural landscape. Agricultural and Forest Entomology 12:259-266.</t>
  </si>
  <si>
    <t>Cutler, G. C., V. O. Nams, P. Craig, J. M. Sproule, and C. S. Sheffield. 2015. Wild bee pollinator communities of lowbush blueberry fields: Spatial and temporal trends. Basic and Applied Ecology 16:73-85.</t>
  </si>
  <si>
    <t>Garibaldi, L. A., I. Steffan-Dewenter, C. Kremen, J. M. Morales, R. Bommarco, S. A. Cunningham, L. G. Carvalheiro, N. P. Chacoff, J. H. Dudenhoffer, S. S. Greenleaf, A. Holzschuh, R. Isaacs, K. Krewenka, Y. Mandelik, M. M. Mayfield, L. A. Morandin, S. G. Potts, T. H. Ricketts, H. Szentgyorgyi, B. F. Viana, C. Westphal, R. Winfree, and A. M. Klein. 2011. Stability of pollination services decreases with isolation from natural areas despite honey bee visits. Ecology Letters 14:1062-1072.</t>
  </si>
  <si>
    <t>Gradish, A. E., C. D. Scott-Dupree, A. J. Frewin, and G. C. Cutler. 2012. Lethal and sublethal effects of some insecticides recommended for wild blueberry on the pollinator Bombus impatiens. Canadian Entomologist 144:478-486.</t>
  </si>
  <si>
    <t>Jones, K. N. and S. M. Klemetti. 2012. Managing marginal populations of the rare wetland plant Trollius laxus Salisbury (spreading globeflower): consideration of light levels, herbivory, and pollination. Northeastern Naturalist 19:267-278.</t>
  </si>
  <si>
    <t>Kennedy, C. M., E. Lonsdorf, M. C. Neel, N. M. Williams, T. H. Ricketts, R. Winfree, R. Bommarco, C. Brittain, A. L. Burley, and D. Cariveau. 2013. A global quantitative synthesis of local and landscape effects on wild bee pollinators in agroecosystems. Ecology Letters 16:584-599.</t>
  </si>
  <si>
    <t>Moisan-DeSerres, J., M. Chagnon, and V. Fournier. 2014. Influence of windbreaks and forest borders on abundance and species richness of native pollinators in lowbush blueberry fields in Québec, Canada. The Canadian Entomologist:1-11.</t>
  </si>
  <si>
    <t>Plowright, R. C. and F. H. Rodd. 1980. The effect of aerial insecticide spraying on hymenopterous pollinators in New Brunswick. The Canadian Entomologist 112:259-269.</t>
  </si>
  <si>
    <t>Ricketts, T. H., J. Regetz, I. Steffan-Dewenter, S. A. Cunningham, C. Kremen, A. Bogdanski, B. Gemmill-Herren, S. S. Greenleaf, A. M. Klein, and M. M. Mayfield. 2008. Landscape effects on crop pollination services: are there general patterns? Ecology Letters 11:499-515.</t>
  </si>
  <si>
    <t>Thijs, K. W., R. Brys, H. A. F. Verboven, and M. Hermy. 2012. The influence of an invasive plant species on the pollination success and reproductive output of three riparian plant species. Biological Invasions 14:355-365.</t>
  </si>
  <si>
    <t>Westphal, C., I. Steffan-Dewenter, and T. Tscharntke. 2006. Foraging trip duration of bumblebees in relation to landscape‐wide resource availability. Ecological Entomology 31:389-394.</t>
  </si>
  <si>
    <r>
      <t>Kevan, P. G. 1975. Forest application of the insecticide Fenitrothion and its effect on wild bee pollinators (Hymenoptera: Apoidea) of lowbush blueberries (</t>
    </r>
    <r>
      <rPr>
        <i/>
        <sz val="10"/>
        <rFont val="Arial Narrow"/>
        <family val="2"/>
      </rPr>
      <t>Vaccinium</t>
    </r>
    <r>
      <rPr>
        <sz val="10"/>
        <rFont val="Arial Narrow"/>
        <family val="2"/>
      </rPr>
      <t xml:space="preserve"> spp.) in Southern New Brunswick, Canada. Biological Conservation 7:301-309.</t>
    </r>
  </si>
  <si>
    <t>Brandt, E. C., J. E. Petersen, J. J. Grossman, G. A. Allen, and D. H. Benzing. 2015. Relationships between spatial metrics and plant diversity in constructed freshwater wetlands. Plos One 10:e0135917.</t>
  </si>
  <si>
    <t>Catford, J. A., B. J. Downes, C. J. Gippel, and P. A. Vesk. 2011. Flow regulation reduces native plant cover and facilitates exotic invasion in riparian wetlands. Journal of Applied Ecology 48:432-442.</t>
  </si>
  <si>
    <t>de Szalay, F. A. and V. H. Resh. 1997. Responses of wetland invertebrates and plants important in waterfowl diets to burning and mowing of emergent vegetation. Wetlands 17:149-156.</t>
  </si>
  <si>
    <t>Houlahan, J. E. and C. S. Findlay. 2004. Effect of invasive plant species on temperate wetland plant diversity. Conservation Biology 18:1132-1138.</t>
  </si>
  <si>
    <t>Johnson, A. M. and D. J. Leopold. 1994. Vascular plant species richness and rarity across a minerotrophic gradient in wetlands of St. Lawrence County, New York, USA. Biodiversity &amp; Conservation 3:606-627.</t>
  </si>
  <si>
    <t>Matthews, J. W. 2004. Effects of site and species characteristics on nested patterns of species composition in sedge meadows. Plant Ecology 174:271-278.</t>
  </si>
  <si>
    <t>Peintinger, M., A. Bergamini, and B. Schmid. 2003. Species-area relationships and nestedness of four taxonomic groups in fragmented wetlands. Basic and Applied Ecology 4:385-394.</t>
  </si>
  <si>
    <t>Schooler, S. S., P. B. McEvoy, and E. M. Coombs. 2006. Negative per capita effects of purple loosestrife and reed canary grass on plant diversity of wetland communities. Diversity and Distributions 12:351-363.</t>
  </si>
  <si>
    <t>Weiher, E. and C. W. Boylen. 1994. Patterns and prediction of alpha-diversity and beta-diversity of aquatic plants in Adirondack (New York) Lakes. Canadian Journal of Botany 72:1797-1804.</t>
  </si>
  <si>
    <t>Woodcock, T., J. Longcore, D. McAuley, T. Mingo, C. R. Bennatti, and K. Stromborg. 2005. The role of pH in structuring communities of Maine wetland macrophytes and chironomid larvae (Diptera). Wetlands 25:306-316.</t>
  </si>
  <si>
    <t>Zedler, J. B. and S. Kercher. 2004. Causes and consequences of invasive plants in wetlands: opportunities, opportunists, and outcomes. Critical Reviews in Plant Sciences 23:431-452.</t>
  </si>
  <si>
    <t>Baldwin, L. K. and G. E. Bradfield. 2005. Bryophyte community differences between edge and interior environments in temperate rain-forest fragments of coastal British Columbia. Canadian Journal of Forest Research 35:580-592.</t>
  </si>
  <si>
    <t xml:space="preserve">Carbon from marshes and fens is often more biodegradable (and thus more exportable and valuable to food chains over a wider area) than bog and forested wetland carbon (D’Amore et al. 2010). The same may be true of riparian shrub/forest wetlands, and their connectivity to other water bodies is usually greater, potentially leading to greater export (Dalva &amp; Moore 1991). Bogs usually have the largest amounts of carbon in storage (as peat), and some bogs fix carbon more readily than more fertile wetlands (fens) (Moore 1989, Glenn et al. 2006), but connectivity to other water bodies is generally less than other wetland types, with carbon being exported mainly in dissolved form via groundwater. </t>
  </si>
  <si>
    <r>
      <t>Gallant, D., C. H. Berube, E. Tremblay, and L. Vasseur. 2004. An extensive study of the foraging ecology of beavers (</t>
    </r>
    <r>
      <rPr>
        <i/>
        <sz val="10"/>
        <rFont val="Arial Narrow"/>
        <family val="2"/>
        <scheme val="minor"/>
      </rPr>
      <t>Castor canadensis</t>
    </r>
    <r>
      <rPr>
        <sz val="10"/>
        <rFont val="Arial Narrow"/>
        <family val="2"/>
        <scheme val="minor"/>
      </rPr>
      <t>) in relation to habitat quality. Canadian Journal of Zoology 82:922-933.</t>
    </r>
  </si>
  <si>
    <t>Even if vegetation is not removed, compaction of winter snow cover can damage vegetation (Keddy et al. 1979), and compaction of soil can inhibit plant growth by decreasing soil oxygen and altering drainage patterns. Soil disturbance also facilitates invasion by exotic species, and sedimentation limits the germination and growth of wetland plants (Wardrop &amp; Brooks 1998, Mahaney et al. 2005).</t>
  </si>
  <si>
    <r>
      <t xml:space="preserve">Mark </t>
    </r>
    <r>
      <rPr>
        <b/>
        <sz val="10"/>
        <rFont val="Arial Narrow"/>
        <family val="2"/>
      </rPr>
      <t>ALL</t>
    </r>
    <r>
      <rPr>
        <sz val="10"/>
        <rFont val="Arial Narrow"/>
        <family val="2"/>
      </rPr>
      <t xml:space="preserve"> the types that comprise </t>
    </r>
    <r>
      <rPr>
        <b/>
        <sz val="10"/>
        <rFont val="Arial Narrow"/>
        <family val="2"/>
      </rPr>
      <t>&gt;5% of the woody canopy</t>
    </r>
    <r>
      <rPr>
        <sz val="10"/>
        <rFont val="Arial Narrow"/>
        <family val="2"/>
      </rPr>
      <t xml:space="preserve"> cover </t>
    </r>
    <r>
      <rPr>
        <b/>
        <sz val="10"/>
        <rFont val="Arial Narrow"/>
        <family val="2"/>
      </rPr>
      <t xml:space="preserve">in the AA </t>
    </r>
    <r>
      <rPr>
        <sz val="10"/>
        <rFont val="Arial Narrow"/>
        <family val="2"/>
      </rPr>
      <t xml:space="preserve">or &gt;5% of the </t>
    </r>
    <r>
      <rPr>
        <b/>
        <sz val="10"/>
        <rFont val="Arial Narrow"/>
        <family val="2"/>
      </rPr>
      <t xml:space="preserve">wooded areas </t>
    </r>
    <r>
      <rPr>
        <sz val="10"/>
        <rFont val="Arial Narrow"/>
        <family val="2"/>
      </rPr>
      <t>(if any) along its</t>
    </r>
    <r>
      <rPr>
        <b/>
        <sz val="10"/>
        <rFont val="Arial Narrow"/>
        <family val="2"/>
      </rPr>
      <t xml:space="preserve"> upland edge (perimeter). </t>
    </r>
    <r>
      <rPr>
        <sz val="10"/>
        <rFont val="Arial Narrow"/>
        <family val="2"/>
      </rPr>
      <t xml:space="preserve"> The edge should include only the trees whose canopies extend into the AA.</t>
    </r>
  </si>
  <si>
    <r>
      <t xml:space="preserve">&lt;5% of the vegetated part of the AA or &lt;0.01 hectare (whichever is less). Mark "1" here and </t>
    </r>
    <r>
      <rPr>
        <b/>
        <sz val="10"/>
        <rFont val="Arial Narrow"/>
        <family val="2"/>
      </rPr>
      <t>SKIP to F20</t>
    </r>
    <r>
      <rPr>
        <sz val="10"/>
        <rFont val="Arial Narrow"/>
        <family val="2"/>
      </rPr>
      <t xml:space="preserve"> (Invasive Plant Cover).</t>
    </r>
  </si>
  <si>
    <t>Deposition of only 0.25 to 0.5 centimeter of new sediment has been shown to significantly reduce species richness, emergence, and germination of wetland plants (Gleason et al. 2001),</t>
  </si>
  <si>
    <t>Gleason, R.A. 2001. Invertebrate egg and plant seedbanks in natural, restored, and drained wetlands in the prairie pothole region and potential effects of sedimentation on recolonization of hydrophytes and aquatic invertebrates. Ph.D. dissertation, South Dakota State Univ., Brookings, SD.</t>
  </si>
  <si>
    <t>Increased dominance by fewer species, such as cattail and various invasive plants, often results from increased salinity in normally non-saline wetlands, and results in decreased native plant richness (Gleason &amp; Euliss 1998).</t>
  </si>
  <si>
    <t>Gleason, R. A., and N. H. Euliss, Jr. 1998. Sedimentation of prairie wetlands. Great Plains Research 8(1):97–112.</t>
  </si>
  <si>
    <t>Salt20</t>
  </si>
  <si>
    <t>SedDep20</t>
  </si>
  <si>
    <t>Large variation in elevations within a wetland, both at a micro- (~1 m) and macro (&gt;10m) scale, suggest greater potential for trapping and retaining snow and other precipitation sufficiently long to allow runoff to infiltrate or evaporate from the wetland and thus delay or avoid its entry into downslope rivers (Kadlec et al. 1981, Price et al. 1990).</t>
  </si>
  <si>
    <r>
      <t xml:space="preserve">Like a constricted outlet, vegetation and other obstacles create a "roughness" within a wetland that can slow the outflow and downstream movement of water (Price &amp; Woo 1988). This is much truer if the vegetation intercepts a large proportion of the flow during high-flow periods (i.e., is not merely along an upland edge that never floods), and is tall and stiff enough to provide some resistance (Arcement &amp; Schneider 1989). However, woody vegetation itself occupies space otherwise available for storing water (this effect is usually negligible).  Water also takes longer to move through complex channel networks (e.g., braided or sinuous) which themselves provide additional friction. </t>
    </r>
    <r>
      <rPr>
        <i/>
        <sz val="10"/>
        <rFont val="Arial Narrow"/>
        <family val="2"/>
      </rPr>
      <t xml:space="preserve"> In calculations, is excluded automatically (cell goes blank) if wetland never has surface water during an average year. Also is excluded automatically if no surface inflow.</t>
    </r>
  </si>
  <si>
    <r>
      <t xml:space="preserve">Wetlands that store water only temporarily or seasonally have longer periods during the year in which soils are unsaturated and thus able to briefly store or delay additional water from precipitation and runoff. Wetland connectivity is key to estimating wetland water storage: wetlands that lack an outlet (never have any outflow) store or dissipate (via evaporation or seepage) nearly all the water they receive (Spence et al. 2011). </t>
    </r>
    <r>
      <rPr>
        <i/>
        <sz val="10"/>
        <rFont val="Arial Narrow"/>
        <family val="2"/>
      </rPr>
      <t>In calculations, is excluded automatically (cell goes blank) if wetland never has surface water during an average year.</t>
    </r>
  </si>
  <si>
    <r>
      <t xml:space="preserve">This directly estimates the relative amount of horizontal space in which precipitation and runoff are being stored, at least temporarily. The ability of wetland water storage to reduce stream peak flows is greatest in summer and fall, where those are the driest times of year (Roulet &amp; Woo 1988, Quinton &amp; Roulet 1998). </t>
    </r>
    <r>
      <rPr>
        <i/>
        <sz val="10"/>
        <rFont val="Arial Narrow"/>
        <family val="2"/>
      </rPr>
      <t>In calculations, is excluded automatically (cell goes blank) if wetland never has surface water during an average year.</t>
    </r>
  </si>
  <si>
    <r>
      <t xml:space="preserve">&lt;5% of the water, or it occupies &lt;100 sq.m cumulatively. Nearly all the surface water is flowing. </t>
    </r>
    <r>
      <rPr>
        <b/>
        <sz val="10"/>
        <rFont val="Arial Narrow"/>
        <family val="2"/>
      </rPr>
      <t>SKIP to F34.</t>
    </r>
  </si>
  <si>
    <t>Does not bump into many plant stems as it travels through the AA. Nearly all the water continues to travel in unvegetated (often incised) channels that have minimal contact with wetland vegetation, or through a zone of open water such as an instream pond or lake.</t>
  </si>
  <si>
    <t xml:space="preserve"> Microbes responsible for most of the nitrate removal in wetlands thrive best at warmer soil or sediment temperatures. In contrast, freeze-thaw cycles in wetlands are often characterized by change from aerobic to anaerobic conditions, which can mobilize nitrate in sediments, making the nitrate vulnerable to being exported downstream. Also, wetlands that are frozen for long periods are generally in regions with shorter growing seasons, resulting in less opportunity for biological uptake of nitrate.</t>
  </si>
  <si>
    <t xml:space="preserve">Other factors being equal, wetlands closer to the coast tend to be more fertile due to deposition of airborne nutrients from marine waters. This potentially supports higher invertebrate numbers and perhaps diversity. </t>
  </si>
  <si>
    <t xml:space="preserve">People are naturally drawn to this region's coastal shorelines for recreation and occasionally for relief from summer heat. </t>
  </si>
  <si>
    <t>OF36</t>
  </si>
  <si>
    <t>Colpitts, M., S. H. Fahmy, J. E. MacDougall, T.T.M. Ng, B. G. McInnis, and V. F. Zelazny. 1995. Forest Soils of New Brunswick. CLBBR Contribution No. 95-38. Centre for Land and Biological Resources Research, Agriculture and Agri-Food Canada, Fredericton, NB.</t>
  </si>
  <si>
    <r>
      <t xml:space="preserve">Narrow outlets limit water outflow from a wetland and its downstream or downslope movement, thus increasing storage (Carter et al. 1979). The types of outlets described here are ones that typically are more constricted than natural channels, which usually have adjusted over time to local runoff and thus are wider relative to volume of flow received. </t>
    </r>
    <r>
      <rPr>
        <i/>
        <sz val="10"/>
        <rFont val="Arial Narrow"/>
        <family val="2"/>
      </rPr>
      <t>In calculations, is excluded automatically (cell goes blank) if no outlet.</t>
    </r>
  </si>
  <si>
    <r>
      <t xml:space="preserve">Deeper water implies greater water volume to potentially feed downslope streams. </t>
    </r>
    <r>
      <rPr>
        <i/>
        <sz val="10"/>
        <rFont val="Arial Narrow"/>
        <family val="2"/>
      </rPr>
      <t>In calculations, is excluded automatically (cell goes blank) if wetland never has surface water during an average year.</t>
    </r>
  </si>
  <si>
    <r>
      <t>Wetlands with greater water depth overall tend to have cooler outflows (depending on elevation of the outlet) because water depth provides insulation from solar warming.</t>
    </r>
    <r>
      <rPr>
        <i/>
        <sz val="10"/>
        <rFont val="Arial Narrow"/>
        <family val="2"/>
      </rPr>
      <t xml:space="preserve"> In calculations, is excluded automatically (cell goes blank) if wetland never has surface water during an average year.</t>
    </r>
  </si>
  <si>
    <r>
      <t xml:space="preserve">Ponded water that is open and unvegetated it is more likely to be heated by the sun. </t>
    </r>
    <r>
      <rPr>
        <i/>
        <sz val="10"/>
        <rFont val="Arial Narrow"/>
        <family val="2"/>
      </rPr>
      <t xml:space="preserve">In calculations, is excluded automatically (cell goes blank) if wetland never has ponded surface water during an average year. </t>
    </r>
  </si>
  <si>
    <r>
      <t xml:space="preserve">The need to cool surface waters is likely to be greatest where streams are south-facing and thus are exposed longer each day to warming sunlight. </t>
    </r>
    <r>
      <rPr>
        <i/>
        <sz val="10"/>
        <rFont val="Arial Narrow"/>
        <family val="2"/>
      </rPr>
      <t xml:space="preserve">In calculations, is excluded automatically (cell goes blank) if wetland is larger than its apparent contributing area. </t>
    </r>
  </si>
  <si>
    <r>
      <t>Unshaded input streams provide more opportunity for wetlands to cool the water. Streams whose contributing areas have a greater extent of roads (road density) have higher temperatures. A study of 104 streams in British Columbia found there is a 6-in-10 chance that the summer maximum weekly average water temperature will increase by 2.3 degrees F if road density in the contributing area exceeds 27 ft of road per acre and by 5.8 degrees F if road density exceeds 53 ft of road per acre (Nelitz et al. 2007). However, overall vegetation patterns in a watershed frequently have an equal or greater influence on stream temperature and aquatic productivity than vegetation just within buffer areas adjoining a stream (Brosofske et al. 1997, Sridhar et al. 2004, Stephenson &amp; Morin 2009). One study found that maximum air temperature within a 100-ft wooded buffer was only slightly cooler than in a 16-ft wide wooded buffer (Meleason &amp; Quinn 2004). Vegetated buffers along north-south streams in British Columbia are more effective than those oriented east-west (Gomi et al. 2006).</t>
    </r>
    <r>
      <rPr>
        <i/>
        <sz val="10"/>
        <rFont val="Arial Narrow"/>
        <family val="2"/>
      </rPr>
      <t xml:space="preserve"> In calculations, is excluded automatically (cell goes blank) if wetland has no input tributary.</t>
    </r>
  </si>
  <si>
    <r>
      <t xml:space="preserve">Ponding allows more time for suspended sediment to settle out. </t>
    </r>
    <r>
      <rPr>
        <i/>
        <sz val="10"/>
        <rFont val="Arial Narrow"/>
        <family val="2"/>
      </rPr>
      <t xml:space="preserve">In calculations, is excluded automatically (cell goes blank) if wetland never has surface water during an average year. </t>
    </r>
  </si>
  <si>
    <r>
      <t xml:space="preserve">As the proportionate area of emergent and other aquatic plants increases, current velocity may be reduced (depending on the distribution of the plants relative to flow paths), and a larger proportion of the sediment may be intercepted, particularly if the wetland is not narrow. </t>
    </r>
    <r>
      <rPr>
        <i/>
        <sz val="10"/>
        <rFont val="Arial Narrow"/>
        <family val="2"/>
      </rPr>
      <t xml:space="preserve">In calculations, is excluded automatically (cell goes blank) if wetland never has ponded surface water during an average year. </t>
    </r>
  </si>
  <si>
    <r>
      <t xml:space="preserve">Wider vegetated areas provide more area for sediment particles borne in runoff to be filtered and deposited. Knutson et al. (1981) found that emergent wetlands wider than 30 feet reduced wave energy by 88% while those less than 6 feet wide were relatively ineffective in wave buffering. Many studies have shown that sediment retention is greatest in the first 5-20 ft of a buffer, that is, the most uphill portion, which is closest to potential inputs of runoff-borne sediment (Polyakov et al. 2005, White et al. 2007). However, this depends on steepness of the terrain, erodibility and infiltration capacity of the soil, ground cover, antecedent soil saturation, sediment particle size, and runoff intensity. Wider buffers are required when runoff carries finer-sized particles (e.g., clay). </t>
    </r>
    <r>
      <rPr>
        <i/>
        <sz val="10"/>
        <rFont val="Arial Narrow"/>
        <family val="2"/>
      </rPr>
      <t>In calculations, is excluded automatically (cell goes blank) if wetland never has surface water during an average year, or has no open water.</t>
    </r>
  </si>
  <si>
    <r>
      <t xml:space="preserve">Wetlands that lack outlets retain all sediment that enters them. Wetlands that connect to downslope water bodies for only part of the year may export less sediment annually than those with persistent outflow. </t>
    </r>
    <r>
      <rPr>
        <i/>
        <sz val="10"/>
        <rFont val="Arial Narrow"/>
        <family val="2"/>
      </rPr>
      <t>In calculations, is excluded automatically (cell goes blank) if wetland never has surface water during an average year.</t>
    </r>
  </si>
  <si>
    <r>
      <t xml:space="preserve">Narrow outlets limit water outflow from a wetland and its downstream or downslope movement, thus causing water to back up into the wetland, which allows more time for suspended sediments to be deposited. The types of outlets described here are ones that typically are more constricted than natural channels. Natural channels usually have adjusted over time to local runoff and thus tend to be wider relative to volume of flow received. A restricting outlet in wetlands can reduce export of sediment (Amatya et al. 2003). </t>
    </r>
    <r>
      <rPr>
        <i/>
        <sz val="10"/>
        <rFont val="Arial Narrow"/>
        <family val="2"/>
      </rPr>
      <t>In calculations, is excluded automatically (cell goes blank) if no outlet. In calculations, is excluded automatically (cell goes blank) if wetland has no surface water outlet.</t>
    </r>
  </si>
  <si>
    <r>
      <t>The need for (and value of) sediment retention that potentially could be provided by wetlands is greater when upland sediment loads are not being retained or rerouted by features closer to the sediment source. If runoff is diverted away from downslope wetlands, such as in road ditches or drainage tile, then those wetlands will become drier. When they do, they will have less opportunity to receive water with suspended solids (Wigington et al. 2005, Hogan &amp; Walbridge 2007). Even when runoff is not diverted from the wetlands, if the volume of runoff entering a wetland per unit time increases, the wetland will be less effective in treating the runoff. That is because increased runoff will often cause tiny channels to develop within the wetland, or will increase the dimensions of existing ones. These factors will decrease the detention time and pollutant contact with vegetation, because most of the vegetation will be positioned apart from the water flowing through in the small channels (McBride &amp; Booth 2005, Alberti et al. 2007).</t>
    </r>
    <r>
      <rPr>
        <i/>
        <sz val="10"/>
        <rFont val="Arial Narrow"/>
        <family val="2"/>
      </rPr>
      <t xml:space="preserve"> In calculations, is excluded automatically (cell goes blank) if wetland is larger than its contributing area.</t>
    </r>
  </si>
  <si>
    <r>
      <t xml:space="preserve">In some cases, sediments that remain covered with water year-round (and longer) tend to become anaerobic and release phosphorus, especially in deeper wetlands. Thus, wetlands with the least extent of persistent water may be most retentive of whatever P they receive. On the other hand, seasonal drawdowns can mobilize phosphorus that has accumulated in sediments (Snyder &amp; Morace 1997, Aldous et al. 2005). To a perhaps lesser extent, reflooding of soils that have been dry for extended periods also can mobilize phosphorus, especially if flooding creates anoxic conditions (Burley et al. 2001), or if large quantities of leaf litter and other organic matter are present and rapidly decompose or leach phosphorus. </t>
    </r>
    <r>
      <rPr>
        <i/>
        <sz val="10"/>
        <rFont val="Arial Narrow"/>
        <family val="2"/>
      </rPr>
      <t>In calculations, is excluded automatically (cell goes blank) if wetland never has surface water during an average year.</t>
    </r>
  </si>
  <si>
    <r>
      <t xml:space="preserve">Wetting and drying of sediments, as happens especially in wetlands with large water level fluctuations, increases the leaching and desorption of phosphorus from sediment organic matter, thus resulting in net export. However, stable water levels also can promote phosphorus export (not retention) because they are often associated with anoxic conditions that result in increased mobility of phosphorus. Sediment P release and subsequent export is particularly strong during periods of seasonal anoxia (Burley et al. 2001). </t>
    </r>
    <r>
      <rPr>
        <i/>
        <sz val="10"/>
        <rFont val="Arial Narrow"/>
        <family val="2"/>
      </rPr>
      <t>In calculations, is excluded automatically (cell goes blank) if wetland never has surface water during an average year, or if none of it floods only seasonally.</t>
    </r>
  </si>
  <si>
    <r>
      <t>Deeper wetlands are more likely to experience anoxic conditions that promote P mobility and export. However, deeper waters also imply slower water velocity, longer water detention time, more time for biological processing of phosphorus, and reduced likelihood of phosphorus associated with deposited sediments being resuspended by wind mixing or currents.</t>
    </r>
    <r>
      <rPr>
        <i/>
        <sz val="10"/>
        <rFont val="Arial Narrow"/>
        <family val="2"/>
      </rPr>
      <t xml:space="preserve"> In calculations, is excluded automatically (cell goes blank) if wetland never has surface water during an average year.</t>
    </r>
  </si>
  <si>
    <r>
      <t xml:space="preserve">Plants take up phosphorus from sediments (and some, from the water directly) and can facilitate long-term retention if P is transferred to roots that are not as subject as the foliage is to leaching the nutrients back into the water column. Plants also facilitate sediment deposition by slowing the water, and much phosphorus is adsorbed on that sediment so is also deposited and potentially retained. However, their decaying foliage also frequently creates anoxic conditions that promote P release from sediments, if iron concentrations are low and aeriation by currents and wind is poor (as tends to occur when emergent and submersed aquatic plants occupy most of a water body). </t>
    </r>
    <r>
      <rPr>
        <i/>
        <sz val="10"/>
        <rFont val="Arial Narrow"/>
        <family val="2"/>
      </rPr>
      <t>In calculations, is excluded automatically (cell goes blank) if wetland never has surface water during an average year.</t>
    </r>
  </si>
  <si>
    <r>
      <t xml:space="preserve">The need for (and value of) phosphorus retention that potentially could be provided by wetlands is greater when upland phosphorus loads are not being retained by features closer to the phosphorus source. </t>
    </r>
    <r>
      <rPr>
        <i/>
        <sz val="10"/>
        <rFont val="Arial Narrow"/>
        <family val="2"/>
      </rPr>
      <t>In calculations, is excluded automatically (cell goes blank) if wetland is larger than its contributing area.</t>
    </r>
  </si>
  <si>
    <r>
      <t xml:space="preserve">Wetlands that receive suspended sediment in runoff from steep slopes are more likely to retain it because of the large differential in current velocities, which promotes deposition in the wetland. This increases the opportunity of the wetlands to process the P, thus increasing the importance (value) of their role in protecting downslope waters from overenrichment. </t>
    </r>
    <r>
      <rPr>
        <i/>
        <sz val="10"/>
        <rFont val="Arial Narrow"/>
        <family val="2"/>
      </rPr>
      <t>In calculations, is excluded automatically (cell goes blank) if wetland is larger than its contributing area.</t>
    </r>
  </si>
  <si>
    <r>
      <t>Ponded conditions provide longer time for nitrate processing, as well as causing sediments to lose oxygen, thus creating a microclimate favorable for denitrification.</t>
    </r>
    <r>
      <rPr>
        <i/>
        <sz val="10"/>
        <rFont val="Arial Narrow"/>
        <family val="2"/>
      </rPr>
      <t xml:space="preserve"> In calculations, is excluded automatically (cell goes blank) if wetland never has surface water during an average year. </t>
    </r>
  </si>
  <si>
    <r>
      <t>Exposing sediments to the air can speed decomposition and cause them to release accumulated nitrate, potentially resulting in less removal. In contrast, long-duration flooding makes sediments anaerobic, which is necessary for the denitrification process (Westermann &amp; Ahring 1987). Denitrification processes occur when anaerobic conditions occur, which are more likely when surface water is present and blocks gas exchange. Shallow inundation tends to decrease emissions of nitrous oxide (Zaman et al. 2007, Song et al. 2008).</t>
    </r>
    <r>
      <rPr>
        <i/>
        <sz val="10"/>
        <rFont val="Arial Narrow"/>
        <family val="2"/>
      </rPr>
      <t xml:space="preserve"> In calculations, is excluded automatically (cell goes blank) if wetland never has surface water during an average year. </t>
    </r>
  </si>
  <si>
    <r>
      <t xml:space="preserve">Denitrification rates are higher in vernal pools and other areas with that are inundated only seasonally, as compared with drier upland forests (Capps et al. 2014). Denitrification occurs at the interface between aerobic and anaerobic conditions, and such conditions often develop where a ponded area expands seasonally into vegetated areas. In addition, levels of soil organic matter are often higher in seasonal wetlands than in permanently inundated ones of comparable extent (Shaffer &amp; Ernst 1999), and organic matter is key to supporting denitrification. </t>
    </r>
    <r>
      <rPr>
        <i/>
        <sz val="10"/>
        <rFont val="Arial Narrow"/>
        <family val="2"/>
      </rPr>
      <t xml:space="preserve">In calculations, is excluded automatically (cell goes blank) if wetland never has surface water during an average year. </t>
    </r>
  </si>
  <si>
    <r>
      <t xml:space="preserve">Wetting and drying of sediments, as happens especially in wetlands with large and frequent water level fluctuations (because a wider area is subject to wetting-drying and associated aerobic-anaerobic shift), increases the loss of nitrate via denitrification (Groffman &amp; Hanson 1997). </t>
    </r>
    <r>
      <rPr>
        <i/>
        <sz val="10"/>
        <rFont val="Arial Narrow"/>
        <family val="2"/>
      </rPr>
      <t>In calculations, is excluded automatically (cell goes blank) if wetland never has surface water during an average year, or if none of it floods only seasonally.</t>
    </r>
  </si>
  <si>
    <r>
      <t xml:space="preserve">Plants take up nitrate from sediments and can facilitate retention if N is transferred to roots not as subject to erosion as foliage. Plants also facilitate sediment deposition by slowing the water, and some nitrate is associated with that sediment so is also deposited and potentially retained. Perhaps most importantly, roots of some plants oxidize the anoxic sediments that surround them and this facilitates denitrification, the major process for removing soluble nitrate from water. </t>
    </r>
    <r>
      <rPr>
        <i/>
        <sz val="10"/>
        <rFont val="Arial Narrow"/>
        <family val="2"/>
      </rPr>
      <t>In calculations, is excluded automatically (cell goes blank) if wetland never has surface water during an average year.</t>
    </r>
  </si>
  <si>
    <r>
      <t xml:space="preserve">Wider vegetated areas provide more area for biological processing of nitrate, and for nitrate adsorbed to sediment particles in runoff to be filtered and deposited. The most comprehensive and sophisticated analysis that used statistical procedures (meta-analysis) to synthesize results from over 60 peer-reviewed studies of nitrate removal by buffers in temperate climates found that widths of approximately 10 ft, 92 ft, and 367 ft are needed to achieve 50%, 75%, and 90% removal efficiencies for nitrate (Mayer et al. 2005, Mayer et al. 2007). This assumed that most inputs are through subsurface flow. When surface flow dominates (as often occurs during storms, and where subsurface storm drains have been installed around homes), buffers of 109 ft, 387 ft, and 810 ft are needed to achieve the same removal efficiencies (Mayer et al. 2005). </t>
    </r>
    <r>
      <rPr>
        <i/>
        <sz val="10"/>
        <rFont val="Arial Narrow"/>
        <family val="2"/>
      </rPr>
      <t>In calculations, is excluded automatically (cell goes blank) if wetland never has surface water during an average year, or has no open water.</t>
    </r>
  </si>
  <si>
    <r>
      <t xml:space="preserve">Greater interspersion of open water and vegetation is hypothesized to support greater nitrate removal. That is because open water areas tend to be more aerobic, whereas densely vegetated areas often are anaerobic, except where plant roots oxidize a small part of the sediment. The combination of anaerobic and aerobic areas in close proximity facilitates nitrate loss through denitrification. </t>
    </r>
    <r>
      <rPr>
        <i/>
        <sz val="10"/>
        <rFont val="Arial Narrow"/>
        <family val="2"/>
      </rPr>
      <t>In calculations, is excluded automatically (cell goes blank) if wetland never has surface water during an average year, if no ponded water, if ponded water but no vegetation, if ponded but no open water.</t>
    </r>
  </si>
  <si>
    <r>
      <t>Narrow outlets limit water outflow from a wetland and its downstream or downslope movement, thus causing water to back up into the wetland, which allows more time for nitrate to be processed. The types of outlets described here are ones that typically are more constricted than natural channels, which usually have adjusted over time to local runoff and thus are wider relative to volume of flow received.</t>
    </r>
    <r>
      <rPr>
        <i/>
        <sz val="10"/>
        <rFont val="Arial Narrow"/>
        <family val="2"/>
      </rPr>
      <t xml:space="preserve"> In calculations, is excluded automatically (cell goes blank) if no outlet.</t>
    </r>
  </si>
  <si>
    <r>
      <t xml:space="preserve">Wetlands that lack outlets retain or remove all nitrate that enters them. Wetlands that connect to downslope water bodies for only part of the year may export less nitrate annually than those with persistent outflow. </t>
    </r>
    <r>
      <rPr>
        <i/>
        <sz val="10"/>
        <rFont val="Arial Narrow"/>
        <family val="2"/>
      </rPr>
      <t>In calculations, is excluded automatically (cell goes blank) if wetland never has surface water during an average year.</t>
    </r>
  </si>
  <si>
    <r>
      <t xml:space="preserve">Larger trees represent larger stores of sequestered carbon, but younger trees fix and accumulate carbon more rapidly (Anwar 2001, Ryan 2005). In New Brunswick, natural stands of sugar maple or yellow birch are believed to sequester the most carbon (Neilson et al. 2007). However, evergreen foliage from coniferous species tends to foster acidic conditions which slow the decomposition of organic matter (Collins and Kuehl 2001), thus leading to greater carbon sequestration. Acidic conditions and/or slowly-decomposing (recalcitrant) evergreen vegetation also can repress both methane generation (Valentine et al. 1994, Updegraff et al. 1995) and methane oxidation, but not necessarily CO2 emissions (Bridgham &amp; Richardson 2003). Carbon can be sequestered more effectively under such conditions (Blanco-Canqui &amp; Lal 2004). The formula used here gives equal weight to the variety of classes and increasing mean diameter. </t>
    </r>
    <r>
      <rPr>
        <i/>
        <sz val="10"/>
        <rFont val="Arial Narrow"/>
        <family val="2"/>
      </rPr>
      <t>In calculations, is excluded automatically (cell goes blank) if few or no trees of any kind are present.</t>
    </r>
  </si>
  <si>
    <r>
      <t xml:space="preserve">Accumulation of carbon as peat is fostered by persistently high water tables or flooded conditions, due to the anaerobic and acidic conditions which slow decay of organic matter (Belyea &amp; Malmer 2004). However, persistently high water tables also increase carbon loss from emissions of methane (Glatzel et al. 2004, Keller et al. 2004, Pelletier et al. 2007, Altor &amp; Mitsch 2008) and occasionally CO2,  although a Saskatchewan study found greater methane release from wetlands flooded for short periods each year than from those flooded semi-permanently (Pennock et al. 2010). Methane emissions in one study occurred mostly when water content of the soil exceeded 25% (Smith et al. 2000). </t>
    </r>
    <r>
      <rPr>
        <i/>
        <sz val="10"/>
        <rFont val="Arial Narrow"/>
        <family val="2"/>
      </rPr>
      <t>In calculations, is excluded automatically (cell goes blank) if wetland never has surface water during an average year.</t>
    </r>
    <r>
      <rPr>
        <sz val="10"/>
        <rFont val="Arial Narrow"/>
        <family val="2"/>
      </rPr>
      <t xml:space="preserve"> </t>
    </r>
  </si>
  <si>
    <r>
      <t>At least in riverine wetlands, overall “average” methane emission from hydrologically pulsed sites may be less than that from sites where inundation is permanent (Mitsch et al. 2005, Altor &amp; Mitsch 2008). Flooding from seasonally connected water bodies also promotes greater plant productivity, which provides more organic matter that potentially can be stored.</t>
    </r>
    <r>
      <rPr>
        <i/>
        <sz val="10"/>
        <rFont val="Arial Narrow"/>
        <family val="2"/>
      </rPr>
      <t xml:space="preserve"> In calculations, is excluded automatically (cell goes blank) if wetland never has surface water during an average year. </t>
    </r>
  </si>
  <si>
    <r>
      <t xml:space="preserve">Very large water level fluctuations can reduce plant productivity and increase the release of methane. Maintaining steadily moist conditions (i.e., little or no water level fluctuation) may minimize methane releases (Tuittila et al. 2000, Price et al. 2003). </t>
    </r>
    <r>
      <rPr>
        <i/>
        <sz val="10"/>
        <rFont val="Arial Narrow"/>
        <family val="2"/>
      </rPr>
      <t>In calculations, is excluded automatically (cell goes blank) if wetland never has surface water during an average year, or if none of it floods only seasonally.</t>
    </r>
  </si>
  <si>
    <r>
      <t xml:space="preserve">Waters that are persistently deeper than 2 ft, and especially deeper than 6 ft, usually support much less vascular plant production which otherwise could be sequestered while acidifying the soil and thus dampening methane emissions. In a flooded pasture of wild hay, plant production declined if continual flooding exceeded 50 days at a depth of 7 inches (Rumberg &amp; Sawyer 1965). On the other hand, methane emissions can decrease with increasing depth of surface water over the range of 0 to 1m depth (Pelletier et al. 2007, Cheng et al. 2007). One study found methane emissions were greater from a lake than a bog (Edwards et al. 2001). </t>
    </r>
    <r>
      <rPr>
        <i/>
        <sz val="10"/>
        <rFont val="Arial Narrow"/>
        <family val="2"/>
      </rPr>
      <t xml:space="preserve">In calculations, is excluded automatically (cell goes blank) if wetland never has surface water during an average year. </t>
    </r>
  </si>
  <si>
    <r>
      <t xml:space="preserve">Aquatic plants, especially those in acidic environments and/or with fibrous tissue, usually add more carbon to wetlands than they lose in the form of CO2 from decomposition. They also trap and deposit particulate carbon carried into a wetland from upslope. However, decomposition of the organic matter from plants in some wetlands generates methane. Methane emissions per unit area can be high in floating mats of vegetation (Moosavi et al. 1996) and in shallow areas with dense cover of vascular plants (Smith et al. 2000, Cheng et al. 2007) whose roots facilitate the movement of methane from soils to the surface, as compared with lower methane emissions in areas of open water (Rose &amp; Crumpton 2006) or mats of submersed aquatic vegetation (Smith et al. 2000). Nonetheless, at least in restored wetlands, the net effect on carbon balance over a projected 33-year period is sequestration (Badiou 2011). </t>
    </r>
    <r>
      <rPr>
        <i/>
        <sz val="10"/>
        <rFont val="Arial Narrow"/>
        <family val="2"/>
      </rPr>
      <t>In calculations, is excluded automatically (cell goes blank) if wetland never has ponded surface water during an average year.</t>
    </r>
  </si>
  <si>
    <r>
      <t xml:space="preserve">Wider bands of vegetation represent more biomass to be sequestered, and are more effective in trapping organic matter carried to the wetland by upland runoff. </t>
    </r>
    <r>
      <rPr>
        <i/>
        <sz val="10"/>
        <rFont val="Arial Narrow"/>
        <family val="2"/>
      </rPr>
      <t>In calculations, is excluded automatically (cell goes blank) if wetland never has surface water during an average year, or no open water.</t>
    </r>
  </si>
  <si>
    <r>
      <t xml:space="preserve">Wetlands that lack outlets retain most carbon that enters them or is produced within. However, methane emissions may be higher due to greater likelihood of anaerobic conditions developing. Wetlands that connect to downslope water bodies for only part of the year would be expected to export less carbon annually than those with persistent outflow. </t>
    </r>
    <r>
      <rPr>
        <i/>
        <sz val="10"/>
        <rFont val="Arial Narrow"/>
        <family val="2"/>
      </rPr>
      <t>In calculations, is excluded automatically (cell goes blank) if wetland never has surface water during an average year.</t>
    </r>
  </si>
  <si>
    <r>
      <t xml:space="preserve">Narrow outlets limit water outflow from a wetland and its downstream or downslope movement, thus causing water to back up into the wetland, which allows more time for scarbon in suspension to settle, although methane emissions may be higher due to greater likelihood of anaerobic conditions developing. Ditching of some wetlands may reduce methane emissions in the long term but initially accelerates the decomposition and loss of historically stored carbon. The types of outlets described here are ones that typically are more constricted than natural channels, which usually have adjusted over time to local runoff and thus are wider relative to volume of flow received. </t>
    </r>
    <r>
      <rPr>
        <i/>
        <sz val="10"/>
        <rFont val="Arial Narrow"/>
        <family val="2"/>
      </rPr>
      <t>In calculations, is excluded automatically (cell goes blank) if no outlet.</t>
    </r>
  </si>
  <si>
    <r>
      <t xml:space="preserve">Flowing rather than ponded waters provide the most opportunity for organic matter to be exported from wetlands (Urban et al. 1989, Dalva &amp; Moore 1991). In some regions, flowing waters also tend to be more productive because nutrients from further upstream are continually introduced into the wetland and replenished. </t>
    </r>
    <r>
      <rPr>
        <i/>
        <sz val="10"/>
        <rFont val="Arial Narrow"/>
        <family val="2"/>
      </rPr>
      <t xml:space="preserve">In calculations, is excluded automatically (cell goes blank) if wetland never has surface water during an average year. </t>
    </r>
  </si>
  <si>
    <r>
      <t xml:space="preserve">Prolonged inundation can stifle plant productivity, whereas seasonal inundation encourages it, and is often associated with conditions that contribute to the export of organic matter, e.g., river floods. Seasonally high water levels promote decomposition (Bayley &amp; Mewhort, 2004) and thus facilitate the export of carbon. </t>
    </r>
    <r>
      <rPr>
        <i/>
        <sz val="10"/>
        <rFont val="Arial Narrow"/>
        <family val="2"/>
      </rPr>
      <t xml:space="preserve">In calculations, is excluded automatically (cell goes blank) if wetland never has surface water during an average year. </t>
    </r>
  </si>
  <si>
    <r>
      <t xml:space="preserve">Dynamic water levels in wetlands with outlets usually imply more productive wetlands and greater export of organic matter, whereas stable water levels typically imply less export. However, if water level fluctuations are too severe (e.g., greater than plant height) production of organic matter can diminish. </t>
    </r>
    <r>
      <rPr>
        <i/>
        <sz val="10"/>
        <rFont val="Arial Narrow"/>
        <family val="2"/>
      </rPr>
      <t>In calculations, is excluded automatically (cell goes blank) if wetland never has surface water during an average year, or if none of it floods only seasonally.</t>
    </r>
  </si>
  <si>
    <r>
      <t xml:space="preserve">Annual productivity is generally greater in shallower areas where light is more available and sediments are subject to aeration from wind mixing. </t>
    </r>
    <r>
      <rPr>
        <i/>
        <sz val="10"/>
        <rFont val="Arial Narrow"/>
        <family val="2"/>
      </rPr>
      <t xml:space="preserve">In calculations, is excluded automatically (cell goes blank) if wetland never has surface water during an average year. </t>
    </r>
  </si>
  <si>
    <r>
      <t xml:space="preserve">The probability that organic matter from wetland plants will be exported increases in relation to the percent of the inundated area containing such plants. </t>
    </r>
    <r>
      <rPr>
        <i/>
        <sz val="10"/>
        <rFont val="Arial Narrow"/>
        <family val="2"/>
      </rPr>
      <t xml:space="preserve">In calculations, is excluded automatically (cell goes blank) if wetland never has ponded surface water during an average year. </t>
    </r>
  </si>
  <si>
    <r>
      <t xml:space="preserve">Interspersion of open water with vegetation promotes greater export of organic matter from the vegetation. </t>
    </r>
    <r>
      <rPr>
        <i/>
        <sz val="10"/>
        <rFont val="Arial Narrow"/>
        <family val="2"/>
      </rPr>
      <t>In calculations, is excluded automatically (cell goes blank) if wetland never has surface water during an average year, if no ponded water, if ponded water but no vegetation, if ponded but no open water.</t>
    </r>
  </si>
  <si>
    <r>
      <t>The plant material from narrower (fringe) wetlands is often more vulnerable to transport into adjoining waters. However, wider wetlands represent larger total stores of organic matter available for waterborne export downstream or offsite (Pacific et al. 2010).</t>
    </r>
    <r>
      <rPr>
        <i/>
        <sz val="10"/>
        <rFont val="Arial Narrow"/>
        <family val="2"/>
      </rPr>
      <t xml:space="preserve"> In calculations, is excluded automatically (cell goes blank) if wetland never has surface water during an average year, or no open water.</t>
    </r>
  </si>
  <si>
    <r>
      <t xml:space="preserve">Areas of persistent water within or adjoining a wetland are necessary to provide refuge, spawning habitat, and travel corridors for all anadromous fish. However, areas of a wetland that dry out seasonally are also important so wetlands that are entirely comprised of persistent water may be no more important than those that have a mix of persistent water areas and seasonally-inundated-only areas. </t>
    </r>
    <r>
      <rPr>
        <i/>
        <sz val="10"/>
        <rFont val="Arial Narrow"/>
        <family val="2"/>
      </rPr>
      <t xml:space="preserve">In calculations, is excluded automatically (cell goes blank) if wetland never has surface water during an average year. </t>
    </r>
  </si>
  <si>
    <r>
      <t xml:space="preserve">Aquatic plants provide cover for fish, and support higher productivity of invertebrates fed upon by fish. However, as aquatic plants decay beneath winter ice, they can deprive fish of necessary oxygen. </t>
    </r>
    <r>
      <rPr>
        <i/>
        <sz val="10"/>
        <rFont val="Arial Narrow"/>
        <family val="2"/>
      </rPr>
      <t xml:space="preserve">In calculations, is excluded automatically (cell goes blank) if wetland never has surface water during an average year. </t>
    </r>
  </si>
  <si>
    <r>
      <t xml:space="preserve">Many studies have demonstrated that large woody debris is critically important to coho and steelhead. It provides cover and creates instream pools that help protect young fish from aerial predators. Shade from pools also provides cooler water preferred by salmonids. Removal of woody debris from one stream  reduced salmonid use to one-fifth the levels with woody debris (Fausch &amp; Northcote 1992). </t>
    </r>
    <r>
      <rPr>
        <i/>
        <sz val="10"/>
        <rFont val="Arial Narrow"/>
        <family val="2"/>
      </rPr>
      <t>In calculations, is excluded automatically (cell goes blank) if wetland never has surface water during an average year, or no open water.</t>
    </r>
  </si>
  <si>
    <r>
      <t>Fish access to wetlands is better, and oxygen deficits harmful to fish are less frequent, if outflows from the wetland are persistent (Henning et al. 2006, 2007). Connectivity between tributaries and more permanent mainstem streams is essential to anadromous fish which use many off-channel habitats.</t>
    </r>
    <r>
      <rPr>
        <i/>
        <sz val="10"/>
        <rFont val="Arial Narrow"/>
        <family val="2"/>
      </rPr>
      <t xml:space="preserve"> In calculations, is excluded automatically (cell goes blank) if wetland never has surface water during an average year.</t>
    </r>
  </si>
  <si>
    <r>
      <t xml:space="preserve">Life histories of fish are closely linked to specific thermal, olfactory, and light (seasonality) conditions as those interact with specific hydrologic patterns. Abnormal patterns of inundation timing (to which fish are not adapted) can reduce survival and ultimately populations. </t>
    </r>
    <r>
      <rPr>
        <i/>
        <sz val="10"/>
        <rFont val="Arial Narrow"/>
        <family val="2"/>
      </rPr>
      <t>In calculations, is excluded automatically (cell goes blank) if wetland has no surface inflows.</t>
    </r>
  </si>
  <si>
    <r>
      <t>Even if not connected to other water bodies, lakes are used extensively by resident fish, and lakeside wetlands provide shelter, rich feeding areas, and substrate for spawning by some species.</t>
    </r>
    <r>
      <rPr>
        <i/>
        <sz val="10"/>
        <rFont val="Arial Narrow"/>
        <family val="2"/>
      </rPr>
      <t xml:space="preserve"> In calculations, presence increases the score but absence has no effect, and is excluded automatically (cell goes blank) if wetland never has surface water during an average year. </t>
    </r>
  </si>
  <si>
    <r>
      <t xml:space="preserve">Different resident fish species have different habitat needs, and a variety of depths within a wetland implies greater capacity of the wetland to meet the needs of multiple species. </t>
    </r>
    <r>
      <rPr>
        <i/>
        <sz val="10"/>
        <rFont val="Arial Narrow"/>
        <family val="2"/>
      </rPr>
      <t xml:space="preserve">In calculations, is excluded automatically (cell goes blank) if wetland never has surface water during an average year. </t>
    </r>
  </si>
  <si>
    <r>
      <t xml:space="preserve">The second condition implies greater diversity of plants, which sometimes is associated with greater diversity of aquatic invertebrates. </t>
    </r>
    <r>
      <rPr>
        <i/>
        <sz val="10"/>
        <rFont val="Arial Narrow"/>
        <family val="2"/>
      </rPr>
      <t>In calculations, is excluded automatically (cell goes blank) if no exposed herbaceous vegetation in the wetland.</t>
    </r>
  </si>
  <si>
    <r>
      <t xml:space="preserve">Wetlands in which surface water persists longer are capable of supporting a wider variety of invertebrates, e.g., those that require many months or years to complete their life cycle, as well as those that mature more rapidly. Thus, wetlands with a proportionately large extent of persistent water may benefit a wide range of aquatic invertebrates. </t>
    </r>
    <r>
      <rPr>
        <i/>
        <sz val="10"/>
        <rFont val="Arial Narrow"/>
        <family val="2"/>
      </rPr>
      <t xml:space="preserve">In calculations, is excluded automatically (cell goes blank) if wetland never has surface water during an average year. </t>
    </r>
  </si>
  <si>
    <r>
      <t xml:space="preserve">The parts of a wetland that are inundated only seasonally may contain water long enough for many invertebrates to complete their life cycle, while providing fresh food resources (e.g., plant litter). They also tend to be shallower and less deficient in dissolved oxygen, making them suitable for a wider range of species. Seasonal fluctuations release nutrients bound up in wetland sediments, and stimulate the growth of new plants whose seeds have been dormant. However, some invertebrate taxa, such as those without winged adult stages living in isolated wetlands (bog pools), may not survive prolonged desiccation. </t>
    </r>
    <r>
      <rPr>
        <i/>
        <sz val="10"/>
        <rFont val="Arial Narrow"/>
        <family val="2"/>
      </rPr>
      <t xml:space="preserve">In calculations, is excluded automatically (cell goes blank) if wetland never has surface water during an average year. </t>
    </r>
  </si>
  <si>
    <r>
      <t xml:space="preserve">Dynamic water levels in wetlands with outlets usually imply more productive wetlands and greater export of organic matter, whereas stable water levels typically imply less export. However, if water level fluctuations are too severe (e.g., greater than plant height) production of organic matter can diminish. Also, more stable water levels may benefit aquatic invertebrates in regions where many streams and wetlands are prone to sudden fluctuations from melting snow and storms. </t>
    </r>
    <r>
      <rPr>
        <i/>
        <sz val="10"/>
        <rFont val="Arial Narrow"/>
        <family val="2"/>
      </rPr>
      <t>In calculations, is excluded automatically (cell goes blank) if wetland never has surface water during an average year, or if none of it floods only seasonally.</t>
    </r>
  </si>
  <si>
    <r>
      <t xml:space="preserve">Different invertebrate groups thrive at different water depths in boreal wetlands (Corcoran et al. 2009). Thus, a variety of depths may promote greater invertebrate richness for the wetland as a whole. </t>
    </r>
    <r>
      <rPr>
        <i/>
        <sz val="10"/>
        <rFont val="Arial Narrow"/>
        <family val="2"/>
      </rPr>
      <t xml:space="preserve">In calculations, is excluded automatically (cell goes blank) if wetland never has surface water during an average year. </t>
    </r>
  </si>
  <si>
    <r>
      <t>Emergent and submerged vegetation typically hosts extensive growths of epiphytic algae, which along with the supporting herbaceous plants, provide food and cover for a wide variety of invertebrates. Intermediate cover conditions allow more light penetration of the water column, higher algal productivity, greater oxygenation, and thus tend to support a wide variety of invertebrate groups.</t>
    </r>
    <r>
      <rPr>
        <i/>
        <sz val="10"/>
        <rFont val="Arial Narrow"/>
        <family val="2"/>
      </rPr>
      <t xml:space="preserve"> In calculations, is excluded automatically (cell goes blank) if wetland never has ponded surface water during an average year. </t>
    </r>
  </si>
  <si>
    <r>
      <t xml:space="preserve">Greater invertebrate diversity overall may be supported by wetlands with a relatively even mix of open water and vegetation, interspersed throughout. Such conditions reflect a variety of light, temperature, and oxygen regimes as well as edge habitats (ecotones) that together provide more niches for invertebrates. </t>
    </r>
    <r>
      <rPr>
        <i/>
        <sz val="10"/>
        <rFont val="Arial Narrow"/>
        <family val="2"/>
      </rPr>
      <t>In calculations, is excluded automatically (cell goes blank) if wetland never has surface water during an average year, if no ponded water, if ponded water but no vegetation, if ponded but no open water.</t>
    </r>
  </si>
  <si>
    <r>
      <t xml:space="preserve">The importance of large wood to aquatic life has been widely documented in perennial streams (literature reviewed by Murphy 1995, May 2003, Wenger 2000, Knutson and Naef 1997) and in lakes (Roth et al. 2007). Many aquatic invertebrates attach to submerged wood and feed on algae and leaves associated with it. Constructed wetlands to which woody debris is added may support greater biomass or richness of several aquatic invertebrate groups (e.g., Alsfeld et al. 2009). Most instream wood originates in the parts of the riparian areas that are within 100 ft of a stream (McDade et al. 1990, Van Sickle &amp; Gregory 1990, Robison &amp; Beschta 1990, Meleason et al. 2003). </t>
    </r>
    <r>
      <rPr>
        <i/>
        <sz val="10"/>
        <rFont val="Arial Narrow"/>
        <family val="2"/>
      </rPr>
      <t xml:space="preserve">In calculations, is excluded automatically (cell goes blank) if wetland never has open surface water during an average year. </t>
    </r>
  </si>
  <si>
    <r>
      <t xml:space="preserve">Diffuse flow paths and large spatial complexity of channels within a wetland support a wider variety of microhabitats for invertebrates, so should result in greater species richness. </t>
    </r>
    <r>
      <rPr>
        <i/>
        <sz val="10"/>
        <rFont val="Arial Narrow"/>
        <family val="2"/>
      </rPr>
      <t>In calculations, is excluded automatically (cell goes blank) if wetland never has surface water during an average year or if no surface inflows.</t>
    </r>
  </si>
  <si>
    <r>
      <t>Groundwater provides a relatively steady input of nutrients (e.g., Morley et al. 2011). That can support greater algal production and consequently greater invertebrate production and perhaps diversity. It also provides relatively warm temperatures and helps sustain low flows, thus increasing annual production of invertebrates (Brown et al. 2007). However, where underlying geologic strata are iron-rich, groundwater discharge is often accompanied by precipitation of iron "floc" in wetland sediment, smothering aquatic invertebrates and reducing their diversity.</t>
    </r>
    <r>
      <rPr>
        <i/>
        <sz val="10"/>
        <rFont val="Arial Narrow"/>
        <family val="2"/>
      </rPr>
      <t xml:space="preserve"> In calculations, is excluded automatically (cell goes blank) if no evidence of groundwater influx; otherwise is rated based on response in column D.</t>
    </r>
  </si>
  <si>
    <r>
      <t xml:space="preserve">Open water is important to a wide array of nesting waterbirds, and is most available in "fringe" wetlands. </t>
    </r>
    <r>
      <rPr>
        <i/>
        <sz val="10"/>
        <rFont val="Arial Narrow"/>
        <family val="2"/>
      </rPr>
      <t xml:space="preserve">In calculations, is excluded automatically (cell goes blank) if wetland never has persistent surface water during an average year. </t>
    </r>
  </si>
  <si>
    <r>
      <t xml:space="preserve">Lacustrine wetlands are especially attractive to nesting waterbirds, partly because of the variety of foods they provide, and the refuge that the large expanse of open water provides from terrestrial predators. However, use by some nesting waterbird species may be less if there is frequent motorboat use. In Maine, nesting waterbird richness was less in lacustrine wetlands than other wetland types, but the hosted species (loons, grebes) were less common in other wetland types so the lacustrine wetlands contributed disproportionately to regional bird diversity (Gibbs et al. 1991). </t>
    </r>
    <r>
      <rPr>
        <i/>
        <sz val="10"/>
        <rFont val="Arial Narrow"/>
        <family val="2"/>
      </rPr>
      <t xml:space="preserve">In calculations, presence increases the score but absence has no effect. </t>
    </r>
  </si>
  <si>
    <r>
      <t xml:space="preserve">Marshes with a relatively even mix of open water and emergent vegetation tend to support the most nesting waterbird species in this region (Gibbs et al. 1991, Longcore et al. 2006, Hierl et al. 2007). Emergent and submersed vegetation is an essential food for many duck species, either directly or because of the higher densities of invertebrate foods that it supports (Epners et al. 2010). </t>
    </r>
    <r>
      <rPr>
        <i/>
        <sz val="10"/>
        <rFont val="Arial Narrow"/>
        <family val="2"/>
      </rPr>
      <t xml:space="preserve">In calculations, is excluded automatically (cell goes blank) if wetland never has ponded surface water during an average year. </t>
    </r>
  </si>
  <si>
    <r>
      <t xml:space="preserve">Tree cavities are needed by many nesting songbirds (Drapeau et al. 2009) and mammals such as roosting bats (Grindal &amp; Brigham 1999, Grindal et al. 1999). Tall snags are especially useful to raptors as hunting perches. </t>
    </r>
    <r>
      <rPr>
        <i/>
        <sz val="10"/>
        <rFont val="Arial Narrow"/>
        <family val="2"/>
      </rPr>
      <t xml:space="preserve">In calculations, is excluded automatically (cell goes blank) if wetland has few or no trees. </t>
    </r>
  </si>
  <si>
    <r>
      <t xml:space="preserve">Parts of wetlands that remain flooded most of the time will support fewer small mammals and songbirds due to lack of vertical structural complexity. Wetlands with at least a little persistent water are important to aerially-foraging swallows, swifts, and flycatchers, as well as bats, muskrat, beaver, moose, and many other mammals. </t>
    </r>
    <r>
      <rPr>
        <i/>
        <sz val="10"/>
        <rFont val="Arial Narrow"/>
        <family val="2"/>
      </rPr>
      <t xml:space="preserve">In calculations, is excluded automatically (cell goes blank) if wetland never has surface water during an average year. </t>
    </r>
  </si>
  <si>
    <r>
      <t xml:space="preserve">A mix of diameter classes may indicate a wider variety of woody species available for pollination. The formula gives equal weight to the variety of classes and increasing mean diameter. Deciduous trees allow more light penetration and thus tend to support more flowering plants in the understory. Larger trees provide more deadwood for bee and wasp colonies. </t>
    </r>
    <r>
      <rPr>
        <i/>
        <sz val="10"/>
        <rFont val="Arial Narrow"/>
        <family val="2"/>
      </rPr>
      <t>In calculations, is excluded automatically (cell goes blank) if wetland has few or no trees. The score is based equally on the proportion of classes present and their weighted average.</t>
    </r>
  </si>
  <si>
    <r>
      <t xml:space="preserve">Dead wood provides critical nesting habitat for many pollinators. </t>
    </r>
    <r>
      <rPr>
        <i/>
        <sz val="10"/>
        <rFont val="Arial Narrow"/>
        <family val="2"/>
      </rPr>
      <t>In calculations, is excluded automatically (cell goes blank) if wetland has few or no trees.</t>
    </r>
  </si>
  <si>
    <r>
      <t xml:space="preserve">Downed wood provides nest sites and shelter for some pollinators. </t>
    </r>
    <r>
      <rPr>
        <i/>
        <sz val="10"/>
        <rFont val="Arial Narrow"/>
        <family val="2"/>
      </rPr>
      <t>In calculations, is excluded automatically (cell goes blank) if wetland has few or no trees.</t>
    </r>
  </si>
  <si>
    <r>
      <t xml:space="preserve">Wetlands comprised almost entirely of persistent water usually have much less vegetation cover, so fewer plants per unit area are available to pollinators. </t>
    </r>
    <r>
      <rPr>
        <i/>
        <sz val="10"/>
        <rFont val="Arial Narrow"/>
        <family val="2"/>
      </rPr>
      <t xml:space="preserve">In calculations, is excluded automatically (cell goes blank) if wetland never has surface water during an average year. </t>
    </r>
  </si>
  <si>
    <r>
      <t xml:space="preserve">Wetlands with wider vegetated areas are more likely to contain more plant species and rarer and more sensitive plants, as well as being more insulated from some upland disturbances (Rooney &amp; Bayley 2011). </t>
    </r>
    <r>
      <rPr>
        <i/>
        <sz val="10"/>
        <rFont val="Arial Narrow"/>
        <family val="2"/>
      </rPr>
      <t>In calculations, is excluded automatically (cell goes blank) if wetland never has surface water during an average year, or has no open water.</t>
    </r>
  </si>
  <si>
    <r>
      <t>Relatively even mixes of emergent plants and open water imply that both submerged aquatics and emergents may be present, thus comprising greater diversity.</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</si>
  <si>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r>
      <t xml:space="preserve">Beaver impoundments increase richness of wetland plants locally, especially a few years after they are abandoned (Pollock et al. 1998, Wright et al. 2002, 2003; Gallant et al. 2004, Bayley &amp; Guimond 2008, Hood &amp; Bayley 2008). </t>
    </r>
    <r>
      <rPr>
        <i/>
        <sz val="10"/>
        <rFont val="Arial Narrow"/>
        <family val="2"/>
      </rPr>
      <t xml:space="preserve">In calculations, is excluded automatically (cell goes blank) if wetland never has surface water during an average year. </t>
    </r>
  </si>
  <si>
    <r>
      <t xml:space="preserve">A dominance of common species usually implies overall reduction in plant species richness. Although shrubs contribute to onsite plant diversity, wetland shrub communities are generally less diverse than herbaceous plant communities in wetlands. </t>
    </r>
    <r>
      <rPr>
        <i/>
        <sz val="10"/>
        <rFont val="Arial Narrow"/>
        <family val="2"/>
      </rPr>
      <t>In calculations, is excluded automatically (cell goes blank) if little or no shrub cover is present.</t>
    </r>
  </si>
  <si>
    <r>
      <t>Strong dominance by one or a few species, even if those are natives, is sometimes an indicator of impaired ecological condition. However, newly created wetlands often have high richness of colonizing species.</t>
    </r>
    <r>
      <rPr>
        <i/>
        <sz val="10"/>
        <rFont val="Arial Narrow"/>
        <family val="2"/>
      </rPr>
      <t xml:space="preserve"> In calculations, is excluded automatically (cell goes blank) if little or no herbaceous cover is present.</t>
    </r>
  </si>
  <si>
    <r>
      <t xml:space="preserve">Ponding indicates water is in storage rather than being transferred immediately downslope. Water distributed in small pools is more subject to loss via evapotranspiration before it can exit a wetland, and this delay can measurably reduce peak outflows (Price &amp; Maloney 1994). </t>
    </r>
    <r>
      <rPr>
        <i/>
        <sz val="10"/>
        <rFont val="Arial Narrow"/>
        <family val="2"/>
      </rPr>
      <t>In calculations, is excluded automatically (cell goes blank) if wetland never has surface water during an average year.</t>
    </r>
  </si>
  <si>
    <t>Holmquist, J., J. Jones, J. Schmidt-Gengenbach, L. Pierotti, and J. Love. 2011. Terrestrial and Aquatic Macroinvertebrate Assemblages as a Function of Wetland Type Across a Mountain Landscape. Institute of Arctic and Alpine Research, University of Colorado, Boulder, CO.</t>
  </si>
  <si>
    <t>Hornung, J. and A. L. Foote. 2006. Aquatic invertebrate responses to fish presence and vegetation complexity in Western Boreal wetlands, with implications for waterbird productivity. Wetlands 26:1-12.</t>
  </si>
  <si>
    <t xml:space="preserve">If a wetland is capable of storing runoff, its positive effect on controlling downslope flood peaks is greater if it is large relative to the volume of runoff it receives, which is reflected somewhat by the extent of its contributing area. Wetlands that comprise a large portion of their contributing area have a greater potential to control the runoff arriving from that lmited area. </t>
  </si>
  <si>
    <r>
      <t xml:space="preserve">The need for (and value of) storage potentially provided by wetlands is greater when upland runoff is rapid, as occurs when much of the contributing area contains impervious surface (Laenen 1980, Waite et al. 2006). In contributing areas with extensive impervious surface, the proportion of stream flow due to surface runoff can be as much as five times that seen in forested catchments (Arnold &amp; Gibbons 1996). The increase in surface runoff due to urbanization is especially greater in the Pacific Northwest due the naturally high infiltration capacity of the soils and the low intensity of the rainfall, which makes surface runoff a rare phenomenon in undeveloped watersheds (Booth &amp; Jackson 1997). Increased surface runoff causes a shortening of the lag time between precipitation and stream flow response (Hirsch et al. 1990). The effect is higher peak flows but of shorter duration than those in forested catchments receiving comparable rainfall (Leopold 1968). </t>
    </r>
    <r>
      <rPr>
        <i/>
        <sz val="10"/>
        <rFont val="Arial Narrow"/>
        <family val="2"/>
      </rPr>
      <t xml:space="preserve"> In calculations, is ignored (cell goes blank) if wetland appears to have no contributing area.</t>
    </r>
  </si>
  <si>
    <r>
      <t xml:space="preserve">Where most of the surface water is ponded, it is more likely to be heated by the sun than if distributed in the channels or residing underground. </t>
    </r>
    <r>
      <rPr>
        <i/>
        <sz val="10"/>
        <rFont val="Arial Narrow"/>
        <family val="2"/>
      </rPr>
      <t>This indicator is used only if some persistent surface water is present in the AA.</t>
    </r>
    <r>
      <rPr>
        <sz val="10"/>
        <rFont val="Arial Narrow"/>
        <family val="2"/>
      </rPr>
      <t xml:space="preserve"> </t>
    </r>
    <r>
      <rPr>
        <i/>
        <sz val="10"/>
        <rFont val="Arial Narrow"/>
        <family val="2"/>
      </rPr>
      <t>In calculations, is excluded automatically (cell goes blank) if wetland never has surface water during an average year.</t>
    </r>
  </si>
  <si>
    <r>
      <t xml:space="preserve">If soil or sediment within a wetland is eroding, the wetland is unlikely to be trapping incoming suspended sediment. </t>
    </r>
    <r>
      <rPr>
        <i/>
        <sz val="10"/>
        <rFont val="Arial Narrow"/>
        <family val="2"/>
      </rPr>
      <t xml:space="preserve"> In calculations, is ignored (cell goes blank) if wetland soil is currently intact, but is scored as a negative if disturbance is occurring.</t>
    </r>
  </si>
  <si>
    <t>High levels of these substances, such as from livestock use or wastewater effluent, can harm amphibian populations and reduce amphibian diversity, e.g., Schmutzer et al. 2008).  In calculations, the indicator score is set to 0 if those contaminants are present within the AA, is set to 0.2 if within 1 km and connected, is set to 1 if sampling shows no problems, or is set to blank (indicator is ignored) if data are insufficient.</t>
  </si>
  <si>
    <t>The condition is present within the AA.</t>
  </si>
  <si>
    <t>Sampling during both low water periods and times with high runoff (storms, snowmelt) indicates no problems in either the AA or inflowing waters.</t>
  </si>
  <si>
    <t>The condition is present within 5 km downslope and connected to the AA by a channel, or within 1 km but not connected to the AA by a channel.</t>
  </si>
  <si>
    <t>The condition is present within 1 km downslope and connected to the AA by a channel.</t>
  </si>
  <si>
    <t>The need for (and value of) sediment-trapping capacity (which is potentially provided by wetlands) is greater when upland runoff is rapid and erosive, as occurs when much of the contributing area contains unvegetated surface. However, a study in Alaska that compared total sediment yield in channels surrounded by old-growth, clear cut, and young alder found no significant difference in sediment yield (Gomi &amp; Sidle 2003). In calculations, is excluded automatically (cell goes blank) if wetland is larger than its contributing area.</t>
  </si>
  <si>
    <r>
      <t xml:space="preserve">Most anadromous fish require relatively cool waters, and shade helps maintain cool water temperatures, especially in lowland streams during low flow conditions. Cool waters (less than 68 degrees F, ideally less than 60F) are particularly important to salmonid fish because at higher temperatures less of the dissolved oxygen necessary for their survival (a minimum of 5 ppm is needed by most local fish) is able to remain in the water. However, shade also can reduce algal productivity and thus the abundance of aquatic insects, although this may be compensated somewhat by increased availability of terrestrial insects that fall off the shading vegetation and into waters where they are fed upon by fish. </t>
    </r>
    <r>
      <rPr>
        <i/>
        <sz val="10"/>
        <rFont val="Arial Narrow"/>
        <family val="2"/>
      </rPr>
      <t>In calculations, is excluded automatically (cell goes blank) if wetland never has surface water during an average year, or if water is present only seasonally, or if wetland is in the lower third of a watershed (because shade has less effect on water temperature in the wider channels there).</t>
    </r>
  </si>
  <si>
    <r>
      <t xml:space="preserve">&gt;90%, or all the area within 30 m of the AA edge is other wetlands. </t>
    </r>
    <r>
      <rPr>
        <b/>
        <sz val="10"/>
        <rFont val="Arial Narrow"/>
        <family val="2"/>
      </rPr>
      <t>SKIP to F55</t>
    </r>
    <r>
      <rPr>
        <sz val="10"/>
        <rFont val="Arial Narrow"/>
        <family val="2"/>
      </rPr>
      <t>.</t>
    </r>
  </si>
  <si>
    <r>
      <t xml:space="preserve">None, or &lt;1% of the AA and largest pool occupies &lt;0.01 hectares. Enter "1" and </t>
    </r>
    <r>
      <rPr>
        <b/>
        <sz val="10"/>
        <rFont val="Arial Narrow"/>
        <family val="2"/>
      </rPr>
      <t>SKIP to F41</t>
    </r>
    <r>
      <rPr>
        <sz val="10"/>
        <rFont val="Arial Narrow"/>
        <family val="2"/>
      </rPr>
      <t xml:space="preserve"> (Floating Algae &amp; Duckweed).</t>
    </r>
  </si>
  <si>
    <r>
      <t xml:space="preserve">Increased slope in a watershed or buffer strip results in more erosion and greater transport of soil particles to downslope wetlands, e.g., Trimble &amp; Sartz (1957), Dillaha et al. (1988, 1989), Phillips (1989), and Nieswand et al. (1990). Sediment export from sloping lands mostly begins at about 10% slope and increases as slope becomes steeper (Zhang et al. 2010). Greater sediment loads associated with steeper slopes increase the opportunity for wetlands to trap that sediment, thus increasing their value in protecting waters further downslope. </t>
    </r>
    <r>
      <rPr>
        <i/>
        <sz val="10"/>
        <rFont val="Arial Narrow"/>
        <family val="2"/>
      </rPr>
      <t>In calculations, is excluded automatically (cell goes blank) if wetland is larger than its contributing area or the last choice was selected in the previous question.</t>
    </r>
  </si>
  <si>
    <t>Wetlands fed by groundwater tend to remain saturated for longer in the summer, thus increasing their chances of supporting streamflow downslope (Burrell &amp; Anderson 1991, Morley et al. 2011).  Wetlands are typically ground water discharge areas where they occur at the toe of much steeper slopes (Crabtree &amp; Burt 1983) or at geologic faults (Stein et al. 2004).</t>
  </si>
  <si>
    <t>Sphagnum Moss Extent</t>
  </si>
  <si>
    <r>
      <t xml:space="preserve">% of Water That Is </t>
    </r>
    <r>
      <rPr>
        <b/>
        <sz val="11"/>
        <rFont val="Arial Narrow"/>
        <family val="2"/>
      </rPr>
      <t xml:space="preserve">Ponded </t>
    </r>
    <r>
      <rPr>
        <sz val="11"/>
        <rFont val="Arial Narrow"/>
        <family val="2"/>
      </rPr>
      <t>(not Flowing)</t>
    </r>
  </si>
  <si>
    <r>
      <t xml:space="preserve">During most of the growing season, the largest patch of </t>
    </r>
    <r>
      <rPr>
        <b/>
        <sz val="10"/>
        <rFont val="Arial Narrow"/>
        <family val="2"/>
      </rPr>
      <t>open water</t>
    </r>
    <r>
      <rPr>
        <sz val="10"/>
        <rFont val="Arial Narrow"/>
        <family val="2"/>
      </rPr>
      <t xml:space="preserve"> that is ponded and is in or bordering the AA is &gt;0.01 hectare (about 10 m by 10 m) and mostly deeper than 0.5 m. If true enter "1" and continue,  If false, enter "0" and </t>
    </r>
    <r>
      <rPr>
        <b/>
        <sz val="10"/>
        <rFont val="Arial Narrow"/>
        <family val="2"/>
      </rPr>
      <t>SKIP to F41</t>
    </r>
    <r>
      <rPr>
        <sz val="10"/>
        <rFont val="Arial Narrow"/>
        <family val="2"/>
      </rPr>
      <t xml:space="preserve"> (Floating Algae &amp; Duckweed).</t>
    </r>
  </si>
  <si>
    <t>WETLAND RISK (average of Sensitivity &amp; Stressors)</t>
  </si>
  <si>
    <t>Definitions/Explanations</t>
  </si>
  <si>
    <t xml:space="preserve">The horizontal flow distance from the wetland's inlet to outlet is: </t>
  </si>
  <si>
    <t xml:space="preserve">Benefits Score (raw) </t>
  </si>
  <si>
    <t>Benefit Indicators</t>
  </si>
  <si>
    <t>Benefits Score for Water Storage</t>
  </si>
  <si>
    <t>Carter, V., M. S. Bedinger, R. P. Novitski, and W. Wilen. 1979. Water resources and wetlands. Pages 344–376 in P. E. Greeson, J. R. Clark, and J. E. Clark, editors. Wetland Functions and Benefits: The State of Our Understanding. American Water Resources Association, Minneapolis, MN.</t>
  </si>
  <si>
    <t>Benefits Score for Low Flow Augmentation</t>
  </si>
  <si>
    <t>Benefit Score for Water Cooling</t>
  </si>
  <si>
    <t>Benefits Score for Sediment Retention &amp; Stabilization</t>
  </si>
  <si>
    <t xml:space="preserve">Benefits Score for Phosphorus Retention </t>
  </si>
  <si>
    <t>Benefits Score for Nitrate Removal</t>
  </si>
  <si>
    <t>Benefits Score for Carbon Sequestration</t>
  </si>
  <si>
    <t>Benefit              Indicators</t>
  </si>
  <si>
    <t>Benefits Score for Anadromous Fish Habitat</t>
  </si>
  <si>
    <t>Benefits Score for Resident Fish Habitat</t>
  </si>
  <si>
    <t>Benefits Score for Aquatic Invertebrate Habitat</t>
  </si>
  <si>
    <t>Benefits Score for Feeding Waterbird Habitat</t>
  </si>
  <si>
    <t>Benefits Score for Nesting Waterbird Habitat</t>
  </si>
  <si>
    <t>Benefits Score for Songbird, Raptor, &amp; Mammal Habitat</t>
  </si>
  <si>
    <t>Benefits Score for Pollinator Habitat</t>
  </si>
  <si>
    <t>Benefits Score for Native Plant Habitat</t>
  </si>
  <si>
    <t>Benefits Score for Public Use &amp; Recognition</t>
  </si>
  <si>
    <t>Flood marks (algal mats, adventitious roots, debris lines, ice scour, etc.) are often evident when not fully inundated. Also, such areas often have a larger proportion of upland and annual (vs. perennial) plant species. In riverine systems, the extent of this zone can be estimated by multiplying by 2 the bankful height and visualising where that would intercept the land along the river. [CS, FA, INV, NR, OE, PH, SR, WBF, WBN, WS]</t>
  </si>
  <si>
    <t xml:space="preserve">% of Ponded Water that is Open </t>
  </si>
  <si>
    <t>"Vegetated area" does not include underwater or floating-leaved plants, i.e., aquatic bed. Width may include wooded riparian areas if they have wetland soil or plant indicators. [AM, CS, NR, OE, PH, PR, SBM, Sens, SR, WBN]</t>
  </si>
  <si>
    <t>If several isolated pools are present in early summer, estimate the percent of their collective shorelines that has such a gentle slope. [SR, WBN]</t>
  </si>
  <si>
    <t>[AM, FA, FR, INV, NR, OE, PH, PR, SBM, SR, WBF, WBN]</t>
  </si>
  <si>
    <t>For this question, consider only the wood that is at or above the water surface. Estimates of underwater wood based only on observations from terrestrial viewpoints are unreliable so should not be attempted. [AM, FA, FR, INV]</t>
  </si>
  <si>
    <t>[WBN]</t>
  </si>
  <si>
    <t>[EC, PR, WBF]</t>
  </si>
  <si>
    <t>[FA, FR, INV, NR, OE, PR, SR, WS]</t>
  </si>
  <si>
    <t xml:space="preserve"> [FA, FR, PH, SBM, Sens, WBF, WBN]</t>
  </si>
  <si>
    <t>[AM, SBM]</t>
  </si>
  <si>
    <t>[NR, SBM, Sens]</t>
  </si>
  <si>
    <t xml:space="preserve"> [NRv, PRv, SRv, WSv]</t>
  </si>
  <si>
    <t>[PU]</t>
  </si>
  <si>
    <t xml:space="preserve"> If you are unable to determine the condition at the driest time of year, ask the land owner or neighbors about it if possible. Indicators of persistence may include fish, some dragonflies, beaver, and muskrat. [AM, CS, FA, FR, INV, NR, POL, PR, SBM, WBF, WBN]</t>
  </si>
  <si>
    <t>Look for flood marks (see above).  Because the annual range of water levels is difficult to estimate without multiple visits, consider asking the land owner or neighbors about it. [AM, CS, INV, NR, OE, PH, PR, SR, WBN, WS]</t>
  </si>
  <si>
    <r>
      <rPr>
        <b/>
        <sz val="10"/>
        <rFont val="Arial Narrow"/>
        <family val="2"/>
      </rPr>
      <t>Open water</t>
    </r>
    <r>
      <rPr>
        <sz val="10"/>
        <rFont val="Arial Narrow"/>
        <family val="2"/>
      </rPr>
      <t xml:space="preserve"> is not obscured by vegetation in aerial ("duck's eye") view.  It includes vegetation floating on the water surface or entirely submersed beneath it.  </t>
    </r>
  </si>
  <si>
    <t>Snags are dead standing trees that often (not always) lack bark and foliage.  Include only ones that are at least 2 m tall.  [POL, SBM, WBN]</t>
  </si>
  <si>
    <t>Exclude temporary "burn piles."  [AM, INV, POL, SBM]</t>
  </si>
  <si>
    <t>Do not include N-fixing algae or lichens. [FA, FR, INV, NRv, OE, PH, SBM, Sens]</t>
  </si>
  <si>
    <t>Exclude moss growing on trees and rocks. [CS, PH]</t>
  </si>
  <si>
    <t xml:space="preserve"> [AM, NR, SBM]</t>
  </si>
  <si>
    <t>[CS, NR, OE, PH, PR, Sens, SFS, WS]</t>
  </si>
  <si>
    <t>This addresses needs of many but not all migratory sandpipers, plovers, and related species. [WBF]</t>
  </si>
  <si>
    <t>[CS]</t>
  </si>
  <si>
    <t xml:space="preserve"> [EC, PH, POL, Sens]</t>
  </si>
  <si>
    <t>[NRv, PRv, Sens, SRv]</t>
  </si>
  <si>
    <t>Do not include upturned trees as potential den sites.  [POL, SBM]</t>
  </si>
  <si>
    <t>[PH, PU]</t>
  </si>
  <si>
    <t>[AM, PU, WBF, WBN]</t>
  </si>
  <si>
    <t>[NRv]</t>
  </si>
  <si>
    <t>50-500 m, but separated by those features.</t>
  </si>
  <si>
    <t>0.5 - 5 km, but separated by those features.</t>
  </si>
  <si>
    <t xml:space="preserve">&lt;5% of the land. </t>
  </si>
  <si>
    <t>5 to 20% of the land.</t>
  </si>
  <si>
    <t>20 to 60% of the land.</t>
  </si>
  <si>
    <t>60 to 90% of the land.</t>
  </si>
  <si>
    <t>50-500 m, and not separated.</t>
  </si>
  <si>
    <t>0.5 - 1 km, and not separated.</t>
  </si>
  <si>
    <t>0.5 - 1 km, but separated by those features.</t>
  </si>
  <si>
    <t>OF27</t>
  </si>
  <si>
    <t>coniferous trees (may include tamarack) taller than 3 m.</t>
  </si>
  <si>
    <t>deciduous trees taller than 3 m.</t>
  </si>
  <si>
    <t>coniferous, 1-9 cm diameter and &gt;1 m tall.</t>
  </si>
  <si>
    <t>broad-leaved deciduous 1-9 cm diameter and &gt;1 m tall.</t>
  </si>
  <si>
    <t>coniferous, 10-19 cm diameter.</t>
  </si>
  <si>
    <t>broad-leaved deciduous 10-19 cm diameter.</t>
  </si>
  <si>
    <t>coniferous, 20-40 cm diameter.</t>
  </si>
  <si>
    <t>broad-leaved deciduous 20-40 cm diameter.</t>
  </si>
  <si>
    <t>coniferous, &gt;40 cm diameter.</t>
  </si>
  <si>
    <t>broad-leaved deciduous &gt;40 cm diameter.</t>
  </si>
  <si>
    <t>None, or fewer than 8/ hectare which exceed this diameter.</t>
  </si>
  <si>
    <t>5-25% of the vegetated part of the AA.</t>
  </si>
  <si>
    <t>25-50% of the vegetated part of the AA.</t>
  </si>
  <si>
    <t>50-95% of the vegetated part of the AA.</t>
  </si>
  <si>
    <t>&gt;95% of the vegetated part of the AA.</t>
  </si>
  <si>
    <t>Other conditions.</t>
  </si>
  <si>
    <t>Intermediate.</t>
  </si>
  <si>
    <t>Several (extensive micro-topography).</t>
  </si>
  <si>
    <t>Few or none.</t>
  </si>
  <si>
    <t>100-1000 sq. m.</t>
  </si>
  <si>
    <t>1000 – 10,000 sq. m.</t>
  </si>
  <si>
    <t xml:space="preserve">&gt;10,000 sq. m. </t>
  </si>
  <si>
    <t>5-25% of the herbaceous part of the AA.</t>
  </si>
  <si>
    <t>25-50% of the herbaceous part of the AA.</t>
  </si>
  <si>
    <t>50-95% of the herbaceous part of the AA.</t>
  </si>
  <si>
    <t>&gt;95% of the herbaceous part of the AA.</t>
  </si>
  <si>
    <t>&lt;5% of the vegetated area, or none.</t>
  </si>
  <si>
    <t>5-50% of the vegetated area.</t>
  </si>
  <si>
    <t>50-95% of the vegetated area.</t>
  </si>
  <si>
    <t>&gt;95% of the vegetated area.</t>
  </si>
  <si>
    <t>some (but &lt;5%) of the upland edge.</t>
  </si>
  <si>
    <t>5-50% of the upland edge.</t>
  </si>
  <si>
    <t>most (&gt;50%) of the upland edge.</t>
  </si>
  <si>
    <t>25-50% of the AA never contains surface water.</t>
  </si>
  <si>
    <t>50-75% of the AA never contains surface water.</t>
  </si>
  <si>
    <t>1-20% of the AA.</t>
  </si>
  <si>
    <t>20-50% of the AA.</t>
  </si>
  <si>
    <t>50-95% of the AA.</t>
  </si>
  <si>
    <t>5-25% of the water is shaded.</t>
  </si>
  <si>
    <t>25-50% of the water is shaded.</t>
  </si>
  <si>
    <t>50-75% of the water is shaded.</t>
  </si>
  <si>
    <t>&gt;75% of the water is shaded.</t>
  </si>
  <si>
    <t>1-20% of the AA, or &lt;1% but &gt;0.01 ha.</t>
  </si>
  <si>
    <t>&lt;10 cm change (stable or nearly so).</t>
  </si>
  <si>
    <t>10 cm - 50 cm change.</t>
  </si>
  <si>
    <t>0.5 - 1 m change.</t>
  </si>
  <si>
    <t>1-2 m change.</t>
  </si>
  <si>
    <t>&gt;2 m change.</t>
  </si>
  <si>
    <t>&lt;10 cm deep (but &gt;0).</t>
  </si>
  <si>
    <t>10 - 50 cm deep.</t>
  </si>
  <si>
    <t>0.5 - 1 m deep.</t>
  </si>
  <si>
    <t>1 - 2 m deep.</t>
  </si>
  <si>
    <t xml:space="preserve">One depth class that comprises &gt;90% of the AA’s inundated area (use the classes in the question above). </t>
  </si>
  <si>
    <t>One depth class that comprises 50-90% of the AA's inundated area.</t>
  </si>
  <si>
    <t>5-30% of the water.</t>
  </si>
  <si>
    <t>30-70% of the water.</t>
  </si>
  <si>
    <t>70-95% of the water.</t>
  </si>
  <si>
    <t>&gt;95% of the water.</t>
  </si>
  <si>
    <t>&lt;1% of the water edge.</t>
  </si>
  <si>
    <t>1-25% of the water edge.</t>
  </si>
  <si>
    <t>25-50% of the water edge.</t>
  </si>
  <si>
    <t>50-75% of the water edge.</t>
  </si>
  <si>
    <t>&gt;75% of the water edge.</t>
  </si>
  <si>
    <t>1-25% of the emergent vegetation.</t>
  </si>
  <si>
    <t>25-75% of the emergent vegetation.</t>
  </si>
  <si>
    <t>&gt;75%, of the emergent vegetation.</t>
  </si>
  <si>
    <t>Little or none.</t>
  </si>
  <si>
    <t>Extensive.</t>
  </si>
  <si>
    <r>
      <t xml:space="preserve">During its travel through the AA at the time of peak annual flow, water arriving in channels: [select only the ONE encountered by </t>
    </r>
    <r>
      <rPr>
        <b/>
        <sz val="10"/>
        <rFont val="Arial Narrow"/>
        <family val="2"/>
      </rPr>
      <t xml:space="preserve">most </t>
    </r>
    <r>
      <rPr>
        <sz val="10"/>
        <rFont val="Arial Narrow"/>
        <family val="2"/>
      </rPr>
      <t>of the incoming water].</t>
    </r>
  </si>
  <si>
    <t>&lt;5% and no inhabited building is within 100 m of the AA.</t>
  </si>
  <si>
    <t>&lt;5% and inhabited building is within 100 m of the AA.</t>
  </si>
  <si>
    <t>5-50% and no inhabited building is within 100 m of the AA.</t>
  </si>
  <si>
    <t>5-50% and inhabited building is within 100 m of the AA.</t>
  </si>
  <si>
    <t>&gt;95% of the AA.</t>
  </si>
  <si>
    <t>No.</t>
  </si>
  <si>
    <t>Crabtree, R. W. and T. P. Burt. 1983. Spatial variation in solutional denudation and soil moisture over a hillslope hollow. Earth Surface Processes and Landforms 8:151-160.</t>
  </si>
  <si>
    <t>Stein, E., M. Mattson, A. E. Fetscher, and K. J. Halama. 2004. Influence of geologic setting on slope wetland hydrodynamics. Wetlands 24: 244-260.</t>
  </si>
  <si>
    <t>Anderson, M. P. 2005. Heat as a ground water tracer. Groundwater 43:951-968.</t>
  </si>
  <si>
    <t>ShedPos2</t>
  </si>
  <si>
    <t>Physical Accumulation</t>
  </si>
  <si>
    <t>Paquette, G. A. and C. D. Ankney. 1996. Wetland selection by American green-winged teal breeding in British Columbia. Condor:27-33.</t>
  </si>
  <si>
    <t>McAuley, D. G. and J. R. Longcore. 1988. Survival of juvenile ring-necked ducks on wetlands of different pH. The Journal of Wildlife Management:169-176.</t>
  </si>
  <si>
    <t>Stevens, C. E., T. S. Gabor, and A. W. Diamond. 2003. Use of restored small wetlands by breeding waterfowl in Prince Edward Island, Canada. Restoration Ecology 11:3-12.</t>
  </si>
  <si>
    <t>S</t>
  </si>
  <si>
    <t>AVERAGE(Toxic, ToxicData, Enrich, SedLoad, SoilDisturb, CAimperv, BuffDisturbTyp)</t>
  </si>
  <si>
    <t>AVERAGE(NatVegCA, RdBox, WeedSource)</t>
  </si>
  <si>
    <t>AVERAGE(RecUse, Core1, Core2, DistRd, VisibWet, PopCtrDist, Owner, BurnHist)</t>
  </si>
  <si>
    <t>(MAX(HydroStress, WQstress, FragStress, DisturbStress)) + AVERAGE(HydroStress, WQstress, FragStress, DisturbStress))/2</t>
  </si>
  <si>
    <t>AVERAGE[GDD, AVERAGE(Wettype, Nfix, NewWet, Acidic, Conductiv)]</t>
  </si>
  <si>
    <t>AVERAGE(HerbDom, Elev, NatVegProx, NatVegSize, NatVegCUpct, PondProx, LakeProx)</t>
  </si>
  <si>
    <t>AVERAGE(TreeDBHs, TreeCover)</t>
  </si>
  <si>
    <t>AVERAGE(Ownership, Visibility, RdDist, Core1PU, Core2PU, ElevPU, PopCtrDisPU, TidalProxPU)</t>
  </si>
  <si>
    <t>AVERAGE (Width, Size, SizeVegConn, SatPct)</t>
  </si>
  <si>
    <t>[AVERAGE (Core1, Core2, BMPsoils, WeedSource) + AVERAGE(PopCtr, DistRd) + MIN(AltTime, Salt, SedDep, SedDisturb) ]/3</t>
  </si>
  <si>
    <t>AVERAGE(Toxic, CovPctScape, DistNat, BuffPerim, BuffLUtype)</t>
  </si>
  <si>
    <t>AVERAGE(AbioSens, BioSens, Fertility, Climate, Colonizer, GrowthRate)</t>
  </si>
  <si>
    <t>AVERAGE (WetTypeDiv, CUbuffNatPct, CUtypeLU, NatVegProx, NatVegPctScape, ScapeLU, NatVegSize)</t>
  </si>
  <si>
    <t>AVERAGE (CoreA, CoreB, BuffPerim, PopCtr, RdBox, DisRd)</t>
  </si>
  <si>
    <r>
      <t xml:space="preserve">IF((AllWater=1),0, </t>
    </r>
    <r>
      <rPr>
        <b/>
        <sz val="10"/>
        <rFont val="Arial Narrow"/>
        <family val="2"/>
      </rPr>
      <t>ELSE</t>
    </r>
    <r>
      <rPr>
        <sz val="10"/>
        <rFont val="Arial Narrow"/>
        <family val="2"/>
      </rPr>
      <t>: (AVERAGE(PermWpct, AVERAGE(StrucA, StrucB, Produc, Lscape, Wscape, Stress))</t>
    </r>
  </si>
  <si>
    <t>AVERAGE(BuffLUtype, BuffNatPct, RdDis)</t>
  </si>
  <si>
    <r>
      <t xml:space="preserve">IF((AllSat=1), 0, IF((TooSteep=1),0, IF((TooSmall=1),0, </t>
    </r>
    <r>
      <rPr>
        <b/>
        <sz val="10"/>
        <rFont val="Arial Narrow"/>
        <family val="2"/>
      </rPr>
      <t>ELSE</t>
    </r>
    <r>
      <rPr>
        <sz val="10"/>
        <rFont val="Arial Narrow"/>
        <family val="2"/>
      </rPr>
      <t>: 
[3*AVERAGE(AqPlantCov, SizeHerbac, Wettype,Wscape) +2*AVERAGE(HydroRegime, Structure, Productivity) + AVERAGE(Stressors, Landscape)] / 6</t>
    </r>
  </si>
  <si>
    <t>AVERAGE(ABpct, WoodAbove, Interspers, Vwidth)</t>
  </si>
  <si>
    <t>AVERAGE[RoadCirc, AVERAGE(NatVegPct, BuffLU, NatVegProx, NatCov2mi, ScapeLU, NatVegSize)]</t>
  </si>
  <si>
    <t>AVERAGE [ABpct, AVERAGE(AqCov, WoodHerbMix, HerbDiv, Gcover, WoodDown, Girreg) ]</t>
  </si>
  <si>
    <t>AVERAGE(Interspers, ThruFlo, IsoWet)</t>
  </si>
  <si>
    <t>AVERAGE(Imperv, NatVegPctCU, CUbuffLUtype, Subtypes)</t>
  </si>
  <si>
    <t>AVERAGE [Struc, Productivity, AVERAGE(Hydropd, Connec, Stressors, LScape]</t>
  </si>
  <si>
    <t>AVERAGE(AnadFish, ResFish, Amphib, WbirdF, WbirdNest, SongbMam)</t>
  </si>
  <si>
    <t>AVERAGE(SatPct, Depth, DepthEven, PermWPct, Interspers, ThruFlo)</t>
  </si>
  <si>
    <t>AVERAGE[Beaver, AVERAGE(Wettype, Shade, WoodAbove, ABpct, AqCov) ]</t>
  </si>
  <si>
    <t>AVERAGE(InletOutlet, GroundW, NewWetland, Wettype, Conduc, Karst, Nfix, Lake)</t>
  </si>
  <si>
    <t xml:space="preserve">AVERAGE(Depth, SatPct, MAX(SeasWPct, PermWPct), Lake, Interspers, ThruFlo) </t>
  </si>
  <si>
    <t>AVERAGE(NatVegPctCU, BuffLU, ImpervCA)</t>
  </si>
  <si>
    <t>MIN(Acid, ToxicIn, SedIn, AltTime, ToxData)</t>
  </si>
  <si>
    <t>AVERAGE(SoilTex, NewWet)</t>
  </si>
  <si>
    <t>AVERAGE[(AVERAGE(WoodyTyp, TreeCanop, Groundw), AVERAGE(Warmth, Aspect)]</t>
  </si>
  <si>
    <t>AVERAGE(PondPct, Width, FloDist, Gcover, Thruflo, Interspers, Elev, WetPctCA)</t>
  </si>
  <si>
    <t>AVERAGE(OutDur, Gradient, Constric)</t>
  </si>
  <si>
    <t>AVERAGE(Acid, SoilTex, WetType, NewWetland, AqPlantCov, SoilDisturb)</t>
  </si>
  <si>
    <t>(AVERAGE(SatPct, Persis, SeasPct) + AVERAGE(Fluctu, UpEdgeShape, Inclusions, Girreg))/2</t>
  </si>
  <si>
    <r>
      <t xml:space="preserve">IF((NoOutlet=1), 1, IF((AllSat1=1), (2*Connec + Intercep + FrozDur + Organic + Redox)/6, </t>
    </r>
    <r>
      <rPr>
        <b/>
        <sz val="10"/>
        <rFont val="Arial Narrow"/>
        <family val="2"/>
      </rPr>
      <t>ELSE</t>
    </r>
    <r>
      <rPr>
        <sz val="10"/>
        <rFont val="Arial Narrow"/>
        <family val="2"/>
      </rPr>
      <t>: (3*Redox + 2*Connec + FrozDur + Organic + Intercep)/ 8)))</t>
    </r>
  </si>
  <si>
    <t>AVERAGE(Gradient, FlowDist, AVERAGE(Girreg, Gcover, CApctB))</t>
  </si>
  <si>
    <t>IF(AllSat1=1),"", IF(NoPonded=1),"", AVERAGE (Width, MAX(Thruflo, AqPlantCov, Interspers))</t>
  </si>
  <si>
    <t>AVERAGE(OutDur, Constric, Gradient, FlowDist, Lake)</t>
  </si>
  <si>
    <t>AVERAGE(SoilTex, Stain, CalcFen)</t>
  </si>
  <si>
    <t>IF(AllSat1=1),"", AVERAGE(Fluctua, SeasPct)</t>
  </si>
  <si>
    <t>IF(AllSat1=1),"", AVERAGE(OutDura, FlowDist, Depth, Ponding, Constric, WatEdgeSlope)</t>
  </si>
  <si>
    <t>AVERAGE[Gradient, WetPctCA, AVERAGE(Girreg, Gcover, SoilDisturb)]</t>
  </si>
  <si>
    <t>(IF((AllSat1=1), DryIntercept, IF((NoOutlet=1), 1, (2*AVERAGE(Entrain, LiveStore2) + AVERAGE(DryIntercept, WetIntercept))/3)))</t>
  </si>
  <si>
    <t>IF((AllSat1=1), Gwater, ELSE: AVERAGE(Gwater, Shade, OpenPonded, Depth, ISOdry, SatPct)))</t>
  </si>
  <si>
    <t>IF(Fringe=1), 0, OutDur  X [AVERAGE(ShadeIn, ShedPos, Aspect, Imperv, Warmth) + AnadFish] /2</t>
  </si>
  <si>
    <t>AVERAGE(Groundw, Wettype)</t>
  </si>
  <si>
    <t>AVERAGE(Aspect, Depth, Soil)</t>
  </si>
  <si>
    <t>AVERAGE[ShedPos, AVERAGE(InvScore, AnadScore, ResFishScore)]</t>
  </si>
  <si>
    <r>
      <t xml:space="preserve">IF((AllSat1=1), (3*Gradient +AVERAGE(Gcover, Girreg))/4, </t>
    </r>
    <r>
      <rPr>
        <b/>
        <sz val="10"/>
        <rFont val="Arial Narrow"/>
        <family val="2"/>
      </rPr>
      <t>ELSE</t>
    </r>
    <r>
      <rPr>
        <sz val="10"/>
        <rFont val="Arial Narrow"/>
        <family val="2"/>
      </rPr>
      <t>: AVERAGE(Gradient, Constric, ThruFlo, FloDist, IsoDry)</t>
    </r>
  </si>
  <si>
    <t>IF(AllWet=1), 0, AVERAGE(PollenOnsite, NestSites, Stress)</t>
  </si>
  <si>
    <t>Subsurf</t>
  </si>
  <si>
    <t>ConnectivLF</t>
  </si>
  <si>
    <t>ClimateLF</t>
  </si>
  <si>
    <t>GpC_2</t>
  </si>
  <si>
    <t>LiveStore2</t>
  </si>
  <si>
    <t>DryIntercept</t>
  </si>
  <si>
    <t>WetIntercept</t>
  </si>
  <si>
    <t>FreezeDura3</t>
  </si>
  <si>
    <t>IntercepDry3</t>
  </si>
  <si>
    <t>IntercepWet3</t>
  </si>
  <si>
    <t>Connec3</t>
  </si>
  <si>
    <t>Adsorb3</t>
  </si>
  <si>
    <t>Desorb3</t>
  </si>
  <si>
    <t>FrozDura4</t>
  </si>
  <si>
    <t>Intercep4</t>
  </si>
  <si>
    <t>Connec4</t>
  </si>
  <si>
    <t>Organic4</t>
  </si>
  <si>
    <t>Redox4</t>
  </si>
  <si>
    <t>HistAccum5</t>
  </si>
  <si>
    <t>Productiv</t>
  </si>
  <si>
    <t>PhysAccum5</t>
  </si>
  <si>
    <t>MethLimit5</t>
  </si>
  <si>
    <t>HistAccum6</t>
  </si>
  <si>
    <t>Productiv6</t>
  </si>
  <si>
    <t>FrozDura6</t>
  </si>
  <si>
    <t>PlantCov6</t>
  </si>
  <si>
    <t>NutrAvail6</t>
  </si>
  <si>
    <t>ExportPot6</t>
  </si>
  <si>
    <t>Hydropd9</t>
  </si>
  <si>
    <t>Struc9</t>
  </si>
  <si>
    <t>Produc9</t>
  </si>
  <si>
    <t>Lscape9</t>
  </si>
  <si>
    <t>Stress9</t>
  </si>
  <si>
    <t>Hydro10</t>
  </si>
  <si>
    <t>Struc10</t>
  </si>
  <si>
    <t>Produc10</t>
  </si>
  <si>
    <t>AnoxRisk10</t>
  </si>
  <si>
    <t>Stress10</t>
  </si>
  <si>
    <t>Structure8</t>
  </si>
  <si>
    <t>Hydropd8</t>
  </si>
  <si>
    <t>Connec8</t>
  </si>
  <si>
    <t>Food8</t>
  </si>
  <si>
    <t>Lscape8</t>
  </si>
  <si>
    <t>Stressors8</t>
  </si>
  <si>
    <t>Hydro11</t>
  </si>
  <si>
    <t>AqStruc11</t>
  </si>
  <si>
    <t>TerrStruc11</t>
  </si>
  <si>
    <t>Produc11</t>
  </si>
  <si>
    <t>Lscape11</t>
  </si>
  <si>
    <t>Benefits Score for Amphibian Habitat</t>
  </si>
  <si>
    <t>Stress11</t>
  </si>
  <si>
    <t>Hydro12</t>
  </si>
  <si>
    <t>Struc12</t>
  </si>
  <si>
    <t>Produc12</t>
  </si>
  <si>
    <t>Lscape12</t>
  </si>
  <si>
    <t>Stress12</t>
  </si>
  <si>
    <t>Hydro13</t>
  </si>
  <si>
    <t>Struc13</t>
  </si>
  <si>
    <t>Produc13</t>
  </si>
  <si>
    <t>Wscape</t>
  </si>
  <si>
    <t>Stressors13</t>
  </si>
  <si>
    <t>Lscape13</t>
  </si>
  <si>
    <t>StrucA</t>
  </si>
  <si>
    <t>StrucB</t>
  </si>
  <si>
    <t>Produc</t>
  </si>
  <si>
    <t>Lscape14</t>
  </si>
  <si>
    <t>Wscape14</t>
  </si>
  <si>
    <t>Stress14</t>
  </si>
  <si>
    <t>PollenOn</t>
  </si>
  <si>
    <t>Stress0</t>
  </si>
  <si>
    <t>SppArea</t>
  </si>
  <si>
    <t>Lscape</t>
  </si>
  <si>
    <t>AqFertilPD</t>
  </si>
  <si>
    <t>TerrFertilPD</t>
  </si>
  <si>
    <t>CompetPD</t>
  </si>
  <si>
    <t>StressPD</t>
  </si>
  <si>
    <t>Conven</t>
  </si>
  <si>
    <t>Invest</t>
  </si>
  <si>
    <t>RecPot</t>
  </si>
  <si>
    <t>HydroStress</t>
  </si>
  <si>
    <t>WQstress</t>
  </si>
  <si>
    <t>FragStress</t>
  </si>
  <si>
    <t>DisturbStress</t>
  </si>
  <si>
    <t>ToxicIn11</t>
  </si>
  <si>
    <t>Wetland Functions or Other Attributes:</t>
  </si>
  <si>
    <t>AVERAGE (OutDura, Constric,AqPlantCov, Gradient, IsoWet)</t>
  </si>
  <si>
    <t>AVERAGE(Depth, AVERAGE(Freeze, Warmth, MossCov, WetType)</t>
  </si>
  <si>
    <t>AVERAGE [OutDura, Gradient, FloDist, AVERAGE(Constric, ThruFlo, Interspers, Width, PondedPct)]</t>
  </si>
  <si>
    <t>GDD</t>
  </si>
  <si>
    <t>AVERAGE(Warmth, Groundw)</t>
  </si>
  <si>
    <t>If accessible and otherwise suitable for fish, wetlands closer to the coast are more likely to support  anadromous species due partly to reduced duration of ice cover, shorter instream migration routes, and potentially elevated aquatic productivity.</t>
  </si>
  <si>
    <t>AVERAGE (OutDura, Depth, Warmth)</t>
  </si>
  <si>
    <t>AVERAGE(Core1, Core2, BMP, Toxics)</t>
  </si>
  <si>
    <t>AVERAGE(Wettype, Gradient, Acidity, ShoreSlope, Fish, Island)</t>
  </si>
  <si>
    <t>(AVERAGE(SizeHerbac, Vwidth))*((AVERAGE(Nfix, Inclus, UpEdge, Hardwd)))</t>
  </si>
  <si>
    <t>[PH, POL, SBM, Sens]</t>
  </si>
  <si>
    <t>[AM, WBF, WBN]</t>
  </si>
  <si>
    <t>[FR, PR, PU, WBF, WBN]</t>
  </si>
  <si>
    <t>Nearly all wetlands with surface water have some ponded water. [AM, CS, INV, NR, OE, PR, Sens, SR, WBF, WBN, WC, WS]</t>
  </si>
  <si>
    <t>"Major runoff events" would include biennial high water caused by storms and/or rapid snowmelt. [CS, NR, OE, PR, Sens, SR, STR, WS]</t>
  </si>
  <si>
    <t>If inlet tributaries cannot be searched for due to inaccessibility of part of the AA, follow suggestions in F42 above. [NRv, PH, PRv, SRv]</t>
  </si>
  <si>
    <t>[WCv]</t>
  </si>
  <si>
    <t>This is not the same as the shoreline slope. It is the elevational difference between the AA's inlet and outlet, divided by the flow-distance between them and converted to percent. If available, use a clinometer to measure this. Free clinometer apps can be downloaded to smartphones. If the wetland is large (longer than ~1 km), this may be estimated using Google Earth to determine the minimum and maximum elevation within the AA, then dividing by length and multiplying by 100.  [CS, NR, OE, PR, SR, WBF, WBN, WS]</t>
  </si>
  <si>
    <t>[AM, FA, INV, NRv, PH, POL, SBM, STR, WBN]</t>
  </si>
  <si>
    <t>Determine this using historical aerial photography, old maps, soil maps, or permit files as available [CS, NR, OE, PH, Sens]</t>
  </si>
  <si>
    <t>Look for charred soil or stumps (in multiple widely-spaced locations) or ask landowner. [CS, PH, STR]</t>
  </si>
  <si>
    <t>[PU, STR, WBFv]</t>
  </si>
  <si>
    <t>[PU, STR]</t>
  </si>
  <si>
    <t>[AM, FAv, FRv, PH, PU, SBM, STR, WBF, WBN]</t>
  </si>
  <si>
    <t>[AM, PH, PU, SBM, STR, WBF, WBN]</t>
  </si>
  <si>
    <t>[FAv, FRv, WBFv]</t>
  </si>
  <si>
    <t>[PH, PR]</t>
  </si>
  <si>
    <t>In the last column, place a check mark next to any item -- occurring in either the wetland or its CA -- that is likely to have accelerated the inputs of contaminants or salts to the AA. [AM, FA, PH, POL, STR]</t>
  </si>
  <si>
    <t>In the last column, place a check mark next to any item -- occurring in either the wetland or its CA -- that is likely to have accelerated the inputs of nutrients to the wetland. [NRv, PRv, STR]</t>
  </si>
  <si>
    <t>In the last column, place a check mark next to any item present in the CA that is likely to have elevated the load of waterborne or windborne sediment reaching the wetland from its CA. [FA, FR, INV, PH, SRv, STR]</t>
  </si>
  <si>
    <t>In the last column, place a check mark next to any item present in the wetland that is likely to have compacted, eroded, or otherwise altered the wetland's soil. Consider only items occurring within past 100 years or since wetland was created or restored (whichever is less). [CS, INV, NR, PH, SR, STR]</t>
  </si>
  <si>
    <t>MAX(HerbUniq, WoodyUniq, RareHerb)</t>
  </si>
  <si>
    <t>Amphibian &amp; Turtle Habitat (AM)</t>
  </si>
  <si>
    <t>Amphibian &amp; Turtle Habitat</t>
  </si>
  <si>
    <t>ConsDesig1</t>
  </si>
  <si>
    <t>This reflects more widespread recognition of particular wetlands or their surroundings.</t>
  </si>
  <si>
    <t>MAX(MitigaSite, ConsInvest, ConsDesig, SciUse)</t>
  </si>
  <si>
    <t>GWsens</t>
  </si>
  <si>
    <r>
      <t>Unvegetated uplands provide the least refuge for emerging aquatic insects, and also are most likely to contribute contaminants and disturb runoff patterns. Agricultural land cover seemed less impacting than impervious cover. Most organisms were capable of tolerating high levels of agricultural land cover, but a few disappeared when agricultural land cover exceeded 21% of the watershed area.</t>
    </r>
    <r>
      <rPr>
        <i/>
        <sz val="10"/>
        <rFont val="Arial Narrow"/>
        <family val="2"/>
      </rPr>
      <t xml:space="preserve"> In calculations, is excluded automatically (cell goes blank) if F52 was answered positively.</t>
    </r>
  </si>
  <si>
    <t>B</t>
  </si>
  <si>
    <t>MAX[Aquifer, GWsens, Inflo, MAX(NSource, NsampUp, NsampDown, Nfix), AVERAGE(Imperv, RdDist, PopDist), AVERAGE(CAnatPct, BuffSlope, BuffCovTyp, Transport)]</t>
  </si>
  <si>
    <t>AVERAGE(Feeding Waterbird Habitat score, Fishing, PopDist, DistRd, Core)))</t>
  </si>
  <si>
    <r>
      <t xml:space="preserve">Among woody plants, low shrubs such as blueberry and current tend to be the most common sources of pollen for pollinating insects, and are most dependent on insects for pollination.  </t>
    </r>
    <r>
      <rPr>
        <i/>
        <sz val="10.5"/>
        <rFont val="Arial Narrow"/>
        <family val="2"/>
      </rPr>
      <t>In calculations, the woody plant height and form that is most favoured by pollinators (column E) and is most predominant (column D) is identified automatically and placed on the 0 to 1 scale.</t>
    </r>
  </si>
  <si>
    <t>AVERAGE[persist, AVERAGE(woodydbh, snags, downwood, girreg, cliff, gcover)]</t>
  </si>
  <si>
    <t>Forbs0</t>
  </si>
  <si>
    <t>AVERAGE[MAX(WoodyHtForm, Forbs), AVERAGE(herbsens, herbdiv, ShrubDiv)]</t>
  </si>
  <si>
    <r>
      <t>Dependency of pollinators on a particular herbaceous wetland (and thus its importance) increases if no other herbaceous habitats are available in the vicinity.</t>
    </r>
    <r>
      <rPr>
        <i/>
        <sz val="10"/>
        <rFont val="Arial Narrow"/>
        <family val="2"/>
      </rPr>
      <t xml:space="preserve"> In calculations, the highest score is given for uniqueness judged at the 5 km scale.</t>
    </r>
  </si>
  <si>
    <r>
      <t xml:space="preserve">Dependency of pollinators on a particular wooded wetland (and thus its importance) increases if no other wooded areas are available in the vicinity. </t>
    </r>
    <r>
      <rPr>
        <i/>
        <sz val="10"/>
        <rFont val="Arial Narrow"/>
        <family val="2"/>
      </rPr>
      <t xml:space="preserve"> In calculations, the highest score is given for uniqueness judged at the 5 km scale.</t>
    </r>
  </si>
  <si>
    <r>
      <t xml:space="preserve">Dependency of amphibians on a wetland (and thus its importance) increases if no other natural vegetation of comparable type and extent is available in the vicinity.  </t>
    </r>
    <r>
      <rPr>
        <i/>
        <sz val="10"/>
        <rFont val="Arial Narrow"/>
        <family val="2"/>
      </rPr>
      <t>In calculations, the highest score is given for uniqueness judged at the 5 km scale.</t>
    </r>
  </si>
  <si>
    <r>
      <t>Dependency of waterbirds on a particular herbaceous wetland (and thus its importance) increases if no other herbaceous habitats are available in the vicinity.  I</t>
    </r>
    <r>
      <rPr>
        <i/>
        <sz val="10"/>
        <rFont val="Arial Narrow"/>
        <family val="2"/>
      </rPr>
      <t>n calculations, the highest score is given for uniqueness judged at the 5 km scale.</t>
    </r>
  </si>
  <si>
    <r>
      <t xml:space="preserve">Dependency of waterbirds on a particular herbaceous wetland (and thus its importance) increases if no other herbaceous habitats are available in the vicinity. </t>
    </r>
    <r>
      <rPr>
        <i/>
        <sz val="10.5"/>
        <rFont val="Arial Narrow"/>
        <family val="2"/>
      </rPr>
      <t xml:space="preserve"> In calculations, the highest score is given for uniqueness judged at the 5 km scale.</t>
    </r>
  </si>
  <si>
    <r>
      <t xml:space="preserve">Dependency of songbirds on a particular herbaceous wetland (and thus its importance) increases if no other herbaceous habitats are available in the vicinity. </t>
    </r>
    <r>
      <rPr>
        <i/>
        <sz val="10"/>
        <rFont val="Arial Narrow"/>
        <family val="2"/>
      </rPr>
      <t xml:space="preserve"> In calculations, the highest score is given for uniqueness judged at the 5 km scale.</t>
    </r>
  </si>
  <si>
    <r>
      <t xml:space="preserve">Dependency of songbirds on a particular wooded wetland (and thus its importance) increases if no other wooded areas are available in the vicinity.  </t>
    </r>
    <r>
      <rPr>
        <i/>
        <sz val="10"/>
        <rFont val="Arial Narrow"/>
        <family val="2"/>
      </rPr>
      <t>In calculations, the highest score is given for uniqueness judged at the 5 km scale.</t>
    </r>
  </si>
  <si>
    <r>
      <t xml:space="preserve">Dependency of herbaceous plant species on wetlands increases if no other herbaceous habitats are available in the vicinity.  </t>
    </r>
    <r>
      <rPr>
        <i/>
        <sz val="10"/>
        <rFont val="Arial Narrow"/>
        <family val="2"/>
      </rPr>
      <t>In calculations, the highest score is given for uniqueness judged at the 5 km scale.</t>
    </r>
  </si>
  <si>
    <r>
      <t xml:space="preserve">Dependency of woody plant species on a particular wooded wetland (and thus its importance) increases if no other wooded areas are available in the vicinity.  </t>
    </r>
    <r>
      <rPr>
        <i/>
        <sz val="10"/>
        <rFont val="Arial Narrow"/>
        <family val="2"/>
      </rPr>
      <t>In calculations, the highest score is given for uniqueness judged at the 5 km scale.</t>
    </r>
  </si>
  <si>
    <r>
      <t xml:space="preserve">Many wetland invertebrates reach their greatest density in ponded areas. That is partly because the isolation protects them from predation by fish that normally inhabit the channels (Hornung &amp; Foote 2006). Flowing water in channels favours different invertebrate assemblages, which when combined with the contribution of pools, adds to the overall diversity of the wetland. </t>
    </r>
    <r>
      <rPr>
        <i/>
        <sz val="10"/>
        <rFont val="Arial Narrow"/>
        <family val="2"/>
      </rPr>
      <t xml:space="preserve">In calculations, is excluded automatically (cell goes blank) if wetland never has surface water during an average year. </t>
    </r>
  </si>
  <si>
    <t>Because amphibians and reptiles do not physiologically regulate their body temperatures and some are at the northern limit of their range in this region, it can be assumed that they may favour warmer microhabitats overall. Wetlands fed by water from south-facing slopes would be expected to be warmer, but the possible effect on amphibians has not been widely tested.</t>
  </si>
  <si>
    <r>
      <t>Unshaded open water areas potentially provide warmer conditions favoured by many amphibians, while nearby areas with cover provide protection from predators.</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</si>
  <si>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r>
      <t xml:space="preserve">Wetlands with substantial groundwater inputs tend to have more stable and reliable water levels, thus increasing the likelihood of amphibians breeding successfully. Also, winter water temperatures are warmer than most receiving surface waters. However, the cooler temperatures in summer associated with groundwater input may be less favourable to development of some amphibians. </t>
    </r>
    <r>
      <rPr>
        <i/>
        <sz val="10"/>
        <rFont val="Arial Narrow"/>
        <family val="2"/>
      </rPr>
      <t>In calculations, is excluded automatically (cell goes blank) if no evidence of groundwater influx. Otherwise is rated based on response in column D.</t>
    </r>
  </si>
  <si>
    <t>Wetlands with maritime climate are more likely to have conditions favourable to feeding and wintering waterbirds in this region. Many migratory waterbirds in the Maritimes follow a coastal route.  Some non-tidal marshes (such as many dyked fields) that are within a few kilometers of tidal mudflats support large numbers of roosting migratory shorebirds.</t>
  </si>
  <si>
    <t>Wetland value is considered greater if it is part of an area recognised officially as being of outstanding importance to waterbirds. Such areas have been chosen through a systematic selection process by biologists and birders in this region and elsewhere.</t>
  </si>
  <si>
    <t>The total proportion of the land that is natural land cover, as well as its proximity, can affect songbird and mammal richness in wetlands. Wetlands that contain or are close to natural land cover, and not separated from that by roads that interfere with movements across the landscape, are more likely to support forest-dwelling species (Betts et al. 2007). In Ohio, migrant songbirds had the strongest positive correlation with natural land cover near streams when it was measured within ~250 m of streams, rather than in areas closer or farther. Some migrant songbirds were much less likely to occur where there were many buildings within that distance of streams (Pennington 2008). However, one study found that migrant bird abundance was statistically unrelated to either percent urbanised land or percent forest cover within 1 km.</t>
  </si>
  <si>
    <t>Negative consequences of drought are greatest in peatlands, where large stores of organic matter in soils can be volatilised. Being groundwater dependent, fens are also sensitive to water table changes. Mosses and woody vegetation (shrub and forested wetlands) require many years to fully re-establish if removed or killed, i.e., resilience is less than for herbaceous vegetation. As compared with wooded wetlands, moss wetlands and seasonal marshes receive more off-road vehicle traffic with consequent degradation of soil and vegetation (Loomis &amp; Lieberman 2006). Floodplain wetlands and marshes tend to be better buffered chemically than fens and especially bogs (Wood &amp; Rubec 1989, Wisheu &amp; Keddy 1994). Marshes tend to be more resilient partly because of their relatively high nutrient levels.  Fens in some regions tend to be less sensitive to invasion by non-native plants (Magee &amp; Kentula 2005), especially when shaded by a forest canopy. However, they are often highly sensitive to alteration of local water tables (Fitzgerald et al. 2003).</t>
  </si>
  <si>
    <t xml:space="preserve">Fences, observation blinds, platforms, paved trails, exclusion periods, and/or well-enforced prohibitions on motorised boats, off-leash pets, and off road vehicles appear to effectively exclude or divert visitors and their pets from the AA at critical times in order to minimize disturbance of wildlife (except during hunting seasons). Enter "1" if true. </t>
  </si>
  <si>
    <t>Shade from vegetation and other features is an important factor in cooling surface water and runoff before it reaches water bodies farther downstream (e.g., Rounds 2007). A study of many Seattle-area wetlands found that summertime temperatures ranged higher in wetlands that were characterised by relatively large open pools that lacked shade (Reinelt &amp; Horner 1990). In calculations, is excluded automatically (cell goes blank) if wetland never has surface water during an average year or if water is present only seasonally.</t>
  </si>
  <si>
    <t>Like a constricted outlet, vegetation and other obstacles create a "roughness" within a wetland that can slow the water and allow sediment particles to be deposited. This is much truer if the vegetation intercepts a large proportion of the flow during high-flow periods (i.e., is not merely along an upland edge that never floods). Although tall and stiff vegetation provides the most resistance and thus sedimentation, it often tends to have less ground cover, so the net effect is uncertain in some wetlands. Water takes longer to move through complex channel networks (e.g., braided or sinuous) which themselves provide additional friction, thus allowing more suspended sediment to be deposited. The sinuosity is as much the result of sedimentation-erosion dynamics as it is the cause of them. Wetlands with a sheet flow pattern often retain more suspended solids than channelised systems because interception and resistance is greater (Morris et al. 1981). In calculations, is excluded automatically (cell goes blank) if wetland never has surface water during an average year or if no surface inflows.</t>
  </si>
  <si>
    <t>Estimate the diameters at chest height.  If small-diameter trees are overtopped (shaded) by larger ones, visualise a "subcanopy" at the average height of the smaller-dbh trees, to serve as a basis for the minimum 5% canopy requirement in this question. The trees and shrubs need not be wetland species.  [AM, CS, POL, SBM, Sens, WBN]</t>
  </si>
  <si>
    <t>Water Cooling (WC)</t>
  </si>
  <si>
    <t>Sediment Retention &amp; Stabilisation (SR)</t>
  </si>
  <si>
    <t>Resident Fish Habitat (FR)</t>
  </si>
  <si>
    <t>The effectiveness for intercepting and filtering suspended inorganic sediments, thus allowing their deposition, as well as reducing energy of waves and currents, resisting excessive erosion, and stabilising underlying sediments or soil.</t>
  </si>
  <si>
    <t>If a plant cannot be identified to species (e.g., winter conditions) but its genus contains an exotic species, assume the unidentified plant to also be exotic. If vegetation is so senesced that exotic species cannot be identified, answer "none". [PH, STR]</t>
  </si>
  <si>
    <t>Site Name:</t>
  </si>
  <si>
    <t>Investigator Name:</t>
  </si>
  <si>
    <t>Date of Field Assessment:</t>
  </si>
  <si>
    <t>Nearest Town:</t>
  </si>
  <si>
    <t>Latitude (decimal degrees):</t>
  </si>
  <si>
    <t>Longitude (decimal degrees):</t>
  </si>
  <si>
    <t>AA as percent of entire wetland (approx.).  Attach sketch map if AA is smaller than the entire contiguous wetland.</t>
  </si>
  <si>
    <r>
      <t xml:space="preserve">What percent (approx.) of the </t>
    </r>
    <r>
      <rPr>
        <b/>
        <sz val="11"/>
        <rFont val="Arial"/>
        <family val="2"/>
      </rPr>
      <t>wetland</t>
    </r>
    <r>
      <rPr>
        <sz val="11"/>
        <rFont val="Arial"/>
        <family val="2"/>
      </rPr>
      <t xml:space="preserve"> were you </t>
    </r>
    <r>
      <rPr>
        <sz val="11"/>
        <rFont val="Arial"/>
        <family val="2"/>
      </rPr>
      <t>able to visit?</t>
    </r>
  </si>
  <si>
    <r>
      <t xml:space="preserve">What percent (approx.) of the </t>
    </r>
    <r>
      <rPr>
        <b/>
        <sz val="11"/>
        <rFont val="Arial"/>
        <family val="2"/>
      </rPr>
      <t xml:space="preserve">AA </t>
    </r>
    <r>
      <rPr>
        <sz val="11"/>
        <rFont val="Arial"/>
        <family val="2"/>
      </rPr>
      <t>were you able to visit?</t>
    </r>
  </si>
  <si>
    <t>Have you attended a WESP-AC training session?  If so, indicate approximate month &amp; year.</t>
  </si>
  <si>
    <t>How many wetlands have you assessed previously using WESP-AC? (approx.)</t>
  </si>
  <si>
    <t>Comments about the site or this WESP-AC assessment (attach extra page if desired):</t>
  </si>
  <si>
    <t>WETLAND CONDITION (EC)</t>
  </si>
  <si>
    <t>Function Rating</t>
  </si>
  <si>
    <t>Benefits Rating</t>
  </si>
  <si>
    <t>EC</t>
  </si>
  <si>
    <t xml:space="preserve">The effectiveness for producing and subsequently exporting organic nutrients, either particulate or dissolved, along with associated compounds and elements such as iron.
</t>
  </si>
  <si>
    <r>
      <t xml:space="preserve">IF((Access=0),0,
IF((AllSat1=0),0, </t>
    </r>
    <r>
      <rPr>
        <b/>
        <sz val="10"/>
        <rFont val="Arial Narrow"/>
        <family val="2"/>
      </rPr>
      <t>ELSE:</t>
    </r>
    <r>
      <rPr>
        <sz val="10"/>
        <rFont val="Arial Narrow"/>
        <family val="2"/>
      </rPr>
      <t xml:space="preserve">
(AVERAGE(Access, OutDura)) X (AVERAGE(HydroRegime, Structure, Productivity, LScape, Stress))
</t>
    </r>
  </si>
  <si>
    <t>Local Vegetated Cover Percentage</t>
  </si>
  <si>
    <t>TRANSITION HABITAT Group (max+avg/2 of SBM, PH, POL)</t>
  </si>
  <si>
    <t>WATER QUALITY SUPPORT Group (max+avg/2 of SR, PR, NR, CS)</t>
  </si>
  <si>
    <t>Follow the key below and mark the ONE row that best describes MOST of the AA:</t>
  </si>
  <si>
    <r>
      <rPr>
        <b/>
        <sz val="10"/>
        <rFont val="Arial Narrow"/>
        <family val="2"/>
      </rPr>
      <t>B</t>
    </r>
    <r>
      <rPr>
        <sz val="10"/>
        <rFont val="Arial Narrow"/>
        <family val="2"/>
      </rPr>
      <t xml:space="preserve">. Moss and/or lichen cover </t>
    </r>
    <r>
      <rPr>
        <b/>
        <sz val="10"/>
        <rFont val="Arial Narrow"/>
        <family val="2"/>
      </rPr>
      <t>less than 25%</t>
    </r>
    <r>
      <rPr>
        <sz val="10"/>
        <rFont val="Arial Narrow"/>
        <family val="2"/>
      </rPr>
      <t xml:space="preserve"> of the ground. Soil is mineral or decomposed organic (muck). Choose between B1 and B2 and mark the choice with a 1 in their adjoining column:</t>
    </r>
  </si>
  <si>
    <t>Follow the key below and mark the ONE row that best describes MOST of the vegetated part of the AA:</t>
  </si>
  <si>
    <t>Bogs have the deepest peat layers and thus more stored carbon than more fertile wetlands (fens) (Glenn et al. 2006). Methane emissions tend to be greater from fens, marshes, and other wetlands with water table near the ground surface for long periods (Liblik et al. 1997). Swamp soils may have greater releases of methane due to their greater diurnal fluctuations in water tables resulting from tree evapotranspiration. Methane emissions may be especially large from wetlands with emergent sedges (a common feature of fens) because they facilitate translocation of methane from sediments to the air (Hines et al. 2008).</t>
  </si>
  <si>
    <t>Many invertebrate groups (e.g., snails, isopods, lumbricid worms) cannot tolerate acidic conditions of bogs, and invertebrate richness generally tends to be greater in persistently inundated fens than in less persistently inundated marshes with more mineral soils (Holmquist et al. 2011). Marshes along lakes and rivers tend to have water longer into the growing season than other marshes and can support high abundance and diversity of invertebrates. One study reported that bogs and fens did not differ significantly with regard to invertebrate faunas. Dragonflies seemed to respond to the habitat's form and structure more than to its acidity or nutrient levels (Cannings &amp; Cannings 1994)</t>
  </si>
  <si>
    <t>Marshes and fens are most likely to provide favored breeding habitat (e.g., Houlahan &amp; Findlay 2003) andt many swamps contain important vernal breeding pools as well as providing excellent cover for dispersing adults.  Some swamps in floodplains, however, have water levels that are too dynamic to support breeding by some amphibian speces.</t>
  </si>
  <si>
    <t>Most feeding waterbirds are naturally drawn to more productive wetlands, which tend to be marshes, especially those along rivers and lakes (Thormann &amp; Bayley 1997, Epners et al. 2010).  A lack of surface water in bogs and swamps makes them less suitable for most waterbirds.</t>
  </si>
  <si>
    <t>Waterbirds (e.g., black duck, Staicer et al. 1994) raise young most successfully in more productive wetlands, which tend to be marshes along rivers and lakes. However, many fens that contain ponded open water also are heavily used by some nesting waterbird species.</t>
  </si>
  <si>
    <t>AVERAGE (Nfix, SoilTex, Karst, GDD)</t>
  </si>
  <si>
    <r>
      <rPr>
        <b/>
        <sz val="10"/>
        <rFont val="Arial Narrow"/>
        <family val="2"/>
      </rPr>
      <t>A1</t>
    </r>
    <r>
      <rPr>
        <sz val="10"/>
        <rFont val="Arial Narrow"/>
        <family val="2"/>
      </rPr>
      <t>. The two height classes are mostly scattered and intermixed throughout the AA.</t>
    </r>
  </si>
  <si>
    <r>
      <rPr>
        <b/>
        <sz val="10"/>
        <rFont val="Arial Narrow"/>
        <family val="2"/>
      </rPr>
      <t>A2.</t>
    </r>
    <r>
      <rPr>
        <sz val="10"/>
        <rFont val="Arial Narrow"/>
        <family val="2"/>
      </rPr>
      <t xml:space="preserve"> Not A1.  The two height classes are mostly in separate zones or bands, or in proportionately large clumps.</t>
    </r>
  </si>
  <si>
    <r>
      <rPr>
        <b/>
        <sz val="10"/>
        <rFont val="Arial Narrow"/>
        <family val="2"/>
      </rPr>
      <t>B.</t>
    </r>
    <r>
      <rPr>
        <sz val="10"/>
        <rFont val="Arial Narrow"/>
        <family val="2"/>
      </rPr>
      <t xml:space="preserve"> Either the vegetation shorter than 1 m comprises</t>
    </r>
    <r>
      <rPr>
        <b/>
        <sz val="10"/>
        <rFont val="Arial Narrow"/>
        <family val="2"/>
      </rPr>
      <t xml:space="preserve"> &gt;70% </t>
    </r>
    <r>
      <rPr>
        <sz val="10"/>
        <rFont val="Arial Narrow"/>
        <family val="2"/>
      </rPr>
      <t>of the vegetated part of the AA, or the vegetation taller than that does.  One size class might even be totally absent.  Choose between B1 and B2 and mark the choice with a 1 in the adjoining column:</t>
    </r>
  </si>
  <si>
    <r>
      <rPr>
        <b/>
        <sz val="10"/>
        <rFont val="Arial Narrow"/>
        <family val="2"/>
      </rPr>
      <t>B1</t>
    </r>
    <r>
      <rPr>
        <sz val="10"/>
        <rFont val="Arial Narrow"/>
        <family val="2"/>
      </rPr>
      <t>. The less prevalent height class is mostly scattered and intermixed within the prevalent one.</t>
    </r>
  </si>
  <si>
    <r>
      <rPr>
        <b/>
        <sz val="10"/>
        <rFont val="Arial Narrow"/>
        <family val="2"/>
      </rPr>
      <t>B2.</t>
    </r>
    <r>
      <rPr>
        <sz val="10"/>
        <rFont val="Arial Narrow"/>
        <family val="2"/>
      </rPr>
      <t xml:space="preserve"> Not B1.  The less prevalent height class is mostly located apart from the prevalent one, in separate zones or clumps, or is completely absent.</t>
    </r>
  </si>
  <si>
    <t xml:space="preserve"> [AM, INV, NR, PH, SBM, Sens]</t>
  </si>
  <si>
    <r>
      <t xml:space="preserve">During most of the part of the growing season when water is present, the percentage of the AA's </t>
    </r>
    <r>
      <rPr>
        <b/>
        <sz val="10"/>
        <rFont val="Arial Narrow"/>
        <family val="2"/>
      </rPr>
      <t>water edge</t>
    </r>
    <r>
      <rPr>
        <sz val="10"/>
        <rFont val="Arial Narrow"/>
        <family val="2"/>
      </rPr>
      <t xml:space="preserve"> length that is </t>
    </r>
    <r>
      <rPr>
        <b/>
        <sz val="10"/>
        <rFont val="Arial Narrow"/>
        <family val="2"/>
      </rPr>
      <t>nearly flat</t>
    </r>
    <r>
      <rPr>
        <sz val="10"/>
        <rFont val="Arial Narrow"/>
        <family val="2"/>
      </rPr>
      <t xml:space="preserve"> (a slope less than about 5% measured within 5 m landward of the water) is:</t>
    </r>
  </si>
  <si>
    <r>
      <rPr>
        <b/>
        <sz val="10"/>
        <rFont val="Arial Narrow"/>
        <family val="2"/>
      </rPr>
      <t xml:space="preserve">Emergent vegetation </t>
    </r>
    <r>
      <rPr>
        <sz val="10"/>
        <rFont val="Arial Narrow"/>
        <family val="2"/>
      </rPr>
      <t>is herbaceous plants whose stems are partly above and partly below the water surface during most of the time water is present. [WBN]</t>
    </r>
  </si>
  <si>
    <t>Interspersion of Emergents &amp; Open Water</t>
  </si>
  <si>
    <r>
      <t xml:space="preserve">During most of the growing season and in waters deeper than 0.5 m, the cover for fish, aquatic invertebrates, and/or amphibians that is provided NOT by living vegetation, but by accumulations of </t>
    </r>
    <r>
      <rPr>
        <b/>
        <sz val="10"/>
        <rFont val="Arial Narrow"/>
        <family val="2"/>
      </rPr>
      <t>dead wood and undercut banks</t>
    </r>
    <r>
      <rPr>
        <sz val="10"/>
        <rFont val="Arial Narrow"/>
        <family val="2"/>
      </rPr>
      <t xml:space="preserve"> is:</t>
    </r>
  </si>
  <si>
    <r>
      <t xml:space="preserve">The AA contains (or is part of) an island or beaver lodge within a lake, pond, or river, and is isolated from the shore </t>
    </r>
    <r>
      <rPr>
        <b/>
        <sz val="10"/>
        <rFont val="Arial Narrow"/>
        <family val="2"/>
      </rPr>
      <t>by water depths &gt;1 m</t>
    </r>
    <r>
      <rPr>
        <sz val="10"/>
        <rFont val="Arial Narrow"/>
        <family val="2"/>
      </rPr>
      <t xml:space="preserve"> on all sides during an average June. The island may be solid, or it may be a floating vegetation mat that is sufficiently large and dense to support a waterbird nest.</t>
    </r>
  </si>
  <si>
    <t>New or Expanded Wetland</t>
  </si>
  <si>
    <t>AVERAGE(SoilDisturb, MossCov, Wettype, Burn, SoilTex, AVERAGE(Warmth, DecidPct, DecidTree, Width, NewWetland))</t>
  </si>
  <si>
    <t>AVERAGE [MAX(CalcFen, Conduc, Acidic), Inflow, AVERAGE (Interspers, Fluc, SeasWpct, Groundw, Depth)]</t>
  </si>
  <si>
    <t xml:space="preserve"> [AM, FA, FR, INV, NRv, PH, POL, PRv, SBM, Sens, SRv, STR, WBN]</t>
  </si>
  <si>
    <t>Were you able to ask the site owner/manager about any of the questions?</t>
  </si>
  <si>
    <t>Is a map based on a formal on-site wetland delineation available?</t>
  </si>
  <si>
    <t>Province</t>
  </si>
  <si>
    <t>See above for measurement guidance. [FR, INV, NRv, PH, PRv, Sens]</t>
  </si>
  <si>
    <t>coniferous or ericaceous shrubs or trees 1-3 m tall not directly below the canopy of trees.</t>
  </si>
  <si>
    <t>deciduous shrubs or trees 1-3 m tall not directly below the canopy of trees.</t>
  </si>
  <si>
    <t>coniferous or ericaceous shrubs &lt;1 m tall not directly below the canopy of taller vegetation.</t>
  </si>
  <si>
    <t>1-25% of the vegetated cover, in the AA or along its water edge (whichever has more).</t>
  </si>
  <si>
    <t>25-50% of the vegetated cover, in the AA or along its water edge (whichever has more).</t>
  </si>
  <si>
    <t>50-75% of the vegetated cover, in the AA or along its water edge (whichever has more).</t>
  </si>
  <si>
    <t>&gt;75% of the vegetated cover, in the AA or along its water edge (whichever has more).</t>
  </si>
  <si>
    <r>
      <t>The number of large snags (</t>
    </r>
    <r>
      <rPr>
        <b/>
        <sz val="10"/>
        <rFont val="Arial Narrow"/>
        <family val="2"/>
      </rPr>
      <t>diameter &gt;20 cm</t>
    </r>
    <r>
      <rPr>
        <sz val="10"/>
        <rFont val="Arial Narrow"/>
        <family val="2"/>
      </rPr>
      <t>) in the AA plus adjacent upland area within 10 m of the wetland edge is:</t>
    </r>
  </si>
  <si>
    <r>
      <t xml:space="preserve">The cover of </t>
    </r>
    <r>
      <rPr>
        <b/>
        <sz val="10"/>
        <rFont val="Arial Narrow"/>
        <family val="2"/>
      </rPr>
      <t>Sphagnum</t>
    </r>
    <r>
      <rPr>
        <sz val="10"/>
        <rFont val="Arial Narrow"/>
        <family val="2"/>
      </rPr>
      <t xml:space="preserve"> moss (or any moss that forms a dense cushion many centimeters thick), including the moss obscured by taller sedges and other plants rooted in it, is:</t>
    </r>
  </si>
  <si>
    <t>Few or none (minimal microtopography; &lt;1% of the land has such features, or entire AA is always water-covered).</t>
  </si>
  <si>
    <t>Invasive Plant Cover</t>
  </si>
  <si>
    <t>invasive species are present in more than trace amounts, but comprise &lt;5% of herbaceous cover (or woody cover, if the invasives are woody).</t>
  </si>
  <si>
    <t>invasive species comprise 5-20% of the herb cover (or woody cover, if the invasives are woody).</t>
  </si>
  <si>
    <t>invasive species comprise 20-50% of the herb cover  (or woody cover, if the invasives are woody).</t>
  </si>
  <si>
    <t>invasive species comprise &gt;50% of the herb cover  (or woody cover, if the invasives are woody).</t>
  </si>
  <si>
    <t>invasive species appear to be absent in the AA, or are present only in trace amount (a few individuals).</t>
  </si>
  <si>
    <t>How extensive is the cover of invasive plant species in the AA?  For species, see Plants_invasive worksheet in the accompanying SuppInfo file.</t>
  </si>
  <si>
    <t>Invasive Cover Along Upland Edge</t>
  </si>
  <si>
    <t xml:space="preserve">Springs are known to be present within the AA, or if groundwater levels have been monitored, that has demonstrated that groundwater primarily discharges to the wetland for longer periods during the year than periods when the wetland recharges the groundwater. 
</t>
  </si>
  <si>
    <t>50-95%, with or without inhabited building nearby.</t>
  </si>
  <si>
    <t>&gt;95% of the AA with or without inhabited building nearby.</t>
  </si>
  <si>
    <t>Wetland as a % of Its Contributing Area (Catchment)</t>
  </si>
  <si>
    <t>&lt;0.01, or catchment size unknown due to stormwater pipes that collect water from an indeterminate area.</t>
  </si>
  <si>
    <t>Tall robust vegetation provides better nesting cover than does shorter vegetation.</t>
  </si>
  <si>
    <t>EmRobust13</t>
  </si>
  <si>
    <t>AVERAGE(AltTime, SedCA, SoilDisturb)</t>
  </si>
  <si>
    <t>The AA has no upland edge (or upland is &lt;1% of perimeter). The AA is entirely surrounded by (&amp; contiguous with) other wetlands or water.</t>
  </si>
  <si>
    <t xml:space="preserve">Nitrate Removal &amp; Retention </t>
  </si>
  <si>
    <t>Public Use &amp; Recognition</t>
  </si>
  <si>
    <t>Aberrant Timing of Water Inputs</t>
  </si>
  <si>
    <t>AVERAGE(AltTiming, Constricted)</t>
  </si>
  <si>
    <t>AVERAGE(WoodHerbMix, WoodDown, ShrubSun, Gcover, Girreg, Inclus, WetTypeDiv)</t>
  </si>
  <si>
    <t xml:space="preserve">Larger wetlands in this region are used disproportionately by nesting waterbirds (Gibbs et al. 1991, Stevens et al. 2003). Smaller identical wetlands of equal cumulative area probably support lower numbers and cumulative richness of feeding waterbirds, unless they are close together in a complex. Larger areas also are preferred by many waterbird species as roosting or molting sites, because they provide greater buffer against predators. Larger wetlands also are more likely to have productive fish populations, and may be sufficiently long for some waterbird species (e.g., cormorants, loons) that require lengthy areas when taking flight. </t>
  </si>
  <si>
    <t xml:space="preserve">Road corridors are often followed by ravens and mammals that prey on waterbird eggs and young, and fledglings are vulnerable to collisions with vehicles. </t>
  </si>
  <si>
    <r>
      <t>Wetlands fed constantly by groundwater are likely to have only limited subsurface storage space for storing additional precipitation. However, they may remain unfrozen for longer periods.</t>
    </r>
    <r>
      <rPr>
        <i/>
        <sz val="10"/>
        <rFont val="Arial Narrow"/>
        <family val="2"/>
      </rPr>
      <t xml:space="preserve"> In calculations, is excluded automatically (cell goes blank) if no strong evidence of groundwater (last choice).</t>
    </r>
  </si>
  <si>
    <t>Water Storage &amp; Delay</t>
  </si>
  <si>
    <t>Sediment deposition increases as the ratio of the volume of a storage basin (e.g., wetland) to the volume of runoff entering the basin from its contributing area increases (Heinemann 1981).  Here, wetland area is used as a surrogate for wetland volume.</t>
  </si>
  <si>
    <r>
      <t xml:space="preserve">As a wetland's surface water area expands seasonally, water velocity is often reduced due to increased friction, and material suspended in the expanding water body is more likely to be deposited. </t>
    </r>
    <r>
      <rPr>
        <i/>
        <sz val="10"/>
        <rFont val="Arial Narrow"/>
        <family val="2"/>
      </rPr>
      <t xml:space="preserve">In calculations, is excluded automatically (cell goes blank) if wetland never has surface water during an average year. </t>
    </r>
  </si>
  <si>
    <r>
      <t xml:space="preserve">Fixed carbon tends to cycle more rapidly in deciduous plant litter, thus supporting less sequestration. </t>
    </r>
    <r>
      <rPr>
        <i/>
        <sz val="10"/>
        <rFont val="Arial Narrow"/>
        <family val="2"/>
      </rPr>
      <t>In calculations, is excluded automatically (cell goes blank) if woody vegetation is absent. Otherwise, score is the reciprocal of the maximum deciduous cover among the 3 height classes, adjusted to a 0-1 scale.</t>
    </r>
  </si>
  <si>
    <r>
      <t xml:space="preserve">On a per-surface-area basis, deciduous trees and shrubs often support higher levels of insect biomass than conifers, at least among nocturnal flying insects (Ober and Hayes 2008). </t>
    </r>
    <r>
      <rPr>
        <i/>
        <sz val="10"/>
        <rFont val="Arial Narrow"/>
        <family val="2"/>
      </rPr>
      <t>In calculations, is excluded automatically (cell goes blank) if few or no trees in the wetland. Score is based on the maximum cover of any of the 3 woody deciduous height classes, adjusted to the 0-1 scale.</t>
    </r>
  </si>
  <si>
    <t>Wetland Sensitivity</t>
  </si>
  <si>
    <t>Indicate here if you intentionally surveyed for rare plants, calciphile plants, or rare animals:</t>
  </si>
  <si>
    <t>OF20</t>
  </si>
  <si>
    <t>Although not applicable to all nesting waterbird species in this region, the models that predict suitable nesting habitat for black duck are likely to identify and map areas suitable for many. Black duck is a species that has declined in much of its historical range.</t>
  </si>
  <si>
    <t xml:space="preserve">Cliffs or Steep Banks </t>
  </si>
  <si>
    <r>
      <t xml:space="preserve">those species together do </t>
    </r>
    <r>
      <rPr>
        <b/>
        <sz val="10"/>
        <rFont val="Arial Narrow"/>
        <family val="2"/>
      </rPr>
      <t xml:space="preserve">not </t>
    </r>
    <r>
      <rPr>
        <sz val="10"/>
        <rFont val="Arial Narrow"/>
        <family val="2"/>
      </rPr>
      <t>comprise &gt; 50% of such cover.</t>
    </r>
  </si>
  <si>
    <r>
      <t xml:space="preserve">those species together comprise </t>
    </r>
    <r>
      <rPr>
        <b/>
        <sz val="10"/>
        <rFont val="Arial Narrow"/>
        <family val="2"/>
      </rPr>
      <t>&gt; 50%</t>
    </r>
    <r>
      <rPr>
        <sz val="10"/>
        <rFont val="Arial Narrow"/>
        <family val="2"/>
      </rPr>
      <t xml:space="preserve"> of such cover.</t>
    </r>
  </si>
  <si>
    <r>
      <t xml:space="preserve">If the deepest patch of surface water (flowing or ponded) in or directly adjacent to the AA is mostly deeper than 0.5 m for &gt;2 weeks during the growing season, enter "1" and continue. If not, enter "0" and </t>
    </r>
    <r>
      <rPr>
        <b/>
        <sz val="10"/>
        <rFont val="Arial Narrow"/>
        <family val="2"/>
      </rPr>
      <t>SKIP to F42</t>
    </r>
    <r>
      <rPr>
        <sz val="10"/>
        <rFont val="Arial Narrow"/>
        <family val="2"/>
      </rPr>
      <t>.(Connection).</t>
    </r>
  </si>
  <si>
    <t>DeepPersis</t>
  </si>
  <si>
    <r>
      <t>Within a zone extending 30 m laterally from the AA's edge with upland and/or other wetlands, the percentage that contains</t>
    </r>
    <r>
      <rPr>
        <b/>
        <sz val="10"/>
        <rFont val="Arial Narrow"/>
        <family val="2"/>
      </rPr>
      <t xml:space="preserve"> perennial vegetation cover </t>
    </r>
    <r>
      <rPr>
        <sz val="10"/>
        <rFont val="Arial Narrow"/>
        <family val="2"/>
      </rPr>
      <t>(except lawns, row crops, heavily grazed land, conifer plantations) is:</t>
    </r>
  </si>
  <si>
    <t>AVERAGE(MossCov, Sedge, SeasPct, Fluctu, Groundw, TreeForm, PermWpct)</t>
  </si>
  <si>
    <t>MAX(ToxData, ToxUp, AVERAGE(Inflo, SatPct, AVERAGE(ImpervPctSS, ErodibleSS, CAnatPct, BuffSlope, CApct, TransportSS, MaxFluc)</t>
  </si>
  <si>
    <t>[MAX(Pload, PsampUp, PsampDown, AVERAGE((Inflo, AVERAGE(BuffSlope, CApct, Transport, Groundw, ImpervCA, NatCApct))</t>
  </si>
  <si>
    <t xml:space="preserve">Score for Wetland Ecological Condition (Integrity)  </t>
  </si>
  <si>
    <t>CApct1</t>
  </si>
  <si>
    <t>Aspect1</t>
  </si>
  <si>
    <t>Girreg1</t>
  </si>
  <si>
    <t>WBN</t>
  </si>
  <si>
    <r>
      <rPr>
        <b/>
        <sz val="10"/>
        <rFont val="Arial Narrow"/>
        <family val="2"/>
      </rPr>
      <t>B1.</t>
    </r>
    <r>
      <rPr>
        <sz val="10"/>
        <rFont val="Arial Narrow"/>
        <family val="2"/>
      </rPr>
      <t xml:space="preserve"> Trees and shrubs taller than 1 m comprise </t>
    </r>
    <r>
      <rPr>
        <b/>
        <sz val="10"/>
        <rFont val="Arial Narrow"/>
        <family val="2"/>
      </rPr>
      <t>more than</t>
    </r>
    <r>
      <rPr>
        <sz val="10"/>
        <rFont val="Arial Narrow"/>
        <family val="2"/>
      </rPr>
      <t xml:space="preserve"> 25% of the vegetated cover. Surface water is mostly absent or inundates the vegetation only seasonally (e.g., vernal pools or floodplain).</t>
    </r>
  </si>
  <si>
    <r>
      <rPr>
        <b/>
        <sz val="10"/>
        <rFont val="Arial Narrow"/>
        <family val="2"/>
      </rPr>
      <t xml:space="preserve">B2. </t>
    </r>
    <r>
      <rPr>
        <sz val="10"/>
        <rFont val="Arial Narrow"/>
        <family val="2"/>
      </rPr>
      <t xml:space="preserve">Not B1.  Tree &amp; tall shrubs comprise </t>
    </r>
    <r>
      <rPr>
        <b/>
        <sz val="10"/>
        <rFont val="Arial Narrow"/>
        <family val="2"/>
      </rPr>
      <t>less than</t>
    </r>
    <r>
      <rPr>
        <sz val="10"/>
        <rFont val="Arial Narrow"/>
        <family val="2"/>
      </rPr>
      <t xml:space="preserve"> than 25% of the vegetated cover.  Vegetation is mostly herbaceous, e.g., cattail, bulrush, burreed, pond lily, horsetail. Surface water may be extensive and fluctuates seasonally, being either persistent or drying up partly or entirely.</t>
    </r>
  </si>
  <si>
    <t>Dependency of amphibians on a wetland (and thus its importance) increases if no other wetlands or ponds are in the vicinity.</t>
  </si>
  <si>
    <t>DistPond10</t>
  </si>
  <si>
    <t>IF((RareHerp=1),1, ELSE:  AVERAGE(WBFscore, MAX(HerbUniq, WoodyUniq, DistPond), SBMscore)</t>
  </si>
  <si>
    <t>DistPond12</t>
  </si>
  <si>
    <t xml:space="preserve">Dependency of waterbirds on a particular wetland (and thus its importance) increases if no other wetlands or ponds are available in the vicinity. </t>
  </si>
  <si>
    <t>AVERAGE[Interspers, AVERAGE(ABpct, EmPct), AreaTotal]</t>
  </si>
  <si>
    <t>DistPond13</t>
  </si>
  <si>
    <t xml:space="preserve">Dependency of nesting waterbirds on a particular wetland (and thus its importance) increases if no other wetlands or ponds are available in the vicinity. </t>
  </si>
  <si>
    <t>AVERAGE[(Interspers, AVERAGE(EmPct, EmRobust, SizeHerbac, Vwidth, AqPlantCov, Snags)]</t>
  </si>
  <si>
    <t>DistPond14</t>
  </si>
  <si>
    <t xml:space="preserve">Dependency of wetland-associated songbirds, raptors, and mammals on a particular wetland (and thus its importance) increases if no other wetlands or ponds are available in the vicinity. </t>
  </si>
  <si>
    <r>
      <t xml:space="preserve">Because different wetland types are likely to support different species and/or many of those species may use complementary wetland types nearby for part of their life cycle, the presence of contrasting wetland types is likely to help support a diverse assemblage of songbird and raptor species in any one of the wetlands. </t>
    </r>
    <r>
      <rPr>
        <i/>
        <sz val="10"/>
        <rFont val="Arial Narrow"/>
        <family val="2"/>
      </rPr>
      <t xml:space="preserve"> In calculations, the indicator score is the sum of the nearby types divided by 3.</t>
    </r>
  </si>
  <si>
    <r>
      <t xml:space="preserve">Because different wetland types are likely to support different species and/or many of those species may use complementary wetland types nearby for part of their life cycle, the presence of contrasting wetland types is likely to help support a diverse assemblage of amphibian species in any one of the wetlands. </t>
    </r>
    <r>
      <rPr>
        <i/>
        <sz val="10"/>
        <rFont val="Arial Narrow"/>
        <family val="2"/>
      </rPr>
      <t xml:space="preserve"> In calculations, the indicator score is the sum of the nearby types divided by 3.</t>
    </r>
  </si>
  <si>
    <r>
      <t xml:space="preserve">Because different wetland types are likely to support different species and/or many of those species may use complementary wetland types nearby for part of their life cycle, the presence of contrasting wetland types is likely to help support a diverse assemblage of feeding waterbird species in any one of the wetlands. </t>
    </r>
    <r>
      <rPr>
        <i/>
        <sz val="10"/>
        <rFont val="Arial Narrow"/>
        <family val="2"/>
      </rPr>
      <t xml:space="preserve"> In calculations, the indicator score is the sum of the nearby types divided by 3.</t>
    </r>
  </si>
  <si>
    <r>
      <t xml:space="preserve">Because different wetland types are likely to support different species assemblages and many of those species may require complementary wetland types nearby for part of their life cycle, the presence of contrasting wetland types is likely to help support a diverse assemblage in any one of the wetlands. </t>
    </r>
    <r>
      <rPr>
        <i/>
        <sz val="10"/>
        <rFont val="Arial Narrow"/>
        <family val="2"/>
      </rPr>
      <t xml:space="preserve"> In calculations, the indicator score is the sum of the nearby types divided by 3.</t>
    </r>
  </si>
  <si>
    <t>The overland flow direction of most surface water (in streams, rivers, or runoff) that enters the AA is:</t>
  </si>
  <si>
    <t xml:space="preserve">Although urbanization typically reduces the diversity of plants in the forest understory, plant community composition in a Wisconsin study was better explained by the amount of surrounding forest than by environmental factors within the studied forests (Rogers et al. 2009).  A leveling off of the plant species-area accumulation curve in Alberta forests appeared at a forest patch size of about 10 ha (Gignac &amp; Dale 2007). A study in Washington found that forest patches as small as 1 ha, if not narrow, may be large enough to have a microclimate supportive of most plants and animals (Heithecker &amp; Halperin 2007). Depending on their shape, forest patches sised about 4 ha or larger may provide habitat capable of sustaining a diverse array of bryophyte functional groups in temperate rainforest landscapes (Baldwin &amp; Bradfield 2007). </t>
  </si>
  <si>
    <t>AVERAGE [ OutDura X AVERAGE(SatPct, CUratio, IsoDry, Depth, Constric), AVERAGE(BuffSlope, SoilTex, Beaver) ]</t>
  </si>
  <si>
    <t>NoCA</t>
  </si>
  <si>
    <t>Important Bird Area (IBA)</t>
  </si>
  <si>
    <t>NoHerbCov</t>
  </si>
  <si>
    <t>AllForbCov</t>
  </si>
  <si>
    <t>AllSat2</t>
  </si>
  <si>
    <t>AllSat1</t>
  </si>
  <si>
    <t>NoPersis</t>
  </si>
  <si>
    <t>AllWet</t>
  </si>
  <si>
    <t>NoSeasonal</t>
  </si>
  <si>
    <t>TooSmall</t>
  </si>
  <si>
    <t>NoPonded</t>
  </si>
  <si>
    <t>OpenW</t>
  </si>
  <si>
    <t>NoOpenPonded</t>
  </si>
  <si>
    <t>NoOpenPonded1</t>
  </si>
  <si>
    <t>AllOpenPond</t>
  </si>
  <si>
    <t>NoRobustEm</t>
  </si>
  <si>
    <t>OutNone1</t>
  </si>
  <si>
    <t>Outnone</t>
  </si>
  <si>
    <t>Inflows</t>
  </si>
  <si>
    <t>TooSteep</t>
  </si>
  <si>
    <t>BuffAllNat</t>
  </si>
  <si>
    <t>(MAX(RareAll, EmSens) + AVERAGE(HerbDom, GirregCQ, OverRich, BareGpct))/ 2</t>
  </si>
  <si>
    <t>InvasDom1</t>
  </si>
  <si>
    <r>
      <t xml:space="preserve">IF((InvasDom1=1), 0, </t>
    </r>
    <r>
      <rPr>
        <b/>
        <sz val="10"/>
        <rFont val="Arial Narrow"/>
        <family val="2"/>
      </rPr>
      <t>ELSE</t>
    </r>
    <r>
      <rPr>
        <sz val="10"/>
        <rFont val="Arial Narrow"/>
        <family val="2"/>
      </rPr>
      <t>: (4*SppArea + 3*CompetPD + 2*AqFertilPD + 2*TerrFertilPD + LscapePD + StressPD)/13)</t>
    </r>
  </si>
  <si>
    <r>
      <t xml:space="preserve">IF((RarePlant=1),1, </t>
    </r>
    <r>
      <rPr>
        <b/>
        <sz val="10"/>
        <rFont val="Arial Narrow"/>
        <family val="2"/>
      </rPr>
      <t>ELSE</t>
    </r>
    <r>
      <rPr>
        <sz val="10"/>
        <rFont val="Arial Narrow"/>
        <family val="2"/>
      </rPr>
      <t>: AVERAGE(SBMscore, MAX(HerbUniq, WoodyUniq), ScorePOL)</t>
    </r>
  </si>
  <si>
    <t>Marsh</t>
  </si>
  <si>
    <t>Fen_</t>
  </si>
  <si>
    <t>AVERAGE(Fluctu, SatPct, PermWpct, ISOwet)</t>
  </si>
  <si>
    <t>_GDD11</t>
  </si>
  <si>
    <t>AVERAGE [(Wettype, Hydro, AVERAGE(AqStruc, TerrStruc, Produc, Lscape, Waterscape, Stress)]</t>
  </si>
  <si>
    <t>Alberti, M., D. Booth, K. Hill, B. Coburn, C. Avolio, S. Coe, and D. Spirandelli. 2007. The impact of urban patterns on aquatic ecosystems: An empirical analysis in Puget Lowland sub-basins. Landscape and Urban Planning 80:345-361.</t>
  </si>
  <si>
    <t>Dillaha, T. A., R. B. Reneau, S. Mostaghimi, and D. Lee. 1989. Vegetative filter strips for agricultural nonpoint source pollution-control. Transactions of the ASAE 32:513-519.</t>
  </si>
  <si>
    <t>Subsurface Storage (Infiltration Capacity &amp; ET)</t>
  </si>
  <si>
    <t>[3*AVERAGE(SoilTex, Groundw, CApct) + AVERAGE(GDD, Aspect)] /4</t>
  </si>
  <si>
    <r>
      <t xml:space="preserve">IF((AllSat1=1), AVERAGE [(OutDura, AVERAGE(Subsurface, Friction)],
</t>
    </r>
    <r>
      <rPr>
        <b/>
        <sz val="10"/>
        <rFont val="Arial Narrow"/>
        <family val="2"/>
      </rPr>
      <t>ELSE</t>
    </r>
    <r>
      <rPr>
        <sz val="10"/>
        <rFont val="Arial Narrow"/>
        <family val="2"/>
      </rPr>
      <t>: AVERAGE [OutDura, (4*LiveStore + 2*Friction + Subsurf)/7)) ]</t>
    </r>
  </si>
  <si>
    <t>Surface Storage</t>
  </si>
  <si>
    <t>OutDur * [(2*GroundwaterInput + SurfaceStorage)/ 3]</t>
  </si>
  <si>
    <t>Larger ponded areas are preferred by swans, loons, grebes, cormorants, and some other waterbird species. That is because they provide greater buffer against predators, are more likely to have productive fish populations, and are sufficiently long for waterbird species that cannot take flight by leaping directly upward.</t>
  </si>
  <si>
    <r>
      <t xml:space="preserve">If the AA is smaller than 1 ha, mark all </t>
    </r>
    <r>
      <rPr>
        <b/>
        <sz val="10"/>
        <rFont val="Arial Narrow"/>
        <family val="2"/>
      </rPr>
      <t>other</t>
    </r>
    <r>
      <rPr>
        <sz val="10"/>
        <rFont val="Arial Narrow"/>
        <family val="2"/>
      </rPr>
      <t xml:space="preserve"> types that occupy more than 1% of the vegetated AA.  If the AA is larger than 1 ha, mark all other types which are within or adjacent to the AA and occupy more than 1 ha, as visible from the AA or as interpreted from aerial imagery.  Do not mark again the type marked in F1.</t>
    </r>
  </si>
  <si>
    <t>deciduous shrubs or trees &lt;1 m tall (e.g., deciduous seedlings) not directly below the canopy of taller vegetation.</t>
  </si>
  <si>
    <t>The percentage of the AA's vegetated cover that contains nitrogen-fixing plants (e.g., alder, sweetgale, clover, lupine, alfalfa, other legumes) is:</t>
  </si>
  <si>
    <t>Along the wetland-upland boundary, the percent of the upland edge (within 3 m upslope from the wetland) that is occupied by invasive plant species is:</t>
  </si>
  <si>
    <t>none of the upland edge (invasives apparently absent), or AA has no upland edge.</t>
  </si>
  <si>
    <t>Within 30 m upslope of where the wetland transitions to upland, the upland land cover that is NOT perennial vegetation is mostly (mark ONE):</t>
  </si>
  <si>
    <t>In the AA or within 100 m, there are elevated terrestrial features such as cliffs, talus slopes, stream banks, or excavated pits (but not riprap) that extend at least 2 m nearly vertically, are unvegetated, and potentially contain crevices or other substrate suitable for nesting or den areas. Enter 1 (yes) or 0 (no).</t>
  </si>
  <si>
    <t>Cell Name</t>
  </si>
  <si>
    <t>Comments</t>
  </si>
  <si>
    <t>For this question, include ferns as well as graminoids and forbs. [EC, INV, PH, POL, Sens]</t>
  </si>
  <si>
    <r>
      <t xml:space="preserve">IF((AllSat1=1), AVERAGE(IntercepDry, Adsorb, FreezeDura), IF((NoOut=1), 1, </t>
    </r>
    <r>
      <rPr>
        <b/>
        <sz val="10"/>
        <rFont val="Arial Narrow"/>
        <family val="2"/>
      </rPr>
      <t>ELSE</t>
    </r>
    <r>
      <rPr>
        <sz val="10"/>
        <rFont val="Arial Narrow"/>
        <family val="2"/>
      </rPr>
      <t>:  (3*AVERAGE(Adsorption, Desorption) + 2*Connectivity+ (AVERAGE(InterceptWet, InterceptDry) + FreezeDuration) / 7</t>
    </r>
  </si>
  <si>
    <t xml:space="preserve"> Sediment  Retention &amp; Stabilisation</t>
  </si>
  <si>
    <t>Benefit             Indicators</t>
  </si>
  <si>
    <t>Higher levels of P are commonly associated with higher levels of conductivity and TDS.  Higher P concentrations indicate more opportunity for the wetland to retain P, thus making its provision of this service more valuable to downstream waters.  In calculations, is assigned score of 1 if TDS&gt;300 mg/L or conductivity is &gt;200 µS/cm or if plants indicate highly saline conditions.  In calculations, is excluded automatically (cell goes blank and ignored in model calculations) if not measured or lower levels are present.</t>
  </si>
  <si>
    <t>Organic             Nutrient              Export</t>
  </si>
  <si>
    <t>Benefit          Indicators</t>
  </si>
  <si>
    <t>Resident           Fish                  Habitat</t>
  </si>
  <si>
    <t>Benefit                 Indicators</t>
  </si>
  <si>
    <t>Waterbird    Feeding      Habitat</t>
  </si>
  <si>
    <t>Songbird,     Raptor, &amp;        Mammal Habitat</t>
  </si>
  <si>
    <t>Pollinator     Habitat</t>
  </si>
  <si>
    <t xml:space="preserve">                                                                    Abiotic Resistance/ Sensitivity</t>
  </si>
  <si>
    <t xml:space="preserve">                                                                           Biotic Resistance/ Sensitivity</t>
  </si>
  <si>
    <t xml:space="preserve">                                                                 Resilience/ Recovery Duration - Site Fertility &amp; Climate</t>
  </si>
  <si>
    <t xml:space="preserve">                                                    Resilience/ Recovery Duration - Colonizer  Availability Influence</t>
  </si>
  <si>
    <t xml:space="preserve">                                                       Resilience/ Recovery Duration - Veg Growth Rate Influence</t>
  </si>
  <si>
    <t>Wetland      Stressors</t>
  </si>
  <si>
    <t>Stressor                  Indicators</t>
  </si>
  <si>
    <t xml:space="preserve">                                            Score for Stressors to Wetland</t>
  </si>
  <si>
    <r>
      <t xml:space="preserve">IF(AllSat1=1),"", IF(NoPonded=1),"", </t>
    </r>
    <r>
      <rPr>
        <b/>
        <sz val="10"/>
        <rFont val="Arial Narrow"/>
        <family val="2"/>
      </rPr>
      <t>ELSE</t>
    </r>
    <r>
      <rPr>
        <sz val="10"/>
        <rFont val="Arial Narrow"/>
        <family val="2"/>
      </rPr>
      <t>:  AVERAGE (Width, AVERAGE(GDD, Thruflo, AqPlantCov, Interspers))</t>
    </r>
  </si>
  <si>
    <r>
      <t xml:space="preserve">IF((Rare=1),1, IF((IBA=1),1, </t>
    </r>
    <r>
      <rPr>
        <b/>
        <sz val="10"/>
        <rFont val="Arial Narrow"/>
        <family val="2"/>
      </rPr>
      <t>ELSE</t>
    </r>
    <r>
      <rPr>
        <sz val="10"/>
        <rFont val="Arial Narrow"/>
        <family val="2"/>
      </rPr>
      <t>: MAX(HerbUniq, WoodyUniq, DistPond)</t>
    </r>
  </si>
  <si>
    <r>
      <rPr>
        <b/>
        <sz val="10"/>
        <rFont val="Arial Narrow"/>
        <family val="2"/>
      </rPr>
      <t>A.</t>
    </r>
    <r>
      <rPr>
        <sz val="10"/>
        <rFont val="Arial Narrow"/>
        <family val="2"/>
      </rPr>
      <t xml:space="preserve"> Neither the vegetation </t>
    </r>
    <r>
      <rPr>
        <b/>
        <sz val="10"/>
        <rFont val="Arial Narrow"/>
        <family val="2"/>
      </rPr>
      <t>taller</t>
    </r>
    <r>
      <rPr>
        <sz val="10"/>
        <rFont val="Arial Narrow"/>
        <family val="2"/>
      </rPr>
      <t xml:space="preserve"> than 1 m nor the vegetation </t>
    </r>
    <r>
      <rPr>
        <b/>
        <sz val="10"/>
        <rFont val="Arial Narrow"/>
        <family val="2"/>
      </rPr>
      <t>shorter</t>
    </r>
    <r>
      <rPr>
        <sz val="10"/>
        <rFont val="Arial Narrow"/>
        <family val="2"/>
      </rPr>
      <t xml:space="preserve"> than that comprise &gt;70% of the vegetated part of the AA.  </t>
    </r>
    <r>
      <rPr>
        <b/>
        <sz val="10"/>
        <rFont val="Arial Narrow"/>
        <family val="2"/>
      </rPr>
      <t xml:space="preserve">They </t>
    </r>
    <r>
      <rPr>
        <b/>
        <u/>
        <sz val="10"/>
        <rFont val="Arial Narrow"/>
        <family val="2"/>
      </rPr>
      <t>each</t>
    </r>
    <r>
      <rPr>
        <b/>
        <sz val="10"/>
        <rFont val="Arial Narrow"/>
        <family val="2"/>
      </rPr>
      <t xml:space="preserve"> comprise 30-70%</t>
    </r>
    <r>
      <rPr>
        <sz val="10"/>
        <rFont val="Arial Narrow"/>
        <family val="2"/>
      </rPr>
      <t xml:space="preserve">.  Choose between A1 and A2 and mark the choice with a 1 in the adjoining column.  Otherwise go to B below. </t>
    </r>
  </si>
  <si>
    <t>[FA, WC]</t>
  </si>
  <si>
    <t>LiveStore</t>
  </si>
  <si>
    <r>
      <t xml:space="preserve">IF((NoOutlet6=1),0, </t>
    </r>
    <r>
      <rPr>
        <b/>
        <sz val="10"/>
        <rFont val="Arial Narrow"/>
        <family val="2"/>
      </rPr>
      <t>ELSE</t>
    </r>
    <r>
      <rPr>
        <sz val="10"/>
        <rFont val="Arial Narrow"/>
        <family val="2"/>
      </rPr>
      <t>: (3*ExportPotential+ 2*CurrentProductivity + HistoricalAccumulation) /6</t>
    </r>
  </si>
  <si>
    <r>
      <t xml:space="preserve">IF((Fish Access=0),0,
IF((Water=0),0, </t>
    </r>
    <r>
      <rPr>
        <b/>
        <sz val="10"/>
        <rFont val="Arial Narrow"/>
        <family val="2"/>
      </rPr>
      <t xml:space="preserve">ELSE: </t>
    </r>
    <r>
      <rPr>
        <sz val="10"/>
        <rFont val="Arial Narrow"/>
        <family val="2"/>
      </rPr>
      <t xml:space="preserve">
AVERAGE(HydroRegime, Structure, Productivity, AnoxiaRisk, Stress))</t>
    </r>
  </si>
  <si>
    <r>
      <t xml:space="preserve">IF((Fen+Marsh=0), blank, </t>
    </r>
    <r>
      <rPr>
        <b/>
        <sz val="10"/>
        <rFont val="Arial Narrow"/>
        <family val="2"/>
      </rPr>
      <t>ELSE</t>
    </r>
    <r>
      <rPr>
        <sz val="10"/>
        <rFont val="Arial Narrow"/>
        <family val="2"/>
      </rPr>
      <t>: AVERAGE(WetTypeDiv, Beaver, PondProx, BigPondProx)</t>
    </r>
  </si>
  <si>
    <r>
      <t xml:space="preserve">IF((AllSat1=1),0,
IF((TooSmall=1),0, IF((TooSteep=1), 0, </t>
    </r>
    <r>
      <rPr>
        <b/>
        <sz val="10"/>
        <rFont val="Arial Narrow"/>
        <family val="2"/>
      </rPr>
      <t>ELSE:</t>
    </r>
    <r>
      <rPr>
        <sz val="10"/>
        <rFont val="Arial Narrow"/>
        <family val="2"/>
      </rPr>
      <t xml:space="preserve">
[AVERAGE(Lscape,Stressors, Produc) + 2*MAX(Mudflat, AVERAGE(Hydro, Struc)] /3
</t>
    </r>
  </si>
  <si>
    <t>IF((Rare=1),1, IF((IBirdv=1),1, MAX(HerbUniq, DistPond, AVERAGE(DuckHunt, PopCtr, Visib))))</t>
  </si>
  <si>
    <r>
      <t xml:space="preserve">IF((Rare=1),1, IF((IBirdv=1),1, </t>
    </r>
    <r>
      <rPr>
        <b/>
        <sz val="10"/>
        <rFont val="Arial Narrow"/>
        <family val="2"/>
      </rPr>
      <t>ELSE</t>
    </r>
    <r>
      <rPr>
        <sz val="10"/>
        <rFont val="Arial Narrow"/>
        <family val="2"/>
      </rPr>
      <t>: MAX(DistPond, HerbUniq)</t>
    </r>
  </si>
  <si>
    <t>Cover Page: Basic Description of Assessment</t>
  </si>
  <si>
    <r>
      <t>At least once annually, surface water from a tributary channel that is &gt;100 m long moves into the AA.  Or, surface water from a larger permanent water body adjacent to the AA spills into the AA.</t>
    </r>
    <r>
      <rPr>
        <b/>
        <sz val="10"/>
        <rFont val="Arial Narrow"/>
        <family val="2"/>
      </rPr>
      <t xml:space="preserve">  </t>
    </r>
    <r>
      <rPr>
        <sz val="10"/>
        <rFont val="Arial Narrow"/>
        <family val="2"/>
      </rPr>
      <t>If it enters only via a pipe, that pipe must be fed by a mapped stream or lake further upslope.</t>
    </r>
    <r>
      <rPr>
        <b/>
        <sz val="10"/>
        <rFont val="Arial Narrow"/>
        <family val="2"/>
      </rPr>
      <t xml:space="preserve"> </t>
    </r>
    <r>
      <rPr>
        <sz val="10"/>
        <rFont val="Arial Narrow"/>
        <family val="2"/>
      </rPr>
      <t xml:space="preserve">If no, </t>
    </r>
    <r>
      <rPr>
        <b/>
        <sz val="10"/>
        <rFont val="Arial Narrow"/>
        <family val="2"/>
      </rPr>
      <t>SKIP to F47</t>
    </r>
    <r>
      <rPr>
        <sz val="10"/>
        <rFont val="Arial Narrow"/>
        <family val="2"/>
      </rPr>
      <t xml:space="preserve"> (pH Measurement).</t>
    </r>
  </si>
  <si>
    <t>MIN(SedExcess, Acid, AltTime, ToxData, 1-NatVegCUpct)</t>
  </si>
  <si>
    <t>Water Storage &amp; Delay (WS)</t>
  </si>
  <si>
    <r>
      <t>Sedges (</t>
    </r>
    <r>
      <rPr>
        <i/>
        <sz val="10"/>
        <rFont val="Arial Narrow"/>
        <family val="2"/>
      </rPr>
      <t>Carex</t>
    </r>
    <r>
      <rPr>
        <sz val="10"/>
        <rFont val="Arial Narrow"/>
        <family val="2"/>
      </rPr>
      <t xml:space="preserve"> spp.) and cottongrass (</t>
    </r>
    <r>
      <rPr>
        <i/>
        <sz val="10"/>
        <rFont val="Arial Narrow"/>
        <family val="2"/>
      </rPr>
      <t>Eriophorum</t>
    </r>
    <r>
      <rPr>
        <sz val="10"/>
        <rFont val="Arial Narrow"/>
        <family val="2"/>
      </rPr>
      <t xml:space="preserve"> spp.) occupy:</t>
    </r>
  </si>
  <si>
    <t>Forbs are flowering plants.  Do not include grasses, sedges, cattail, other graminoids, ferns, horsetails, or others that lack showy flowers.  [POL]</t>
  </si>
  <si>
    <t>Estimate these proportions by considering the gradient and microtopography of the site. [FR, INV, WBF, WBN]</t>
  </si>
  <si>
    <t>Within 5 km downstream or downslope of the AA (select first true choice):</t>
  </si>
  <si>
    <r>
      <t xml:space="preserve">IF((Fen_ + Marsh=0), blank, </t>
    </r>
    <r>
      <rPr>
        <b/>
        <sz val="10"/>
        <rFont val="Arial Narrow"/>
        <family val="2"/>
      </rPr>
      <t>ELSE</t>
    </r>
    <r>
      <rPr>
        <sz val="10"/>
        <rFont val="Arial Narrow"/>
        <family val="2"/>
      </rPr>
      <t>: AVERAGE(Bduck, Lake, LakeProx, Fringe, Beaver, PondProx)]</t>
    </r>
  </si>
  <si>
    <t xml:space="preserve">Scores will appear below after data are entered in worksheets OF, F, and S. See Manual for definitions and descriptions of how scores were computed. </t>
  </si>
  <si>
    <t>Mark the province in which the AA is located by changing the 0 in the column next to it to a "1".  Mark only one.</t>
  </si>
  <si>
    <t>See above. Do not consider conifer plantations to be forest if it is obvious that trees were planted in rows. [AMv, PHv, POLv, SBMv]</t>
  </si>
  <si>
    <t>In Google Earth, draw the 5 km buffer and then estimate land cover percentages, or do GIS analysis of an appropriate land cover layer. [AM, PH, POL, SBM, Sens]</t>
  </si>
  <si>
    <t>May use existing data, or monitor waters as part of this wetland assessment.  [NRv, PRv, SRv]</t>
  </si>
  <si>
    <t>Maps show Flood Zone or Flood Risk areas, but infrastructure is absent or is not vulnerable to floods from a non-tidal river.  In some cases levees, upriver dams, or other measures may partly limit damage or risk from smaller events.</t>
  </si>
  <si>
    <t>The source of this layer, which should be checked periodically for updates, is: http://www.ibacanada.com/mapviewer.jsp?lang=EN   [SBMv, WBFv, WBNv]</t>
  </si>
  <si>
    <t>[SBM]</t>
  </si>
  <si>
    <t>Wintering Deer or Moose Concentration Areas</t>
  </si>
  <si>
    <t>AVERAGE(Wettype, SeasWpct, Fluctu, Nfix)]</t>
  </si>
  <si>
    <t>Elev9</t>
  </si>
  <si>
    <t>Request information from ACCDC and/or conduct your own survey at an appropriate season using an approved protocol. For birds, also check eBird.org.  [AMv, EC, PHv, POLv, SBMv, Sens, WBFv, WBNv]</t>
  </si>
  <si>
    <t>This was provided by Dr. David Leske.  [WBNv]</t>
  </si>
  <si>
    <t>May use existing data, or sample those waters as part of this wetland assessment. "Harmful" should be evaluated with regard to current federal or provincial water quality standards. [AM, FA, FR, NRv, PRv, SRv, STR, WBF, WBN]</t>
  </si>
  <si>
    <t>This layer was provided by Dr. Dan McKenney of the Canadian Forest Service  [AM, CS, FR, INV, NR, OE, PH, PR, Sens, SR, WBF, WCv, WS]</t>
  </si>
  <si>
    <r>
      <t xml:space="preserve">those species together do </t>
    </r>
    <r>
      <rPr>
        <b/>
        <sz val="10"/>
        <rFont val="Arial Narrow"/>
        <family val="2"/>
      </rPr>
      <t xml:space="preserve">not </t>
    </r>
    <r>
      <rPr>
        <sz val="10"/>
        <rFont val="Arial Narrow"/>
        <family val="2"/>
      </rPr>
      <t>comprise &gt; 50% of the areal cover of herbaceous plants at any time during the year.</t>
    </r>
  </si>
  <si>
    <t>Determine which two herbaceous species comprise the greatest portion of the herbaceous cover (excluding mosses and floating-leaved aquatic plants). Then choose one of the following:</t>
  </si>
  <si>
    <r>
      <rPr>
        <b/>
        <sz val="10"/>
        <rFont val="Arial Narrow"/>
        <family val="2"/>
      </rPr>
      <t>Human</t>
    </r>
    <r>
      <rPr>
        <sz val="10"/>
        <rFont val="Arial Narrow"/>
        <family val="2"/>
      </rPr>
      <t xml:space="preserve"> actions within or adjacent to the AA have persistently expanded a naturally occurring wetland or created a wetland where there previously was none (e.g., by excavation, impoundment):</t>
    </r>
  </si>
  <si>
    <t xml:space="preserve">Ponded Area Within 1 km.  </t>
  </si>
  <si>
    <t>Within the AA, inclusions of upland are:</t>
  </si>
  <si>
    <t>Water Quality Sensitive Watershed or Area</t>
  </si>
  <si>
    <t>Draw a 5-km radius circle measured from the center of the AA.  Ignoring all permanent water in the circle, the percent of the remaining area that is wooded or unmanaged herbaceous vegetation (NOT lawn, row crops, bare or heavily grazed land, clearcuts, or conifer plantations) is:</t>
  </si>
  <si>
    <t>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t>
  </si>
  <si>
    <t>A relatively large proportion of the precipitation that falls farther upslope in the CA reaches this wetland quickly as runoff (surface water), as indicated by the following: 
(a) input channel is present,
(b) input channels have been straightened,
(c) upslope wetlands have been ditched extensively,
(d) land cover is mostly non-forest,
(e) CA slopes are steep, and/or
(f) most CA soils are shallow (bedrock near surface) and/or have high runoff coefficients. 
This statement is:</t>
  </si>
  <si>
    <t>New timber harvest, roads, mineral extraction, and intensive summer recreation (e.g., off-road vehicles) are permanently prohibited. Includes many publicly-owned Protected Lands, and private lands under long-term (30+ year) legal agreements to maintain nearly-unaltered conditions.</t>
  </si>
  <si>
    <r>
      <t xml:space="preserve">The area of </t>
    </r>
    <r>
      <rPr>
        <b/>
        <sz val="10"/>
        <rFont val="Arial Narrow"/>
        <family val="2"/>
        <scheme val="minor"/>
      </rPr>
      <t>surface wate</t>
    </r>
    <r>
      <rPr>
        <sz val="10"/>
        <rFont val="Arial Narrow"/>
        <family val="2"/>
        <scheme val="minor"/>
      </rPr>
      <t>r ponded during most of the growing season that is both (1) in or adjacent to the AA and (2) within 1 km is:</t>
    </r>
  </si>
  <si>
    <r>
      <t xml:space="preserve">The area of </t>
    </r>
    <r>
      <rPr>
        <b/>
        <sz val="10"/>
        <rFont val="Arial Narrow"/>
        <family val="2"/>
        <scheme val="minor"/>
      </rPr>
      <t xml:space="preserve">wetlands and surface water </t>
    </r>
    <r>
      <rPr>
        <sz val="10"/>
        <rFont val="Arial Narrow"/>
        <family val="2"/>
        <scheme val="minor"/>
      </rPr>
      <t>ponded during most of the growing season that is both (1) in or adjacent to the AA and (2) within 1 km is:</t>
    </r>
  </si>
  <si>
    <r>
      <t xml:space="preserve">The minimum distance from the </t>
    </r>
    <r>
      <rPr>
        <b/>
        <sz val="10"/>
        <rFont val="Arial Narrow"/>
        <family val="2"/>
        <scheme val="minor"/>
      </rPr>
      <t>edge</t>
    </r>
    <r>
      <rPr>
        <sz val="10"/>
        <rFont val="Arial Narrow"/>
        <family val="2"/>
        <scheme val="minor"/>
      </rPr>
      <t xml:space="preserve"> of the AA to the edge of the closest </t>
    </r>
    <r>
      <rPr>
        <b/>
        <i/>
        <sz val="10"/>
        <rFont val="Arial Narrow"/>
        <family val="2"/>
        <scheme val="minor"/>
      </rPr>
      <t xml:space="preserve">vegetated land </t>
    </r>
    <r>
      <rPr>
        <sz val="10"/>
        <rFont val="Arial Narrow"/>
        <family val="2"/>
        <scheme val="minor"/>
      </rPr>
      <t xml:space="preserve">(but excluding row crops, lawn, conifer plantation) </t>
    </r>
    <r>
      <rPr>
        <b/>
        <sz val="10"/>
        <rFont val="Arial Narrow"/>
        <family val="2"/>
        <scheme val="minor"/>
      </rPr>
      <t>larger than 375 hectares</t>
    </r>
    <r>
      <rPr>
        <sz val="10"/>
        <rFont val="Arial Narrow"/>
        <family val="2"/>
        <scheme val="minor"/>
      </rPr>
      <t xml:space="preserve"> (about 2 km on a side), is:</t>
    </r>
  </si>
  <si>
    <r>
      <t xml:space="preserve">50-500 m, and </t>
    </r>
    <r>
      <rPr>
        <b/>
        <sz val="10"/>
        <rFont val="Arial Narrow"/>
        <family val="2"/>
        <scheme val="minor"/>
      </rPr>
      <t>not</t>
    </r>
    <r>
      <rPr>
        <sz val="10"/>
        <rFont val="Arial Narrow"/>
        <family val="2"/>
        <scheme val="minor"/>
      </rPr>
      <t xml:space="preserve"> separated.</t>
    </r>
  </si>
  <si>
    <r>
      <t xml:space="preserve">0.5 - 5 km, and </t>
    </r>
    <r>
      <rPr>
        <b/>
        <sz val="10"/>
        <rFont val="Arial Narrow"/>
        <family val="2"/>
        <scheme val="minor"/>
      </rPr>
      <t>not</t>
    </r>
    <r>
      <rPr>
        <sz val="10"/>
        <rFont val="Arial Narrow"/>
        <family val="2"/>
        <scheme val="minor"/>
      </rPr>
      <t xml:space="preserve"> separated.</t>
    </r>
  </si>
  <si>
    <r>
      <t xml:space="preserve">Within the </t>
    </r>
    <r>
      <rPr>
        <b/>
        <sz val="10"/>
        <rFont val="Arial Narrow"/>
        <family val="2"/>
        <scheme val="minor"/>
      </rPr>
      <t xml:space="preserve">5-km </t>
    </r>
    <r>
      <rPr>
        <sz val="10"/>
        <rFont val="Arial Narrow"/>
        <family val="2"/>
        <scheme val="minor"/>
      </rPr>
      <t>radius circle, and ignoring all permanent water, the land area that is bare or non-perennial cover is mostly:</t>
    </r>
  </si>
  <si>
    <r>
      <t xml:space="preserve">Measured </t>
    </r>
    <r>
      <rPr>
        <b/>
        <sz val="10"/>
        <rFont val="Arial Narrow"/>
        <family val="2"/>
        <scheme val="minor"/>
      </rPr>
      <t>along</t>
    </r>
    <r>
      <rPr>
        <sz val="10"/>
        <rFont val="Arial Narrow"/>
        <family val="2"/>
        <scheme val="minor"/>
      </rPr>
      <t xml:space="preserve"> the maintained road nearest the AA, the distance to the nearest </t>
    </r>
    <r>
      <rPr>
        <b/>
        <sz val="10"/>
        <rFont val="Arial Narrow"/>
        <family val="2"/>
        <scheme val="minor"/>
      </rPr>
      <t xml:space="preserve">population center </t>
    </r>
    <r>
      <rPr>
        <sz val="10"/>
        <rFont val="Arial Narrow"/>
        <family val="2"/>
        <scheme val="minor"/>
      </rPr>
      <t>is:</t>
    </r>
  </si>
  <si>
    <r>
      <t xml:space="preserve">From the </t>
    </r>
    <r>
      <rPr>
        <b/>
        <sz val="10"/>
        <rFont val="Arial Narrow"/>
        <family val="2"/>
        <scheme val="minor"/>
      </rPr>
      <t xml:space="preserve">center </t>
    </r>
    <r>
      <rPr>
        <sz val="10"/>
        <rFont val="Arial Narrow"/>
        <family val="2"/>
        <scheme val="minor"/>
      </rPr>
      <t>of the AA, the distance to the nearest maintained public road (dirt or paved) is:</t>
    </r>
  </si>
  <si>
    <r>
      <t xml:space="preserve">The distance from the AA edge to the closest </t>
    </r>
    <r>
      <rPr>
        <b/>
        <sz val="10"/>
        <rFont val="Arial Narrow"/>
        <family val="2"/>
        <scheme val="minor"/>
      </rPr>
      <t xml:space="preserve">tidal water </t>
    </r>
    <r>
      <rPr>
        <sz val="10"/>
        <rFont val="Arial Narrow"/>
        <family val="2"/>
        <scheme val="minor"/>
      </rPr>
      <t>body (regardless of its salinity) is:</t>
    </r>
  </si>
  <si>
    <r>
      <t xml:space="preserve">More than 75% of the AA's perimeter abuts upland. Any remainder adjoins other wetlands or water that is mostly wider than the AA.  </t>
    </r>
    <r>
      <rPr>
        <b/>
        <sz val="10"/>
        <rFont val="Arial Narrow"/>
        <family val="2"/>
        <scheme val="minor"/>
      </rPr>
      <t xml:space="preserve">This will be true for most </t>
    </r>
    <r>
      <rPr>
        <sz val="10"/>
        <rFont val="Arial Narrow"/>
        <family val="2"/>
        <scheme val="minor"/>
      </rPr>
      <t>assessments done with WESP-AC.</t>
    </r>
  </si>
  <si>
    <r>
      <t xml:space="preserve">Maps do </t>
    </r>
    <r>
      <rPr>
        <b/>
        <sz val="10"/>
        <rFont val="Arial Narrow"/>
        <family val="2"/>
        <scheme val="minor"/>
      </rPr>
      <t>not</t>
    </r>
    <r>
      <rPr>
        <sz val="10"/>
        <rFont val="Arial Narrow"/>
        <family val="2"/>
        <scheme val="minor"/>
      </rPr>
      <t xml:space="preserve"> show Flood Zone or Flood Risk areas (</t>
    </r>
    <r>
      <rPr>
        <b/>
        <sz val="10"/>
        <rFont val="Arial Narrow"/>
        <family val="2"/>
        <scheme val="minor"/>
      </rPr>
      <t>or no such mapping has been done locally</t>
    </r>
    <r>
      <rPr>
        <sz val="10"/>
        <rFont val="Arial Narrow"/>
        <family val="2"/>
        <scheme val="minor"/>
      </rPr>
      <t>) and there appears to be infrastructure vulnerable to river flooding unrelated to tidal storm surges.</t>
    </r>
  </si>
  <si>
    <r>
      <t>Maps do not show Flood Zone or Flood Risk areas (or no such mapping has been done locally) and there is</t>
    </r>
    <r>
      <rPr>
        <b/>
        <sz val="10"/>
        <rFont val="Arial Narrow"/>
        <family val="2"/>
        <scheme val="minor"/>
      </rPr>
      <t xml:space="preserve"> no infrastructure</t>
    </r>
    <r>
      <rPr>
        <sz val="10"/>
        <rFont val="Arial Narrow"/>
        <family val="2"/>
        <scheme val="minor"/>
      </rPr>
      <t xml:space="preserve"> vulnerable to river flooding unrelated to tidal storm surges.</t>
    </r>
  </si>
  <si>
    <r>
      <t xml:space="preserve">Sampling indicates a problem with concentrations of </t>
    </r>
    <r>
      <rPr>
        <b/>
        <sz val="10"/>
        <rFont val="Arial Narrow"/>
        <family val="2"/>
        <scheme val="minor"/>
      </rPr>
      <t>metals, hydrocarbons</t>
    </r>
    <r>
      <rPr>
        <sz val="10"/>
        <rFont val="Arial Narrow"/>
        <family val="2"/>
        <scheme val="minor"/>
      </rPr>
      <t>,</t>
    </r>
    <r>
      <rPr>
        <b/>
        <sz val="10"/>
        <rFont val="Arial Narrow"/>
        <family val="2"/>
        <scheme val="minor"/>
      </rPr>
      <t xml:space="preserve"> nutrients</t>
    </r>
    <r>
      <rPr>
        <sz val="10"/>
        <rFont val="Arial Narrow"/>
        <family val="2"/>
        <scheme val="minor"/>
      </rPr>
      <t xml:space="preserve">, or other substances (excluding bacteria, acidic water, high temperatures) being present at levels harmful to aquatic life or humans, and:  </t>
    </r>
  </si>
  <si>
    <r>
      <t xml:space="preserve">The condition is present in waters within 1 km that flow </t>
    </r>
    <r>
      <rPr>
        <b/>
        <sz val="10"/>
        <rFont val="Arial Narrow"/>
        <family val="2"/>
        <scheme val="minor"/>
      </rPr>
      <t>into</t>
    </r>
    <r>
      <rPr>
        <sz val="10"/>
        <rFont val="Arial Narrow"/>
        <family val="2"/>
        <scheme val="minor"/>
      </rPr>
      <t xml:space="preserve"> the AA, but has not been documented in the AA itself.</t>
    </r>
  </si>
  <si>
    <r>
      <t xml:space="preserve">Data are insufficient (no or inadequate sampling within 1 km, or condition exists only at &gt;1 km upstream). </t>
    </r>
    <r>
      <rPr>
        <b/>
        <sz val="10"/>
        <rFont val="Arial Narrow"/>
        <family val="2"/>
        <scheme val="minor"/>
      </rPr>
      <t>This is the situation for nearly all wetlands in this region.</t>
    </r>
  </si>
  <si>
    <r>
      <t xml:space="preserve">The problem described above is </t>
    </r>
    <r>
      <rPr>
        <b/>
        <sz val="10"/>
        <rFont val="Arial Narrow"/>
        <family val="2"/>
        <scheme val="minor"/>
      </rPr>
      <t>downslope from</t>
    </r>
    <r>
      <rPr>
        <sz val="10"/>
        <rFont val="Arial Narrow"/>
        <family val="2"/>
        <scheme val="minor"/>
      </rPr>
      <t xml:space="preserve"> the AA, and:</t>
    </r>
  </si>
  <si>
    <r>
      <t xml:space="preserve">Within the past 10 years, in the AA (or in its adjoining waters or wetland), qualified observers have documented </t>
    </r>
    <r>
      <rPr>
        <i/>
        <sz val="10"/>
        <rFont val="Arial Narrow"/>
        <family val="2"/>
        <scheme val="minor"/>
      </rPr>
      <t>[mark all applicable</t>
    </r>
    <r>
      <rPr>
        <sz val="10"/>
        <rFont val="Arial Narrow"/>
        <family val="2"/>
        <scheme val="minor"/>
      </rPr>
      <t>]:</t>
    </r>
  </si>
  <si>
    <r>
      <t xml:space="preserve">Presence of one or more of the </t>
    </r>
    <r>
      <rPr>
        <b/>
        <sz val="10"/>
        <rFont val="Arial Narrow"/>
        <family val="2"/>
        <scheme val="minor"/>
      </rPr>
      <t>amphibian or reptile</t>
    </r>
    <r>
      <rPr>
        <sz val="10"/>
        <rFont val="Arial Narrow"/>
        <family val="2"/>
        <scheme val="minor"/>
      </rPr>
      <t xml:space="preserve"> species (AM) of conservation concern as listed in the Wildlife_Rare worksheet of the accompanying SuppInfo file.</t>
    </r>
  </si>
  <si>
    <r>
      <t xml:space="preserve">Presence of one or more of the </t>
    </r>
    <r>
      <rPr>
        <b/>
        <sz val="10"/>
        <rFont val="Arial Narrow"/>
        <family val="2"/>
        <scheme val="minor"/>
      </rPr>
      <t>waterbird</t>
    </r>
    <r>
      <rPr>
        <sz val="10"/>
        <rFont val="Arial Narrow"/>
        <family val="2"/>
        <scheme val="minor"/>
      </rPr>
      <t xml:space="preserve"> species (WBF, WBN) of conservation concern as listed in the Wildlife_Rare worksheet of the accompanying SuppInfo file.</t>
    </r>
  </si>
  <si>
    <r>
      <t xml:space="preserve">Presence of one or more of the nesting </t>
    </r>
    <r>
      <rPr>
        <b/>
        <sz val="10"/>
        <rFont val="Arial Narrow"/>
        <family val="2"/>
        <scheme val="minor"/>
      </rPr>
      <t>songbird or raptor</t>
    </r>
    <r>
      <rPr>
        <sz val="10"/>
        <rFont val="Arial Narrow"/>
        <family val="2"/>
        <scheme val="minor"/>
      </rPr>
      <t xml:space="preserve"> species (SBM) of conservation concern as listed in the Wildlife_Rare worksheet of the accompanying SuppInfo file, during their nesting season (May-July for most species).</t>
    </r>
  </si>
  <si>
    <r>
      <t xml:space="preserve">In Google Earth, open the KMZ file that accompanies this calculator, called </t>
    </r>
    <r>
      <rPr>
        <b/>
        <sz val="10"/>
        <rFont val="Arial Narrow"/>
        <family val="2"/>
        <scheme val="minor"/>
      </rPr>
      <t>IBAs_Canada</t>
    </r>
    <r>
      <rPr>
        <sz val="10"/>
        <rFont val="Arial Narrow"/>
        <family val="2"/>
        <scheme val="minor"/>
      </rPr>
      <t xml:space="preserve">.  The AA is all or part of an officially designated IBA. Enter 1= yes, 0= no. </t>
    </r>
  </si>
  <si>
    <r>
      <t xml:space="preserve">The AA is all or part of a mitigation site used explicitly to offset impacts elsewhere. Ask the property owner.  Enter: yes= 1, no= 0. If no information, change to </t>
    </r>
    <r>
      <rPr>
        <b/>
        <sz val="10"/>
        <rFont val="Arial Narrow"/>
        <family val="2"/>
        <scheme val="minor"/>
      </rPr>
      <t>blank.</t>
    </r>
  </si>
  <si>
    <t>The TDS (total dissolved solids) or conductivity off the AA's surface water is: (select the first true row with information):</t>
  </si>
  <si>
    <t>Larger-diameter trees are generally older, implying that recovery (resilience) from their loss will take longer than from loss of young trees. Resilience is one component of wetland sensitivity. In calculations, is excluded automatically (cell goes blank) if few or no trees are present.</t>
  </si>
  <si>
    <r>
      <t>Wetlands with fewer species may be less resistant to environmental change, and less resilient following disturbances.</t>
    </r>
    <r>
      <rPr>
        <i/>
        <sz val="10"/>
        <rFont val="Times New Roman"/>
        <family val="2"/>
      </rPr>
      <t xml:space="preserve"> In calculations, is excluded automatically (cell goes blank) if little or no shrub cover is present.</t>
    </r>
  </si>
  <si>
    <t>High dispersion (fragmentation) of woody cover suggests recolonization of wetlands following disturbance may take longer when future disturbances occur, due to less intact corridors with similar cover types. In calculations, is excluded automatically (cell goes blank) if little or no woody cover is present.</t>
  </si>
  <si>
    <t>Simply because they tend to have more species, wetlands with a predominance of native species have more species to lose and thus could be considered to be more sensitive to impacts. In contrast, once wetlands become dominated by non-native (exotic) species, the plant community structure is simplified (e.g., Perkins &amp; Willson 2005). Non-natives tend to have broad environmental tolerances, so wetlands dominated by them and thus having low species richness are more resistant to further change (Werner &amp; Zedler 2002, Wigand et al. 2003). By itself, increased species richness in a wetland does not always confer increased resistance (decreased sensitivity) of a wetland’s functions to artificial changes (e.g., Engelhardt &amp; Kadlec 2001). In calculations, is excluded automatically (cell goes blank) if little or no herbaceous cover is present.</t>
  </si>
  <si>
    <t xml:space="preserve">Decreases in water inputs will have the greatest impact on shallow wetlands, even causing parts of them to cease being wetlands, and causing major changes in species and biogeochemical processes in the remaining wetland. Also, among wetlands having the same area, shallow wetlands have less volume than deeper ones and thus experience less dilution of incoming contaminants. In calculations, is excluded automatically (cell goes blank) if wetland never has surface water during an average year. </t>
  </si>
  <si>
    <r>
      <t xml:space="preserve">Ponded waters are more susceptible to developing oxygen deficits and bioaccumulating contaminants. </t>
    </r>
    <r>
      <rPr>
        <i/>
        <sz val="10"/>
        <rFont val="Times New Roman"/>
        <family val="2"/>
      </rPr>
      <t xml:space="preserve">In calculations, is excluded automatically (cell goes blank) if wetland never has surface water during an average year. </t>
    </r>
  </si>
  <si>
    <t>Narrow wetlands tend to be more susceptible to erosion from waves and currents. Their microclimate also is more precarious, trees are more subject to windthrow (Martin &amp; Grotenfendt 2007, Bahuguna et al. 2010), and their wildlife may be more susceptible to predation. In narrow strips or small patches of vegetation, the native plant communities are more vulnerable to invasion from non-native species from adjoining lands (Hennings &amp; Edge 2003). A study in Alberta found that non-native plants within forests there were most abundant  between 15 and 50 ft from the edge, and some of those species were found up to 130 ft from the edge. Although larger patches of forest generally supported more non-natives species than smaller fragments, the smallest fragments had the greatest number of non-native species per square meter (Gignac &amp; Dale 2007). Wooded buffers with dense vegetation tend to restrict wind-driven dispersal of seeds of non-native plants into the area protected by a buffer (Cadenzas &amp; Pickett 2001). If the adjoining uplands are not forested, a greater proportion of the trees in narrow wetlands are subject to blowdown, and the wetland’s plants and animals are more subject to extremes of the surrounding microclimate as well as disturbance from humans in nearby uplands. In calculations, is excluded automatically (cell goes blank) if wetland never has surface water during an average year, or has no open water.</t>
  </si>
  <si>
    <t>The distance from the AA center to the closest (but separate) ponded water body visible in GoogleEarth imagery is:</t>
  </si>
  <si>
    <r>
      <t xml:space="preserve">Flood Damage from </t>
    </r>
    <r>
      <rPr>
        <b/>
        <sz val="10"/>
        <rFont val="Arial Narrow"/>
        <family val="2"/>
        <scheme val="minor"/>
      </rPr>
      <t>Non-tida</t>
    </r>
    <r>
      <rPr>
        <sz val="10"/>
        <rFont val="Arial Narrow"/>
        <family val="2"/>
        <scheme val="minor"/>
      </rPr>
      <t>l Waters</t>
    </r>
  </si>
  <si>
    <t>Maps show Flood Zone or Flood Risk areas and there appears to be infrastructure vulnerable to river flooding not caused by tidal storm surges.</t>
  </si>
  <si>
    <t xml:space="preserve">&gt;1 (wetland is larger than its catchment (e.g., wetland with flat surrounding terrain and no inlet, or is entirely isolated by dikes, or is a raised bog). </t>
  </si>
  <si>
    <r>
      <rPr>
        <b/>
        <sz val="10"/>
        <rFont val="Arial Narrow"/>
        <family val="2"/>
      </rPr>
      <t>A.</t>
    </r>
    <r>
      <rPr>
        <sz val="10"/>
        <rFont val="Arial Narrow"/>
        <family val="2"/>
      </rPr>
      <t xml:space="preserve"> Moss and/or lichen cover </t>
    </r>
    <r>
      <rPr>
        <b/>
        <sz val="10"/>
        <rFont val="Arial Narrow"/>
        <family val="2"/>
      </rPr>
      <t>more than 25%</t>
    </r>
    <r>
      <rPr>
        <sz val="10"/>
        <rFont val="Arial Narrow"/>
        <family val="2"/>
      </rPr>
      <t xml:space="preserve">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t>
    </r>
  </si>
  <si>
    <r>
      <t>A1.</t>
    </r>
    <r>
      <rPr>
        <sz val="10"/>
        <rFont val="Arial Narrow"/>
        <family val="2"/>
      </rPr>
      <t xml:space="preserve">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t>
    </r>
    <r>
      <rPr>
        <i/>
        <sz val="10"/>
        <rFont val="Arial Narrow"/>
        <family val="2"/>
      </rPr>
      <t>Carex rariflor</t>
    </r>
    <r>
      <rPr>
        <sz val="10"/>
        <rFont val="Arial Narrow"/>
        <family val="2"/>
      </rPr>
      <t>a). Wetland surface and surrounding landscape are seldom sloping and wetland often is domed (convex). Inlet and outlet channels are usually absent.  If known, pH of peat is &lt;4.0.</t>
    </r>
  </si>
  <si>
    <r>
      <t>A2</t>
    </r>
    <r>
      <rPr>
        <sz val="10"/>
        <rFont val="Arial Narrow"/>
        <family val="2"/>
      </rPr>
      <t>.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t>
    </r>
  </si>
  <si>
    <r>
      <t>Following EACH row below, indicate with a number code the percentage of the living vegetation in the AA which is occupied by that feature (</t>
    </r>
    <r>
      <rPr>
        <b/>
        <sz val="10"/>
        <rFont val="Arial Narrow"/>
        <family val="2"/>
      </rPr>
      <t>6</t>
    </r>
    <r>
      <rPr>
        <sz val="10"/>
        <rFont val="Arial Narrow"/>
        <family val="2"/>
      </rPr>
      <t xml:space="preserve"> if &gt;95%, </t>
    </r>
    <r>
      <rPr>
        <b/>
        <sz val="10"/>
        <rFont val="Arial Narrow"/>
        <family val="2"/>
      </rPr>
      <t>5</t>
    </r>
    <r>
      <rPr>
        <sz val="10"/>
        <rFont val="Arial Narrow"/>
        <family val="2"/>
      </rPr>
      <t xml:space="preserve"> if 75-95%, </t>
    </r>
    <r>
      <rPr>
        <b/>
        <sz val="10"/>
        <rFont val="Arial Narrow"/>
        <family val="2"/>
      </rPr>
      <t>4</t>
    </r>
    <r>
      <rPr>
        <sz val="10"/>
        <rFont val="Arial Narrow"/>
        <family val="2"/>
      </rPr>
      <t xml:space="preserve"> if 50-75%, </t>
    </r>
    <r>
      <rPr>
        <b/>
        <sz val="10"/>
        <rFont val="Arial Narrow"/>
        <family val="2"/>
      </rPr>
      <t>3</t>
    </r>
    <r>
      <rPr>
        <sz val="10"/>
        <rFont val="Arial Narrow"/>
        <family val="2"/>
      </rPr>
      <t xml:space="preserve"> if 25-50%, </t>
    </r>
    <r>
      <rPr>
        <b/>
        <sz val="10"/>
        <rFont val="Arial Narrow"/>
        <family val="2"/>
      </rPr>
      <t>2</t>
    </r>
    <r>
      <rPr>
        <sz val="10"/>
        <rFont val="Arial Narrow"/>
        <family val="2"/>
      </rPr>
      <t xml:space="preserve"> if 5-25%, </t>
    </r>
    <r>
      <rPr>
        <b/>
        <sz val="10"/>
        <rFont val="Arial Narrow"/>
        <family val="2"/>
      </rPr>
      <t>1</t>
    </r>
    <r>
      <rPr>
        <sz val="10"/>
        <rFont val="Arial Narrow"/>
        <family val="2"/>
      </rPr>
      <t xml:space="preserve"> if &lt;5%, </t>
    </r>
    <r>
      <rPr>
        <b/>
        <sz val="10"/>
        <rFont val="Arial Narrow"/>
        <family val="2"/>
      </rPr>
      <t>0</t>
    </r>
    <r>
      <rPr>
        <sz val="10"/>
        <rFont val="Arial Narrow"/>
        <family val="2"/>
      </rPr>
      <t xml:space="preserve"> if none). If the vegetated part of the AA is largely herbaceous (non-woody) vegetation, these percentages should not sum to 100%.</t>
    </r>
  </si>
  <si>
    <t>Determine which two woody plant species comprise the greatest portion of the low (&lt;3 m) woody cover . Then choose one:</t>
  </si>
  <si>
    <t>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t>
  </si>
  <si>
    <t>In aerial ("ducks eye") view, the maximum annual cover of herbaceous vegetation (all non-woody plants except moss) is:</t>
  </si>
  <si>
    <r>
      <t xml:space="preserve">those species together comprise </t>
    </r>
    <r>
      <rPr>
        <b/>
        <sz val="10"/>
        <rFont val="Arial Narrow"/>
        <family val="2"/>
      </rPr>
      <t>&gt; 50%</t>
    </r>
    <r>
      <rPr>
        <sz val="10"/>
        <rFont val="Arial Narrow"/>
        <family val="2"/>
      </rPr>
      <t xml:space="preserve"> of the areal cover of herbaceous plants at any time during the year.</t>
    </r>
  </si>
  <si>
    <t>The percentage of the AA's area that is between the annual high water and the annual low water (surface water) is:</t>
  </si>
  <si>
    <r>
      <t xml:space="preserve">None, or &lt;0.01 hectare and &lt;1% of the AA.  </t>
    </r>
    <r>
      <rPr>
        <b/>
        <sz val="10"/>
        <rFont val="Arial Narrow"/>
        <family val="2"/>
      </rPr>
      <t>SKIP to F29.</t>
    </r>
  </si>
  <si>
    <r>
      <t xml:space="preserve">The annual fluctuation in surface water level within </t>
    </r>
    <r>
      <rPr>
        <b/>
        <sz val="10"/>
        <rFont val="Arial Narrow"/>
        <family val="2"/>
      </rPr>
      <t xml:space="preserve">most </t>
    </r>
    <r>
      <rPr>
        <sz val="10"/>
        <rFont val="Arial Narrow"/>
        <family val="2"/>
      </rPr>
      <t>of the parts of the AA that contain surface water at least temporarily is:</t>
    </r>
  </si>
  <si>
    <r>
      <t xml:space="preserve">During most times when surface water is present, the percentage that is (1) </t>
    </r>
    <r>
      <rPr>
        <b/>
        <sz val="10"/>
        <rFont val="Arial Narrow"/>
        <family val="2"/>
      </rPr>
      <t xml:space="preserve">ponded </t>
    </r>
    <r>
      <rPr>
        <sz val="10"/>
        <rFont val="Arial Narrow"/>
        <family val="2"/>
      </rPr>
      <t xml:space="preserve">(stagnant, or flows so slowly that fine sediment is not held in suspension) </t>
    </r>
    <r>
      <rPr>
        <b/>
        <sz val="10"/>
        <rFont val="Arial Narrow"/>
        <family val="2"/>
      </rPr>
      <t>AND</t>
    </r>
    <r>
      <rPr>
        <sz val="10"/>
        <rFont val="Arial Narrow"/>
        <family val="2"/>
      </rPr>
      <t xml:space="preserve"> (2) is likely to be deeper than 0.5 m in some places, is:</t>
    </r>
  </si>
  <si>
    <t>&gt; 100 m, or open water is absent at that time.</t>
  </si>
  <si>
    <r>
      <t xml:space="preserve">&lt;1% of the emergent vegetation, or emergent vegetation is absent. </t>
    </r>
    <r>
      <rPr>
        <b/>
        <sz val="10"/>
        <rFont val="Arial Narrow"/>
        <family val="2"/>
      </rPr>
      <t xml:space="preserve"> SKIP to F38.</t>
    </r>
  </si>
  <si>
    <r>
      <t>During most of the part of the growing season when water is present, the spatial pattern</t>
    </r>
    <r>
      <rPr>
        <b/>
        <sz val="10"/>
        <rFont val="Arial Narrow"/>
        <family val="2"/>
      </rPr>
      <t xml:space="preserve"> </t>
    </r>
    <r>
      <rPr>
        <sz val="10"/>
        <rFont val="Arial Narrow"/>
        <family val="2"/>
      </rPr>
      <t xml:space="preserve">of </t>
    </r>
    <r>
      <rPr>
        <b/>
        <sz val="10"/>
        <rFont val="Arial Narrow"/>
        <family val="2"/>
      </rPr>
      <t>emergent</t>
    </r>
    <r>
      <rPr>
        <sz val="10"/>
        <rFont val="Arial Narrow"/>
        <family val="2"/>
      </rPr>
      <t xml:space="preserve"> vegetation within the water is mostly:</t>
    </r>
  </si>
  <si>
    <r>
      <t xml:space="preserve">Most of the AA has a slope of &gt;5%, or is very close to the base of a natural slope longer than 100 and much steeper than the slope of the AA,  </t>
    </r>
    <r>
      <rPr>
        <b/>
        <sz val="10"/>
        <rFont val="Arial Narrow"/>
        <family val="2"/>
      </rPr>
      <t>AND</t>
    </r>
    <r>
      <rPr>
        <sz val="10"/>
        <rFont val="Arial Narrow"/>
        <family val="2"/>
      </rPr>
      <t xml:space="preserve"> the pH of surface water, if known, is &gt;5.5.</t>
    </r>
  </si>
  <si>
    <r>
      <rPr>
        <b/>
        <sz val="10"/>
        <rFont val="Arial Narrow"/>
        <family val="2"/>
      </rPr>
      <t>Ericaceous</t>
    </r>
    <r>
      <rPr>
        <sz val="10"/>
        <rFont val="Arial Narrow"/>
        <family val="2"/>
      </rPr>
      <t xml:space="preserve"> shrubs are ones in the heather family (Ericaceae).  Most have leathery evergreen leaves.  They include rhododendron, azalea, swamp laurel, leatherleaf, Labrador tea, and others. Most require acidic soil.  Although not in the family Ericaceae, sweetgale (</t>
    </r>
    <r>
      <rPr>
        <i/>
        <sz val="10"/>
        <rFont val="Arial Narrow"/>
        <family val="2"/>
      </rPr>
      <t>Myrica gale</t>
    </r>
    <r>
      <rPr>
        <sz val="10"/>
        <rFont val="Arial Narrow"/>
        <family val="2"/>
      </rPr>
      <t>) should be counted also.  [AM, CS, FA, FR, INV, NR, OE, PH, Sens, SFS, WBF, WBN]</t>
    </r>
  </si>
  <si>
    <r>
      <rPr>
        <b/>
        <sz val="10"/>
        <rFont val="Arial Narrow"/>
        <family val="2"/>
      </rPr>
      <t>Deciduous</t>
    </r>
    <r>
      <rPr>
        <sz val="10"/>
        <rFont val="Arial Narrow"/>
        <family val="2"/>
      </rPr>
      <t xml:space="preserve"> shrubs in this region usually include buttonbush, Labrador tea, bayberry (</t>
    </r>
    <r>
      <rPr>
        <i/>
        <sz val="10"/>
        <rFont val="Arial Narrow"/>
        <family val="2"/>
      </rPr>
      <t>Morella</t>
    </r>
    <r>
      <rPr>
        <sz val="10"/>
        <rFont val="Arial Narrow"/>
        <family val="2"/>
      </rPr>
      <t>), huckleberry, cranberry, cloudberry, sweetgale, alder, willow, birch, ash, dogwood, and a few others. If you assigned a code of 3 or higher to any of the first four choices and the ground cover beneath the trees/shrubs is &lt;25% moss, then question F1 might be "B1".  [CS, INV, NR, PH, POL, SBM, Sens]</t>
    </r>
  </si>
  <si>
    <t>Thatch is dead plant material (stems, leaves) resting on the ground surface.  Bare ground that is present under a tree or shrub canopy should be counted. Boulders count as bare ground. Wetlands with mineral soils and that are heavily shaded or are dominated by annual plant species tend to have more extensive areas that are bare during the early growing season.  [AM, EC, INV, NR, OE, POL, PR, SBM, Sens]</t>
  </si>
  <si>
    <t>The depressions may be of human or natural origin. [AM, EC, INV, NR, PH, POL, PR, SBM, SR, WS]</t>
  </si>
  <si>
    <r>
      <t xml:space="preserve">Wetland Stressors </t>
    </r>
    <r>
      <rPr>
        <sz val="9"/>
        <rFont val="Times New Roman"/>
        <family val="2"/>
      </rPr>
      <t>(STR) (higher score means more stress)</t>
    </r>
  </si>
  <si>
    <t>Determine this by viewing aerial imagery in Google Earth.  [Sens, WBF, WBN]</t>
  </si>
  <si>
    <t>If an ACCDC report is available for this AA, it also may contain such information.  [NRv]</t>
  </si>
  <si>
    <t xml:space="preserve">  </t>
  </si>
  <si>
    <r>
      <t xml:space="preserve">The largest vegetated patch or corridor that includes the AA's vegetation plus all </t>
    </r>
    <r>
      <rPr>
        <b/>
        <sz val="10"/>
        <rFont val="Arial Narrow"/>
        <family val="2"/>
        <scheme val="minor"/>
      </rPr>
      <t>adjacent</t>
    </r>
    <r>
      <rPr>
        <sz val="10"/>
        <rFont val="Arial Narrow"/>
        <family val="2"/>
        <scheme val="minor"/>
      </rPr>
      <t xml:space="preserve"> upland vegetation that is not lawn, row crops, heavily grazed lands, conifer plantation is:</t>
    </r>
  </si>
  <si>
    <t>Distance to Large Ponded Water</t>
  </si>
  <si>
    <r>
      <t xml:space="preserve">The vegetated part of the AA is within or adjacent to a body of non-tidal standing open water whose size exceeds </t>
    </r>
    <r>
      <rPr>
        <b/>
        <sz val="10"/>
        <rFont val="Arial Narrow"/>
        <family val="2"/>
      </rPr>
      <t xml:space="preserve">8 hectares </t>
    </r>
    <r>
      <rPr>
        <sz val="10"/>
        <rFont val="Arial Narrow"/>
        <family val="2"/>
      </rPr>
      <t>during most of a normal year.</t>
    </r>
  </si>
  <si>
    <t>1-25% of the AA,  or &lt;1% but &gt;0.01 ha never contains surface water.</t>
  </si>
  <si>
    <r>
      <t xml:space="preserve">&lt;1% . In other words, </t>
    </r>
    <r>
      <rPr>
        <b/>
        <sz val="10"/>
        <rFont val="Arial Narrow"/>
        <family val="2"/>
      </rPr>
      <t>all or nearly all of the AA is covered by water permanently</t>
    </r>
    <r>
      <rPr>
        <sz val="10"/>
        <rFont val="Arial Narrow"/>
        <family val="2"/>
      </rPr>
      <t xml:space="preserve"> </t>
    </r>
    <r>
      <rPr>
        <b/>
        <sz val="10"/>
        <rFont val="Arial Narrow"/>
        <family val="2"/>
      </rPr>
      <t xml:space="preserve">or at least seasonally.  </t>
    </r>
  </si>
  <si>
    <t>This determines to which province's calibration wetlands the raw score of any wetland is normalised. In the function and benefits models, it also triggers the automatic exclusion of indicators for which no spatial data exists in a particular province.</t>
  </si>
  <si>
    <t>Stan-dardise</t>
  </si>
  <si>
    <t>Stan-dardize</t>
  </si>
  <si>
    <t>The capacity to support rearing or spawning habitat of fish species that migrate from marine waters into freshwater streams to spawn.  Catadromous species (e.g., eels that spawn in marine waters but spend most of their life in fresh) are also included.</t>
  </si>
  <si>
    <t>For this question only, consider moss to be herbaceous vegetation.  Determine the score by viewing aerial imagery in Google Earth after successively drawing or estimating the boundaries of the buffers of 5 km, 1 km, and 100 m radius focused on the center of the AA.  Circles of specified radius can be drawn in Google Earth Pro by clicking on the Ruler icon, then Circle in the pop-up menu.  [AMv, PHv, POLv, SBMv, WBFv, WBNv]</t>
  </si>
  <si>
    <t>OF18</t>
  </si>
  <si>
    <t xml:space="preserve">A disproportionate amount of the nitrate introduced to a watershed is processed in headwater areas rather than in downstream lowland areas (Krause 1982).  However, where headwaters are at regionally high altitudes, the cooler temperatures and shorter growing seasons can potentially restrain denitrification. </t>
  </si>
  <si>
    <t xml:space="preserve">Benefits Score (Normalised) </t>
  </si>
  <si>
    <t>Function Score (Normalised)</t>
  </si>
  <si>
    <r>
      <rPr>
        <b/>
        <sz val="10"/>
        <rFont val="Arial Narrow"/>
        <family val="2"/>
      </rPr>
      <t>Loamy:</t>
    </r>
    <r>
      <rPr>
        <sz val="10"/>
        <rFont val="Arial Narrow"/>
        <family val="2"/>
      </rPr>
      <t xml:space="preserve"> soils that may contain a little fine grit and do not make a "ribbon" longer than 2 cm when moistened, rolled, squeezed, and extended between thumb and forefinger.</t>
    </r>
  </si>
  <si>
    <r>
      <rPr>
        <b/>
        <sz val="10"/>
        <rFont val="Arial Narrow"/>
        <family val="2"/>
      </rPr>
      <t>Fines</t>
    </r>
    <r>
      <rPr>
        <sz val="10"/>
        <rFont val="Arial Narrow"/>
        <family val="2"/>
      </rPr>
      <t>: includes silt, clay, silt, soils that make a ribbon longer than 2 cm when moistened, rolled, squeezed, and extended between thumb and forefinger.</t>
    </r>
  </si>
  <si>
    <r>
      <rPr>
        <b/>
        <sz val="10"/>
        <rFont val="Arial Narrow"/>
        <family val="2"/>
      </rPr>
      <t>Coarse</t>
    </r>
    <r>
      <rPr>
        <sz val="10"/>
        <rFont val="Arial Narrow"/>
        <family val="2"/>
      </rPr>
      <t>: includes sand, loamy sand, gravel, cobble, soils that do not make a ribbon when moistened, rolled, squeezed, and extended between thumb and forefinger.</t>
    </r>
  </si>
  <si>
    <t>See definition of adjacent in OF2.  Use Google Earth Pro's polygon ruler (as described above). Exclude conifer plantations only if it is obvious that trees were planted in rows. [AM, PH, SBM, Sens]</t>
  </si>
  <si>
    <t>See definition of adjacent in OF2.  If the AA's wetland vegetation extends beyond 1 km, include only the part within 1 km.  "Ponded" means not flowing in rivers or streams. [Sens, WBF]</t>
  </si>
  <si>
    <t>1 hectare is 10,000 sq. m or about 2.5 acres.  It could have dimensions of 100 m by 100 m, 1000 m by 10 m, or similar. [AM, INV, SBM, WBF]</t>
  </si>
  <si>
    <t>1 hectare is 10,000 sq. m or about 2.5 acres.  It could have dimensions of 100 m by 100 m, 1000 m by 10 m, or similar. [AM, FA, FR, INV, NR, PH, PR, SBM, Sens, SRv, WBF, WBN, WC ]</t>
  </si>
  <si>
    <t>&lt;50 m, but completely separated by those features.</t>
  </si>
  <si>
    <r>
      <t xml:space="preserve">&gt;2 km, </t>
    </r>
    <r>
      <rPr>
        <b/>
        <sz val="10"/>
        <rFont val="Arial Narrow"/>
        <family val="2"/>
        <scheme val="minor"/>
      </rPr>
      <t>or wetland lacks an inlet and outlet.</t>
    </r>
  </si>
  <si>
    <t>Wetlands located lower in a watershed are generally more accessible to anadromous fish.</t>
  </si>
  <si>
    <t>Stan- dardise</t>
  </si>
  <si>
    <t>karst8</t>
  </si>
  <si>
    <t>AVERAGE [WetType, AVERAGE(Depth, Warmth, DecidTree, Hardwood, WoodDown, Nfixers, Conduc, TidalProx, Karst) ]</t>
  </si>
  <si>
    <r>
      <t xml:space="preserve">Areas of calcareous bedrock (karst landforms) tend to have more naturally-formed crevices and tunnels that could provide cover for amphibians during their terrestrial phases. Karst also tends to support higher aquatic productivity. </t>
    </r>
    <r>
      <rPr>
        <i/>
        <sz val="10"/>
        <rFont val="Arial Narrow"/>
        <family val="2"/>
      </rPr>
      <t xml:space="preserve">In calculations, the 0-3 category is first divided by 3. </t>
    </r>
  </si>
  <si>
    <t>Karst11</t>
  </si>
  <si>
    <t>AVERAGE(Aspect, GDD,TreeVar, GroundW, Karst)</t>
  </si>
  <si>
    <t>Data x Weight</t>
  </si>
  <si>
    <t>Data x  Weight</t>
  </si>
  <si>
    <t xml:space="preserve">IF((FloodBdg=1), 1, AVERAGE(FloodBdg, AVERAGE: (ShedPos, CAunveg, Transport))
</t>
  </si>
  <si>
    <t>Arcement, G. J., Jr., and V.R. Schneider.  1989. Guide for selecting Mannings’s roughness coefficients for natural channels and floodplains.  Water-Supply Paper 2339, U.S. Geological Survey, Washington, DC.</t>
  </si>
  <si>
    <t>The effectiveness for extending flow duration into drier parts of a growing season.</t>
  </si>
  <si>
    <t>Hazlett, P., K. Broad, A. Gordon, P. Sibley, J. Buttle, and D. Larmer. 2008. The importance of catchment slope to soil water N and C concentrations in riparian zones: implications for riparian buffer width. Canadian Journal of Forest Research 38:16-30.</t>
  </si>
  <si>
    <t>Stressor subscore=</t>
  </si>
  <si>
    <r>
      <t xml:space="preserve">Atlantic salmon eggs and smolts are particularly sensitive to low pH (Rosseland et al. 2001, McCormick et al. 2012). </t>
    </r>
    <r>
      <rPr>
        <i/>
        <sz val="10"/>
        <rFont val="Arial Narrow"/>
        <family val="2"/>
      </rPr>
      <t xml:space="preserve"> If pH is between 5 and 9, the function score is set to 1, otherwise 0.5 if water is not tea-coloured, 0 if it is.</t>
    </r>
  </si>
  <si>
    <r>
      <t xml:space="preserve">Fewer resident fish thrive in acidic (low pH) wetlands and ponds. However, as pond size increases and they begin to resemble lakes, pH often increases and consequently the ability to support a wider array of fish (Rempel &amp; Colby 1991, Kimmel &amp; Argent 2010, Sutela et al. 2010). </t>
    </r>
    <r>
      <rPr>
        <i/>
        <sz val="10"/>
        <rFont val="Arial Narrow"/>
        <family val="2"/>
      </rPr>
      <t>If pH is between 7.5 and 9, the function score is set to 1, otherwise 0.5 if water is not tea-coloured, 0 if it is.</t>
    </r>
  </si>
  <si>
    <r>
      <t xml:space="preserve">In general, non-saline waters with greater TDS or conductivity are more fertile, are better-buffered against large changes in acidity, and potentially produce more fish (Rempel &amp; Colby 1991, Kimmel &amp; Argent 2010) but levels greater than about 2000 mg/L TDS are usually harmful (Weber-Scannell &amp; Duffy 2007). </t>
    </r>
    <r>
      <rPr>
        <i/>
        <sz val="10"/>
        <rFont val="Arial Narrow"/>
        <family val="2"/>
      </rPr>
      <t xml:space="preserve"> In calculations, assigned score of 0 if TDS&gt;2000 mg/L or conductivity&gt;4000 µS/cm or if plants indicate highly saline conditions.  Otherwise, is assigned score of 1 if TDS&gt;300 mg/L or conductivity is &gt;600 µS/cm.  All other measurements are assigned a score of 0.5.</t>
    </r>
  </si>
  <si>
    <r>
      <t xml:space="preserve">In general, non-saline waters with greater TDS or conductivity are more fertile, are better-buffered against large changes in acidity, and potentially produce greater biomass of aquatic invertebrates.   </t>
    </r>
    <r>
      <rPr>
        <i/>
        <sz val="10"/>
        <rFont val="Arial Narrow"/>
        <family val="2"/>
      </rPr>
      <t>In calculations, assigned score of 0 if TDS&gt;2000 mg/L or conductivity&gt;4000 µS/cm.  Otherwise, is assigned score of 1 if TDS&gt;300 mg/L or conductivity is &gt;600 µS/cm.  All other conditions are assigned a score of 0.5.</t>
    </r>
  </si>
  <si>
    <t>AVERAGE(Wettype, Acidity,Warmth, Fringe, Lake, Fish, Algae, TidalProx, Gradient)</t>
  </si>
  <si>
    <r>
      <t xml:space="preserve">Beaver are a key driver for increasing and maintaining open water area throughout a region (Hood &amp; Bayley 2008). </t>
    </r>
    <r>
      <rPr>
        <i/>
        <sz val="10"/>
        <rFont val="Arial Narrow"/>
        <family val="2"/>
      </rPr>
      <t xml:space="preserve">In calculations, is excluded automatically (cell goes blank) if wetland never has surface water during an average year. </t>
    </r>
  </si>
  <si>
    <t>Acid12</t>
  </si>
  <si>
    <r>
      <t xml:space="preserve">When non-acidic ponds are available, most duck species prefer to nest in those rather than acidic lakes and wetlands (Paquette &amp; Ankney 1996, Epners et al. 2010), and nestling survival of at least one species is less in low-pH wetlands (McAuley &amp; Longcore 1988). Fish-eating waterbirds in this region are most productive when nesting in non-acidic ponds (pH of 5.5 or greater, Parker et al. 1992), but in Maine sometimes nested in lakes that were more acidic (Gibbs et al. 1991). Some nesting waterbird species in Maine seemed unaffected by pond pH (Parker et al. 1992). </t>
    </r>
    <r>
      <rPr>
        <i/>
        <sz val="10"/>
        <rFont val="Arial Narrow"/>
        <family val="2"/>
      </rPr>
      <t>In calculations, the indicator score is set to 0 if pH is &lt;5 or if water is darkly tea-coloured; otherwise it is set to blank and ignored in the model calculations.</t>
    </r>
  </si>
  <si>
    <r>
      <t xml:space="preserve">Small mammals moving between wetlands are less likely to have their movements disrupted by lands with residual cover than in lands with impervious surface, but both are capable of hindering dispersal (Flaherty et al. 2008). </t>
    </r>
    <r>
      <rPr>
        <i/>
        <sz val="10"/>
        <rFont val="Arial Narrow"/>
        <family val="2"/>
      </rPr>
      <t>In calculations, is excluded automatically (cell goes blank) if F52 was answered "&gt;90%".</t>
    </r>
  </si>
  <si>
    <t>Human presence can attract crows and ravens which prey on nests. Dogs and house cats that prey on wetland songbirds and mammals also tend to be more prevalent in areas frequently visited by humans.</t>
  </si>
  <si>
    <r>
      <t xml:space="preserve">Under many circumstances, a pH of less than about 4.5 inhibits reproduction and growth of most amphibians (Freda 1986). However, a survey of 159 Nova Scotia wetlands and ponds found green frog tadpoles in a wetland with pH 3.9, and six of 11 amphibian species were found in at least one wetland with a pH of less than 4.5 (Dale et al. 1985). Wood frogs appeared to be the most acid-tolerant, overall. </t>
    </r>
    <r>
      <rPr>
        <i/>
        <sz val="10"/>
        <rFont val="Arial Narrow"/>
        <family val="2"/>
      </rPr>
      <t xml:space="preserve"> If pH is &lt;4, the indicator score is set to 0, or is set to 0.5 if the pH is between 4 and 5 or if water is darkly tea-coloured. Otherwise, score is set to 1. </t>
    </r>
  </si>
  <si>
    <r>
      <t xml:space="preserve">Food availability for most waterbird species in this region is greatest in wetlands whose pH is &gt;7.5 (basic pH) and significantly less where pH is less than about 6.5 (Hanson &amp; Calkins 1996).  </t>
    </r>
    <r>
      <rPr>
        <i/>
        <sz val="10"/>
        <rFont val="Arial Narrow"/>
        <family val="2"/>
      </rPr>
      <t xml:space="preserve">If pH is &lt;4, the indicator score is set to 0, or is set to 0.5 if the pH is between 4 and 7.5 or if water is darkly tea-coloured. Otherwise, score is set to 1. </t>
    </r>
  </si>
  <si>
    <r>
      <t xml:space="preserve">Acidity (pH) influences the species composition, diversity, and productivity of plants within this region's wetlands (Catling et al. 1986, Mullen et al. 2000). Although acidic wetlands tend to be less fertile, they often are the most diverse (e.g., Woodcock et al. 2005).  Especially when located near the coast, they often contain plant species that are regionally rare because they cannot withstand the competition present in less acidic, more fertile wetlands that occur more widely (Moore et al. 1989).  However, acidic lakes that are naturally stained by tannins ("brownwater lakes") have fewer submersed aquatic plant species because the stained water reduces underwater light (Kerekes &amp; Freedman 1989).  </t>
    </r>
    <r>
      <rPr>
        <i/>
        <sz val="10"/>
        <rFont val="Arial Narrow"/>
        <family val="2"/>
      </rPr>
      <t xml:space="preserve"> If pH is &lt;5.5, the indicator score is set to 1. Otherwise, this indicator is ignored in calculations.</t>
    </r>
  </si>
  <si>
    <r>
      <t xml:space="preserve">Nutrients, as represented indirectly by conductivity and/or TDS, directly influence the species composition (Srivastava et al. 1995), diversity, and productivity of plants within this region's wetlands, perhaps to a greater degree than acidity. In nearby regions, plant species richness in wetland quadrats declined with increasing nitrate and phosphorus (Houlahan et al. 2006), especially when conductivity exceeded ~400 µS/cm (Johnson &amp; Leopold 1994).  </t>
    </r>
    <r>
      <rPr>
        <i/>
        <sz val="10"/>
        <rFont val="Arial Narrow"/>
        <family val="2"/>
      </rPr>
      <t>In calculations, the score is set to 1 if TDS exceeds 220 mg/L or conductivity exceeds 400 uS/cm). In calculations, indicator is ignored if any other condition exists.</t>
    </r>
  </si>
  <si>
    <r>
      <t xml:space="preserve">Some types of surrounding land cover are more likely to produce propagules of invasive plants that may reduce native plant richness in an adjoining wetland. </t>
    </r>
    <r>
      <rPr>
        <i/>
        <sz val="10"/>
        <rFont val="Arial Narrow"/>
        <family val="2"/>
      </rPr>
      <t>In calculations, is excluded automatically (cell goes blank) if F52 was answered "&gt;90%".</t>
    </r>
  </si>
  <si>
    <r>
      <t>Low-pH wetlands are particularly sensitive to further acidification by acid rain.  They are often darkly tea-coloured due to tannins associated with humic acids.</t>
    </r>
    <r>
      <rPr>
        <i/>
        <sz val="10"/>
        <rFont val="Arial Narrow"/>
        <family val="2"/>
      </rPr>
      <t xml:space="preserve"> In calculations, the indicator score is set to 1 if pH is &lt;5 or if water is darkly tea-coloured; otherwise it is set to blank and ignored in the model calculations.</t>
    </r>
  </si>
  <si>
    <r>
      <t xml:space="preserve">Narrow outlets limit water outflow from a wetland and thus tend to cause the wetland to confine and accumulate sediment that has been washed in. The types of outlets described here are ones that typically are more constricted than natural channels. Natural channels usually have adjusted over time to local runoff and thus tend to be wider relative to volume of flow received. </t>
    </r>
    <r>
      <rPr>
        <i/>
        <sz val="10"/>
        <rFont val="Arial Narrow"/>
        <family val="2"/>
      </rPr>
      <t>In calculations, is excluded automatically (cell goes blank) if no outlet.</t>
    </r>
  </si>
  <si>
    <t xml:space="preserve">Wetlands with lower conductivity or TDS generally (but not always) have lower alkalinity, which otherwise would buffer the wetland's chemistry against large changes induced by acid rain.  In calculations, the indicator score is set to 1 if TDS&lt;300 mg/L or conductivity is &lt;600 µS/cm or if water is darkly tea-coloured; otherwise it is set to blank and ignored in the model calculations.  </t>
  </si>
  <si>
    <t>Hanson, A.R. and L. Calkins. 1996. Wetlands of the Maritime Provinces: Revised Documentation for the Wetlands Inventory. Technical Report Series Number 267.  Environment Canada, Ottawa, Ontario.</t>
  </si>
  <si>
    <t>Consider the connection regardless of whether the surface water is frozen. The "downslope stream network" could consist of ditches, rivers, ponds, or lakes which eventually connect to the ocean. If this cannot be determined while visiting the AA, consult topographic maps perhaps by viewing these online with Toporama (http://atlas.nrcan.gc.ca/toporama/en/index.html)  [CS, FA, FR, NR, OE, PR, Sens, SFS, SR, WCv, WS]</t>
  </si>
  <si>
    <r>
      <t xml:space="preserve">This indicator is similar to the one above but focuses specifically on the type of unsuitable land cover closest to the wetland. </t>
    </r>
    <r>
      <rPr>
        <i/>
        <sz val="10"/>
        <rFont val="Arial Narrow"/>
        <family val="2"/>
      </rPr>
      <t>In calculations, is excluded automatically (cell goes blank) if F52 was answered "&gt;90%".</t>
    </r>
  </si>
  <si>
    <r>
      <t>The type as well as the amount of upland cover near the wetland is important to nesting waterbirds. Impervious surfaces are unusable, whereas some low-intensity rural lands can provide marginally suitable cover.</t>
    </r>
    <r>
      <rPr>
        <i/>
        <sz val="10"/>
        <rFont val="Arial Narrow"/>
        <family val="2"/>
      </rPr>
      <t xml:space="preserve"> In calculations, is excluded automatically (cell goes blank) if F52 was answered "&gt;90%".</t>
    </r>
  </si>
  <si>
    <t>Preferably, measure this in larger areas of ponded surface water within the AA, or in streams that have passed through (not along) most of the AA. Unless surface water is completely absent, do not dig holes or make depressions in peat in order to provide water for this measurement.  Avoid measuring near roads or in puddles formed only by recent rain. [AM, FA, FR, NR, WBF, PH, PR, Sens, WBF, WBN]</t>
  </si>
  <si>
    <r>
      <t xml:space="preserve">&gt;90% of the land. </t>
    </r>
    <r>
      <rPr>
        <b/>
        <sz val="10"/>
        <rFont val="Arial Narrow"/>
        <family val="2"/>
        <scheme val="minor"/>
      </rPr>
      <t>SKIP to OF10.</t>
    </r>
  </si>
  <si>
    <t xml:space="preserve">&lt;50 m, and not separated by any width of paved roads, stretches of open water, row crops, lawn, bare ground, or impervious surface. </t>
  </si>
  <si>
    <r>
      <t xml:space="preserve">The distance from the AA center to the closest (but separate) </t>
    </r>
    <r>
      <rPr>
        <sz val="10"/>
        <rFont val="Arial Narrow"/>
        <family val="2"/>
        <scheme val="minor"/>
      </rPr>
      <t xml:space="preserve">non-tidal body of water that is ponded during most of the year and is </t>
    </r>
    <r>
      <rPr>
        <b/>
        <sz val="10"/>
        <rFont val="Arial Narrow"/>
        <family val="2"/>
        <scheme val="minor"/>
      </rPr>
      <t>larger than 8 hectares</t>
    </r>
    <r>
      <rPr>
        <sz val="10"/>
        <rFont val="Arial Narrow"/>
        <family val="2"/>
        <scheme val="minor"/>
      </rPr>
      <t xml:space="preserve"> during most of a normal year is:</t>
    </r>
  </si>
  <si>
    <t>During most of the year, open water within or adjacent to the vegetated part of the wetland is much wider than the maximum width of the vegetated zone within the wetland. Enter "1" if true, "0" if false.</t>
  </si>
  <si>
    <t>[FA, NR, Sens, SFSv, WCv, WSv]</t>
  </si>
  <si>
    <r>
      <rPr>
        <b/>
        <sz val="10"/>
        <rFont val="Arial Narrow"/>
        <family val="2"/>
      </rPr>
      <t>Deep Peat</t>
    </r>
    <r>
      <rPr>
        <sz val="10"/>
        <rFont val="Arial Narrow"/>
        <family val="2"/>
      </rPr>
      <t>, to 40 cm depth or greater.</t>
    </r>
  </si>
  <si>
    <r>
      <rPr>
        <b/>
        <sz val="10"/>
        <rFont val="Arial Narrow"/>
        <family val="2"/>
      </rPr>
      <t>Shallow Peat</t>
    </r>
    <r>
      <rPr>
        <sz val="10"/>
        <rFont val="Arial Narrow"/>
        <family val="2"/>
      </rPr>
      <t xml:space="preserve"> or organic &lt;40 cm deep. </t>
    </r>
  </si>
  <si>
    <r>
      <t xml:space="preserve">1-4% of the ponded water. Enter "1" and </t>
    </r>
    <r>
      <rPr>
        <b/>
        <sz val="10"/>
        <rFont val="Arial Narrow"/>
        <family val="2"/>
      </rPr>
      <t>SKIP to F41</t>
    </r>
    <r>
      <rPr>
        <sz val="10"/>
        <rFont val="Arial Narrow"/>
        <family val="2"/>
      </rPr>
      <t xml:space="preserve"> (Floating Algae &amp; Duckweed).</t>
    </r>
  </si>
  <si>
    <t>&lt;0.01 hectare (about 10 m x 10 m).</t>
  </si>
  <si>
    <t>0.01 - 0.1 hectare.</t>
  </si>
  <si>
    <t>0.1 - 1 hectare.</t>
  </si>
  <si>
    <t>1 to 10 hectares.</t>
  </si>
  <si>
    <t>10 to 100 hectares.</t>
  </si>
  <si>
    <t>&gt;100 hectares.</t>
  </si>
  <si>
    <t>100 to 1000 hectares.</t>
  </si>
  <si>
    <r>
      <t>&gt;1000 hectares. [</t>
    </r>
    <r>
      <rPr>
        <i/>
        <sz val="10"/>
        <rFont val="Arial Narrow"/>
        <family val="2"/>
        <scheme val="minor"/>
      </rPr>
      <t>This is nearly always the answer in relatively undeveloped landscapes.</t>
    </r>
    <r>
      <rPr>
        <sz val="10"/>
        <rFont val="Arial Narrow"/>
        <family val="2"/>
        <scheme val="minor"/>
      </rPr>
      <t>]</t>
    </r>
  </si>
  <si>
    <t>&lt;100 m.</t>
  </si>
  <si>
    <t>100 - 500 m.</t>
  </si>
  <si>
    <t>0.5- 1 km.</t>
  </si>
  <si>
    <t>1 - 5 km.</t>
  </si>
  <si>
    <t>&gt;5 km.</t>
  </si>
  <si>
    <t>&lt;10 m.</t>
  </si>
  <si>
    <t>10 - 25 m.</t>
  </si>
  <si>
    <t>25 - 50 m.</t>
  </si>
  <si>
    <t>50 - 100 m.</t>
  </si>
  <si>
    <t>&gt;500 m.</t>
  </si>
  <si>
    <t>100 m - 1 km.</t>
  </si>
  <si>
    <t>1 -2 km.</t>
  </si>
  <si>
    <t>2-5 km.</t>
  </si>
  <si>
    <t>5-10 km.</t>
  </si>
  <si>
    <t>&gt;10 km.</t>
  </si>
  <si>
    <t>10-40 km.</t>
  </si>
  <si>
    <t>&gt;40 km.</t>
  </si>
  <si>
    <t>0.01 to 0.1.</t>
  </si>
  <si>
    <t>0.1 to 1.</t>
  </si>
  <si>
    <t>&lt;10%.</t>
  </si>
  <si>
    <t>10 to 25%.</t>
  </si>
  <si>
    <t>&gt;25%.</t>
  </si>
  <si>
    <t>Mostly true.</t>
  </si>
  <si>
    <t>Somewhat true.</t>
  </si>
  <si>
    <t>Mostly untrue.</t>
  </si>
  <si>
    <t>10 - 50 m.</t>
  </si>
  <si>
    <t>100 - 1000 m.</t>
  </si>
  <si>
    <t>1- 2 km.</t>
  </si>
  <si>
    <r>
      <t xml:space="preserve">The AA is part of or contiguous to a wetland on which public or private organizational funds were spent to preserve, create, restore, or enhance the wetland (excluding mitigation wetlands). Ask the property owner. Enter: yes= 1, no= 0. If no information, change to </t>
    </r>
    <r>
      <rPr>
        <b/>
        <sz val="10"/>
        <rFont val="Arial Narrow"/>
        <family val="2"/>
        <scheme val="minor"/>
      </rPr>
      <t>blank</t>
    </r>
    <r>
      <rPr>
        <sz val="10"/>
        <rFont val="Arial Narrow"/>
        <family val="2"/>
        <scheme val="minor"/>
      </rPr>
      <t xml:space="preserve"> (not 0).</t>
    </r>
  </si>
  <si>
    <r>
      <t xml:space="preserve">Plants, animals, or water in the AA have been monitored for &gt;2 years, unrelated to any regulatory requirements, and data are available to the public. Or the AA is part of an area that has been designated by an agency or institution as a benchmark, reference, or status-trends monitoring area.  Ask the property owner.  Enter: yes= 1, no= 0. If no information, change to </t>
    </r>
    <r>
      <rPr>
        <b/>
        <sz val="10"/>
        <rFont val="Arial Narrow"/>
        <family val="2"/>
        <scheme val="minor"/>
      </rPr>
      <t>blank</t>
    </r>
    <r>
      <rPr>
        <sz val="10"/>
        <rFont val="Arial Narrow"/>
        <family val="2"/>
        <scheme val="minor"/>
      </rPr>
      <t>.</t>
    </r>
  </si>
  <si>
    <t>Ponded Water &amp; Wetland Within 1 km.</t>
  </si>
  <si>
    <r>
      <t xml:space="preserve">&lt;50 m, and not separated from the 375-ha vegetated area by any width of </t>
    </r>
    <r>
      <rPr>
        <b/>
        <sz val="10"/>
        <rFont val="Arial Narrow"/>
        <family val="2"/>
        <scheme val="minor"/>
      </rPr>
      <t>paved</t>
    </r>
    <r>
      <rPr>
        <sz val="10"/>
        <rFont val="Arial Narrow"/>
        <family val="2"/>
        <scheme val="minor"/>
      </rPr>
      <t xml:space="preserve"> roads, stretches of open water, row crops, bare ground, lawn, or impervious surface. Or the AA itself contains &gt;375 ha of vegetation. [This is often the answer in relatively undeveloped landscapes.]</t>
    </r>
  </si>
  <si>
    <t>None of the above (the closest patches or corridors which are that large are &gt;5 km away).</t>
  </si>
  <si>
    <t>Impervious surface, e.g., paved road, parking lot, building, exposed rock.</t>
  </si>
  <si>
    <t>Bare pervious surface, e.g., lawn, recent (&lt;5 yrs ago) clearcut, dirt or gravel road, cropland, landslide, conifer plantation.</t>
  </si>
  <si>
    <r>
      <t xml:space="preserve">Draw a circle of radius of 5 km from the center of the AA. If mammals and amphibians can move from the center of the AA to ALL other separate wetlands and ponds located within the circle without being forced to cross pavement (any width), lawns, bare ground, and/or marine waters, mark 1= yes can move to all, 0= no.  Change to </t>
    </r>
    <r>
      <rPr>
        <b/>
        <sz val="10"/>
        <rFont val="Arial Narrow"/>
        <family val="2"/>
        <scheme val="minor"/>
      </rPr>
      <t>blank</t>
    </r>
    <r>
      <rPr>
        <sz val="10"/>
        <rFont val="Arial Narrow"/>
        <family val="2"/>
        <scheme val="minor"/>
      </rPr>
      <t xml:space="preserve"> if there are no other wetlands within 5 km.</t>
    </r>
  </si>
  <si>
    <t>None of the above (the closest patches or corridors that large are &gt;1 km away).</t>
  </si>
  <si>
    <t>Other (E, SE, W, NW), or no detectable uphill slope or input channel (flat).</t>
  </si>
  <si>
    <t>Has not been documented to support Atlantic salmon rearing and/or spawning, but is connected to nearby waters likely to contain Atlantic salmon or other anadromous species or eels and is probably accessed by those during some conditions.</t>
  </si>
  <si>
    <r>
      <t xml:space="preserve">Is probably is not accessed by any anadromous fish species but is known or likely to have </t>
    </r>
    <r>
      <rPr>
        <b/>
        <sz val="10"/>
        <rFont val="Arial Narrow"/>
        <family val="2"/>
        <scheme val="minor"/>
      </rPr>
      <t>other fish</t>
    </r>
    <r>
      <rPr>
        <sz val="10"/>
        <rFont val="Arial Narrow"/>
        <family val="2"/>
        <scheme val="minor"/>
      </rPr>
      <t xml:space="preserve"> at least seasonally.</t>
    </r>
    <r>
      <rPr>
        <u/>
        <sz val="10"/>
        <rFont val="Times New Roman"/>
        <family val="2"/>
      </rPr>
      <t/>
    </r>
  </si>
  <si>
    <t xml:space="preserve">Is known or likely to be fishless (e.g., too small, dry, and/or not accessible even temporarily, and not stocked). </t>
  </si>
  <si>
    <t>None of the above, or no data.</t>
  </si>
  <si>
    <r>
      <t xml:space="preserve">In Google Earth, open the KMZ file that accompanies this calculator, called BlackDuck.  Adjust its alignment and opacity. Determine the predicted density (pairs per 25 sq. km) of nesting American Black Duck in the AA's vicinity: &lt;10 (enter 0), 10-20 (enter 1), 20-30 (enter 2), &gt;30 (enter 3).  If outside of region shown in map, change to </t>
    </r>
    <r>
      <rPr>
        <b/>
        <sz val="10"/>
        <rFont val="Arial Narrow"/>
        <family val="2"/>
        <scheme val="minor"/>
      </rPr>
      <t>blank</t>
    </r>
    <r>
      <rPr>
        <sz val="10"/>
        <rFont val="Arial Narrow"/>
        <family val="2"/>
        <scheme val="minor"/>
      </rPr>
      <t>.</t>
    </r>
  </si>
  <si>
    <t>Ownership is public (e.g., municipal, Crown Reservations/Notations) but some or all of the above activities are allowed.</t>
  </si>
  <si>
    <t>Ownership is private but public access is allowed, and/or a shorter-term conservation easement (whether renewable or not) is in place.</t>
  </si>
  <si>
    <t>Ownership is private and owner does not allow access, or access permission unknown, and not a conservation easement.</t>
  </si>
  <si>
    <t xml:space="preserve">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 NOTE: Exclude lawns, row crops, heavily grazed lands, forest, shrublands. Include moss as well as grasslike plants in this use of "herbaceous vegetation"]
</t>
  </si>
  <si>
    <t>[AM, NR, SFS, WC, WS]</t>
  </si>
  <si>
    <t>[FA, INV, NRv, PRv, SRv, STR, WCv, WSv]</t>
  </si>
  <si>
    <t>"Private lands" may include those owned or leased by non-governmental organizations, e.g., charitable conservation land trusts, DUC, TNC.  [PU, STR]</t>
  </si>
  <si>
    <r>
      <rPr>
        <b/>
        <i/>
        <u/>
        <sz val="11"/>
        <rFont val="Arial Narrow"/>
        <family val="2"/>
      </rPr>
      <t>Reminder</t>
    </r>
    <r>
      <rPr>
        <i/>
        <sz val="11"/>
        <rFont val="Arial Narrow"/>
        <family val="2"/>
      </rPr>
      <t>: For all questions, the AA should include all persistent waters in ponds smaller than 8 hectares (~283 m on a side) that are adjacent to the AA.  The AA should also include part of the water area of adjacent ponded water larger than 8 ha and adjacent rivers wider than 20 m. Specifically, the AA should include the open water part adjacent to wetland vegetation and equal in width to the average width of that vegetated zone. Throughout this data form, "</t>
    </r>
    <r>
      <rPr>
        <b/>
        <i/>
        <sz val="11"/>
        <rFont val="Arial Narrow"/>
        <family val="2"/>
      </rPr>
      <t>adjacent</t>
    </r>
    <r>
      <rPr>
        <i/>
        <sz val="11"/>
        <rFont val="Arial Narrow"/>
        <family val="2"/>
      </rPr>
      <t>" is used synonymously with abutting, adjoining, bordering, contiguous -- and means no upland (manmade or natural) completely separates the described features along their directly shared edge.  Features joined only by a channel are not necessarily considered to be adjacent -- a large portion of their edges must match.  The features do not have to be hydrologically connected in order to be considered adjacent.</t>
    </r>
  </si>
  <si>
    <r>
      <rPr>
        <i/>
        <u/>
        <sz val="11"/>
        <rFont val="Arial Narrow"/>
        <family val="2"/>
      </rPr>
      <t>Note</t>
    </r>
    <r>
      <rPr>
        <i/>
        <sz val="11"/>
        <rFont val="Arial Narrow"/>
        <family val="2"/>
      </rPr>
      <t xml:space="preserve">:  </t>
    </r>
    <r>
      <rPr>
        <i/>
        <sz val="11"/>
        <color rgb="FFFF0000"/>
        <rFont val="Arial Narrow"/>
        <family val="2"/>
      </rPr>
      <t>If none of top 4 rows in F3 was marked 2 or greater</t>
    </r>
    <r>
      <rPr>
        <i/>
        <sz val="11"/>
        <rFont val="Arial Narrow"/>
        <family val="2"/>
      </rPr>
      <t>,</t>
    </r>
    <r>
      <rPr>
        <b/>
        <i/>
        <sz val="11"/>
        <rFont val="Arial Narrow"/>
        <family val="2"/>
      </rPr>
      <t xml:space="preserve">SKIP to F9 </t>
    </r>
    <r>
      <rPr>
        <i/>
        <sz val="11"/>
        <rFont val="Arial Narrow"/>
        <family val="2"/>
      </rPr>
      <t xml:space="preserve">(N fixers). </t>
    </r>
  </si>
  <si>
    <r>
      <t xml:space="preserve">Is the AA plus adjacent ponded water smaller than 0.01 hectare (about 10m x 10m, or 1m x 100 m)?  If so, enter "1" in column D and </t>
    </r>
    <r>
      <rPr>
        <b/>
        <sz val="11"/>
        <rFont val="Arial Narrow"/>
        <family val="2"/>
        <scheme val="minor"/>
      </rPr>
      <t>SKIP TO F42</t>
    </r>
    <r>
      <rPr>
        <sz val="11"/>
        <rFont val="Arial Narrow"/>
        <family val="2"/>
        <scheme val="minor"/>
      </rPr>
      <t xml:space="preserve"> (Connection).</t>
    </r>
  </si>
  <si>
    <r>
      <rPr>
        <b/>
        <u/>
        <sz val="11"/>
        <rFont val="Arial Narrow"/>
        <family val="2"/>
      </rPr>
      <t>Note</t>
    </r>
    <r>
      <rPr>
        <b/>
        <sz val="11"/>
        <rFont val="Arial Narrow"/>
        <family val="2"/>
      </rPr>
      <t xml:space="preserve"> for the next three questions</t>
    </r>
    <r>
      <rPr>
        <sz val="11"/>
        <rFont val="Arial Narrow"/>
        <family val="2"/>
      </rPr>
      <t>: If the AA lacks an upland edge, evaluate based on the AA's entire perimeter, and moving outward into whatever areas are adjacent.  In many situations, these questions are best answered by measuring from aerial images.</t>
    </r>
  </si>
  <si>
    <t>A1.</t>
  </si>
  <si>
    <t>A2.</t>
  </si>
  <si>
    <t>B1.</t>
  </si>
  <si>
    <t>B2.</t>
  </si>
  <si>
    <t>&lt;1% or none.</t>
  </si>
  <si>
    <t>&lt;1 m.</t>
  </si>
  <si>
    <t>1 - 9 m.</t>
  </si>
  <si>
    <t>10 - 29 m.</t>
  </si>
  <si>
    <t>30 - 49 m.</t>
  </si>
  <si>
    <r>
      <t>The most persistent surface water connection (outlet channel or pipe, ditch, or overbank water exchange) between the AA and a downslope stream network is: [</t>
    </r>
    <r>
      <rPr>
        <u/>
        <sz val="10"/>
        <rFont val="Arial Narrow"/>
        <family val="2"/>
      </rPr>
      <t>Note</t>
    </r>
    <r>
      <rPr>
        <sz val="10"/>
        <rFont val="Arial Narrow"/>
        <family val="2"/>
      </rPr>
      <t xml:space="preserve">: If the AA represents only part of a wetland, answer this according to whichever is the </t>
    </r>
    <r>
      <rPr>
        <b/>
        <sz val="10"/>
        <rFont val="Arial Narrow"/>
        <family val="2"/>
      </rPr>
      <t xml:space="preserve">least </t>
    </r>
    <r>
      <rPr>
        <sz val="10"/>
        <rFont val="Arial Narrow"/>
        <family val="2"/>
      </rPr>
      <t>permanent surface connection: the one between the AA and the rest of the wetland, or the surface connection between the wetland and the downslope stream network.]</t>
    </r>
  </si>
  <si>
    <t>Select first applicable choice:</t>
  </si>
  <si>
    <r>
      <t xml:space="preserve">&lt;2% </t>
    </r>
    <r>
      <rPr>
        <b/>
        <sz val="10"/>
        <rFont val="Arial Narrow"/>
        <family val="2"/>
      </rPr>
      <t>or</t>
    </r>
    <r>
      <rPr>
        <sz val="10"/>
        <rFont val="Arial Narrow"/>
        <family val="2"/>
      </rPr>
      <t xml:space="preserve"> the AA has no surface water outlet (not even seasonally).</t>
    </r>
  </si>
  <si>
    <t>2-5%.</t>
  </si>
  <si>
    <t>6-10%.</t>
  </si>
  <si>
    <t>&gt;10%.</t>
  </si>
  <si>
    <t>&lt;5%.</t>
  </si>
  <si>
    <t>5 to 30%.</t>
  </si>
  <si>
    <t>30 to 60%.</t>
  </si>
  <si>
    <t>60 to 90%.</t>
  </si>
  <si>
    <t>5-30%.</t>
  </si>
  <si>
    <t>&gt;30%.</t>
  </si>
  <si>
    <t>&lt;25%.</t>
  </si>
  <si>
    <t>25-50%.</t>
  </si>
  <si>
    <t>&gt;50%.</t>
  </si>
  <si>
    <r>
      <t>The percentage of the AA almost never visited by humans during an average growing season probably comprises:</t>
    </r>
    <r>
      <rPr>
        <i/>
        <sz val="10"/>
        <rFont val="Arial Narrow"/>
        <family val="2"/>
      </rPr>
      <t xml:space="preserve"> [</t>
    </r>
    <r>
      <rPr>
        <i/>
        <u/>
        <sz val="10"/>
        <rFont val="Arial Narrow"/>
        <family val="2"/>
      </rPr>
      <t>Note:</t>
    </r>
    <r>
      <rPr>
        <i/>
        <sz val="10"/>
        <rFont val="Arial Narrow"/>
        <family val="2"/>
      </rPr>
      <t xml:space="preserv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t>
    </r>
  </si>
  <si>
    <r>
      <t xml:space="preserve">The part of the AA visited by humans almost daily for several weeks during an average growing season probably comprises:  </t>
    </r>
    <r>
      <rPr>
        <i/>
        <sz val="10"/>
        <rFont val="Arial Narrow"/>
        <family val="2"/>
      </rPr>
      <t>[See note above.]</t>
    </r>
  </si>
  <si>
    <t>5-50%.</t>
  </si>
  <si>
    <t>50-95%.</t>
  </si>
  <si>
    <r>
      <t xml:space="preserve">The AA is, or is part of, a calcareous fen. See the Plants_Calcar worksheet in the accompanying SuppInfo file for list of plant indicators (calciphiles). Enter 1 If more than two Strong or more than five Moderate calciphile species are present; otherwise enter 0, but if not able to identify those </t>
    </r>
    <r>
      <rPr>
        <b/>
        <sz val="10"/>
        <rFont val="Arial Narrow"/>
        <family val="2"/>
      </rPr>
      <t>and</t>
    </r>
    <r>
      <rPr>
        <sz val="10"/>
        <rFont val="Arial Narrow"/>
        <family val="2"/>
      </rPr>
      <t xml:space="preserve"> no information, change to </t>
    </r>
    <r>
      <rPr>
        <b/>
        <sz val="10"/>
        <rFont val="Arial Narrow"/>
        <family val="2"/>
      </rPr>
      <t>blank</t>
    </r>
    <r>
      <rPr>
        <sz val="10"/>
        <rFont val="Arial Narrow"/>
        <family val="2"/>
      </rPr>
      <t xml:space="preserve">. </t>
    </r>
  </si>
  <si>
    <r>
      <t>In parts of the AA that lack persistent water, the texture of soil in the uppermost layer is mostly:  [</t>
    </r>
    <r>
      <rPr>
        <i/>
        <sz val="10"/>
        <rFont val="Arial Narrow"/>
        <family val="2"/>
      </rPr>
      <t xml:space="preserve">To determine this, use a trowel to check in at least 3 widely spaced locations, and use the soil texture key (in Appendix A of the Manual).] </t>
    </r>
  </si>
  <si>
    <t>During any 2 consecutive weeks of the growing season, the extent of mudflats, bare unshaded saturated areas not covered by thatch, and unshaded waters shallower than 6 cm is:  [Include also any area that is adjacent to the AA.]</t>
  </si>
  <si>
    <t>None, or &lt;100 sq. m.</t>
  </si>
  <si>
    <r>
      <t xml:space="preserve">None. The AA dries up completely (no water in channels either) or never has surface water during most years.  </t>
    </r>
    <r>
      <rPr>
        <b/>
        <sz val="10"/>
        <rFont val="Arial Narrow"/>
        <family val="2"/>
      </rPr>
      <t>SKIP to F27.</t>
    </r>
  </si>
  <si>
    <t>Persistent (surface water flows out for &gt;9 months/year).</t>
  </si>
  <si>
    <t>Seasonal (surface water flows out for 14 days to 9 months/year, not necessarily consecutive).</t>
  </si>
  <si>
    <t>Temporary (surface water flows out for &lt;14 days, not necessarily consecutive).</t>
  </si>
  <si>
    <r>
      <t>None -- but maps show a stream network downslope from the AA and within a distance that is less than the AA's length.</t>
    </r>
    <r>
      <rPr>
        <b/>
        <sz val="10"/>
        <rFont val="Arial Narrow"/>
        <family val="2"/>
      </rPr>
      <t xml:space="preserve"> SKIP to F47 </t>
    </r>
    <r>
      <rPr>
        <sz val="10"/>
        <rFont val="Arial Narrow"/>
        <family val="2"/>
      </rPr>
      <t>(pH Measurement).</t>
    </r>
  </si>
  <si>
    <r>
      <t>No surface water flows out of the wetland except possibly during extreme events (&lt;once per 10 years). Or, water flows only into a wetland, ditch, or lake that lacks an outlet.</t>
    </r>
    <r>
      <rPr>
        <b/>
        <sz val="10"/>
        <rFont val="Arial Narrow"/>
        <family val="2"/>
      </rPr>
      <t xml:space="preserve"> SKIP to F47 </t>
    </r>
    <r>
      <rPr>
        <sz val="10"/>
        <rFont val="Arial Narrow"/>
        <family val="2"/>
      </rPr>
      <t>(pH Measurement).</t>
    </r>
  </si>
  <si>
    <t>Mostly passes through a pipe, culvert, narrowly breached dike, berm, beaver dam, or other partial obstruction (other than natural topography) that does not appear to drain the wetland artificially during most of the growing season.</t>
  </si>
  <si>
    <t>Leaves through natural exits (channels or diffuse outflow), not mainly through artificial or temporary features.</t>
  </si>
  <si>
    <t>Is exported more quickly than usual due to ditches or pipes within the AA or connected to its outlet, or within 10 m of the AA's edge, which drain the wetland artificially, or water is pumped out of the AA.</t>
  </si>
  <si>
    <r>
      <t>Bumps into</t>
    </r>
    <r>
      <rPr>
        <b/>
        <sz val="10"/>
        <rFont val="Arial Narrow"/>
        <family val="2"/>
      </rPr>
      <t xml:space="preserve"> herbaceous </t>
    </r>
    <r>
      <rPr>
        <sz val="10"/>
        <rFont val="Arial Narrow"/>
        <family val="2"/>
      </rPr>
      <t>vegetation but mostly remains in fairly straight channels.</t>
    </r>
  </si>
  <si>
    <r>
      <t>Bumps into</t>
    </r>
    <r>
      <rPr>
        <b/>
        <sz val="10"/>
        <rFont val="Arial Narrow"/>
        <family val="2"/>
      </rPr>
      <t xml:space="preserve"> herbaceous </t>
    </r>
    <r>
      <rPr>
        <sz val="10"/>
        <rFont val="Arial Narrow"/>
        <family val="2"/>
      </rPr>
      <t>vegetation and mostly spreads throughout, or is in widely meandering, multi-branched, or braided channels.</t>
    </r>
  </si>
  <si>
    <r>
      <t>Bumps into</t>
    </r>
    <r>
      <rPr>
        <b/>
        <sz val="10"/>
        <rFont val="Arial Narrow"/>
        <family val="2"/>
      </rPr>
      <t xml:space="preserve"> tree trunks and/or shrub stems </t>
    </r>
    <r>
      <rPr>
        <sz val="10"/>
        <rFont val="Arial Narrow"/>
        <family val="2"/>
      </rPr>
      <t>but mostly remains in fairly straight channels.</t>
    </r>
  </si>
  <si>
    <r>
      <t xml:space="preserve">Bumps into tree trunks and/or shrub stems and follows a fairly </t>
    </r>
    <r>
      <rPr>
        <b/>
        <sz val="10"/>
        <rFont val="Arial Narrow"/>
        <family val="2"/>
      </rPr>
      <t>indirect</t>
    </r>
    <r>
      <rPr>
        <sz val="10"/>
        <rFont val="Arial Narrow"/>
        <family val="2"/>
      </rPr>
      <t xml:space="preserve"> path from entrance to exit (meandering, multi-branched, or braided).</t>
    </r>
  </si>
  <si>
    <r>
      <t>Was measured, and is:  [</t>
    </r>
    <r>
      <rPr>
        <i/>
        <sz val="10"/>
        <rFont val="Arial Narrow"/>
        <family val="2"/>
      </rPr>
      <t>enter the reading in the column to the right.</t>
    </r>
    <r>
      <rPr>
        <sz val="10"/>
        <rFont val="Arial Narrow"/>
        <family val="2"/>
      </rPr>
      <t>]</t>
    </r>
  </si>
  <si>
    <t xml:space="preserve">Was not measured but surface water is present and is darkly tea-coloured.  Or if no surface water, then mosses and plants that indicate peatland (e.g., Labrador tea) are prevalent. Enter "1". </t>
  </si>
  <si>
    <t>Neither of above. Enter "1".</t>
  </si>
  <si>
    <t>Was not measured, but plants that indicate saline conditions cover much of the vegetated AA. Enter "1".</t>
  </si>
  <si>
    <t>Neither of above</t>
  </si>
  <si>
    <r>
      <t xml:space="preserve">Evident </t>
    </r>
    <r>
      <rPr>
        <sz val="10"/>
        <rFont val="Arial Narrow"/>
        <family val="2"/>
      </rPr>
      <t>from direct observation or presence of gnawed limbs, dams, tracks, dens, lodges, or extensive stands of water-killed trees (snags).</t>
    </r>
  </si>
  <si>
    <r>
      <t>Likely</t>
    </r>
    <r>
      <rPr>
        <sz val="10"/>
        <rFont val="Arial Narrow"/>
        <family val="2"/>
      </rPr>
      <t xml:space="preserve">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t>
    </r>
  </si>
  <si>
    <t xml:space="preserve">Unlikely because site characteristics above are deficient, and/or this is a settled area or other area where beaver are routinely removed. </t>
  </si>
  <si>
    <t>Bare or nearly bare pervious surface or managed vegetation, e.g., lawn, row crops, unpaved road, dike, landslide.</t>
  </si>
  <si>
    <t xml:space="preserve">Yes, and created or expanded 20 - 100 years ago. </t>
  </si>
  <si>
    <t>Yes, and created or expanded 3-20 years ago.</t>
  </si>
  <si>
    <t>Yes, and created or expanded within last 3 years.</t>
  </si>
  <si>
    <t>Yes, but time of origin or expansion unknown.</t>
  </si>
  <si>
    <t>Unknown if new or expanded within 20 years or not.</t>
  </si>
  <si>
    <t>Burned within past 5 years.</t>
  </si>
  <si>
    <t>Burned 6-10 years ago.</t>
  </si>
  <si>
    <t>Burned 11-30 years ago.</t>
  </si>
  <si>
    <t>Burned &gt;30 years ago, or no evidence of a burn and no data.</t>
  </si>
  <si>
    <t>Low-impact commercial timber harvest (e.g., selective thinning).</t>
  </si>
  <si>
    <t>Commercial or traditional-use harvesting of native plants, their fruits, or mushrooms.</t>
  </si>
  <si>
    <t>Waterfowl hunting.</t>
  </si>
  <si>
    <t>Fishing.</t>
  </si>
  <si>
    <t>Trapping of furbearers.</t>
  </si>
  <si>
    <t>None of the above.</t>
  </si>
  <si>
    <t>100-500 m. away.</t>
  </si>
  <si>
    <t>Within 0-100 m. of the AA.</t>
  </si>
  <si>
    <t>&gt;500 m. away, or no information.</t>
  </si>
  <si>
    <t xml:space="preserve"> [WBF, WBN, WCv]</t>
  </si>
  <si>
    <t>If a boat is unavailable, estimate this by considering wetland size and local topography.  Or if timing and safety allow, depths may be measured by drilling through winter ice.This question is asking about the spatial median depth that occurs during most of that time, even if inundation is only seasonal or temporary. If inundation in most but not all of the wetland is brief, the answer will be based on the depth of the most persistently inundated part of the wetland. Include surface water in channels and ditches as well as ponded areas.  [CS, FA, FR, INV, OE, PH, PR, Sens, SFS, SR, WBF, WBN, WC]</t>
  </si>
  <si>
    <t xml:space="preserve"> [AM, CS, FA, FR, INV, NR, OE, PR, SR, WBF, WBN, WC]</t>
  </si>
  <si>
    <t>Adhere to these criteria strictly -- do not use personal judgment based on fen conditions, pH, or other evidence.  Consult topographic maps to detect breaks in slope described here. Rust deposits associated with groundwater seeps may be most noticeable as orange discoloration in ice formations along streams during early winter. [AM, CS, FA, FR, INV, NR, OE, PH, PRv, SFS, WC, WS]</t>
  </si>
  <si>
    <t>Score the following 2 rows only if the altered inputs began within past 10 years, and only for the part of the wetland that experiences those.</t>
  </si>
  <si>
    <t>0 - 15 m.</t>
  </si>
  <si>
    <r>
      <t xml:space="preserve">* </t>
    </r>
    <r>
      <rPr>
        <b/>
        <sz val="10"/>
        <rFont val="Arial Narrow"/>
        <family val="2"/>
      </rPr>
      <t>high</t>
    </r>
    <r>
      <rPr>
        <sz val="10"/>
        <rFont val="Arial Narrow"/>
        <family val="2"/>
      </rPr>
      <t xml:space="preserve">-intensity= extensive off-road vehicle use, plowing, grading, excavation, erosion with or without veg removal; </t>
    </r>
    <r>
      <rPr>
        <b/>
        <sz val="10"/>
        <rFont val="Arial Narrow"/>
        <family val="2"/>
      </rPr>
      <t xml:space="preserve"> low</t>
    </r>
    <r>
      <rPr>
        <sz val="10"/>
        <rFont val="Arial Narrow"/>
        <family val="2"/>
      </rPr>
      <t>-intensity= veg removal only with little or no apparent erosion or disturbance of soil or sediment.</t>
    </r>
  </si>
  <si>
    <t>15-100 m.</t>
  </si>
  <si>
    <t xml:space="preserve">  Stormwater from impervious surfaces that drains directly to the wetland.</t>
  </si>
  <si>
    <t xml:space="preserve">  Water subsidies from wastewater effluent, septic system leakage, snow storage areas, or irrigation.</t>
  </si>
  <si>
    <t xml:space="preserve">  Regular removal of surface or groundwater for irrigation or other consumptive use.</t>
  </si>
  <si>
    <t xml:space="preserve">  Flow regulation in tributaries or water level regulation in adjoining water body, or other control structure at water entry points that regulates inflow to the wetland.</t>
  </si>
  <si>
    <t xml:space="preserve">  A dam, dike, levee, weir, berm, or fill -- within or downgradient from the wetland -- that interferes with surface or subsurface flow in/out of the AA (e.g., road fill, wellpads, pipelines).</t>
  </si>
  <si>
    <t xml:space="preserve">  Excavation within the wetland, e.g., dugout, artificial pond, dead-end ditch.</t>
  </si>
  <si>
    <t xml:space="preserve">  Artificial drains or ditches in or near the wetland.</t>
  </si>
  <si>
    <t xml:space="preserve">  Accelerated downcutting or channelization of an adjacent or internal channel (incised below the historical water table level).</t>
  </si>
  <si>
    <t xml:space="preserve">  Logging within the wetland.</t>
  </si>
  <si>
    <t xml:space="preserve">  Subsidence or compaction of the wetland's substrate as a result of machinery, livestock, fire, drainage, or off road vehicles.</t>
  </si>
  <si>
    <t xml:space="preserve">  Straightening, ditching, dredging, and/or lining of tributary channels.</t>
  </si>
  <si>
    <t>Spatial extent of timing shift within the wetland:</t>
  </si>
  <si>
    <t>When most of the timing shift began:</t>
  </si>
  <si>
    <t>Input timing now vs. previously:</t>
  </si>
  <si>
    <t>Flashiness or muting:</t>
  </si>
  <si>
    <t xml:space="preserve">  Stormwater or wastewater effluent (including failing septic systems), landfills, industrial facilities.</t>
  </si>
  <si>
    <t xml:space="preserve">  Metals &amp; chemical wastes from mining, shooting ranges, snow storage areas, oil/ gas extraction, other sources (download many locations from National Pollutant Release Inventory and view KMZ overlay in Google Earth. https://www.ec.gc.ca/inrp-npri/default.asp?lang=En&amp;n=B85A1846-1</t>
  </si>
  <si>
    <t xml:space="preserve">  Road salt.</t>
  </si>
  <si>
    <t xml:space="preserve">  Spraying of pesticides, as applied to lawns, croplands, roadsides, or other areas in the CA.</t>
  </si>
  <si>
    <t>Usual toxicity of most toxic contaminants:</t>
  </si>
  <si>
    <t>Frequency &amp; duration of input:</t>
  </si>
  <si>
    <t>AA proximity to main sources (actual or potential):</t>
  </si>
  <si>
    <t xml:space="preserve">  Stormwater or wastewater effluent (including failing septic systems), landfills.</t>
  </si>
  <si>
    <t xml:space="preserve">  Fertilizers applied to lawns, ag lands, or other areas in the CA.</t>
  </si>
  <si>
    <t xml:space="preserve">  Livestock, dogs.</t>
  </si>
  <si>
    <t xml:space="preserve">  Artificial drainage of upslope lands.</t>
  </si>
  <si>
    <t>Type of loading:</t>
  </si>
  <si>
    <t xml:space="preserve">  Erosion from plowed fields, fill, timber harvest, dirt roads, vegetation clearing, fires.</t>
  </si>
  <si>
    <t xml:space="preserve">  Erosion from construction, in-channel machinery in the CA.</t>
  </si>
  <si>
    <t xml:space="preserve">  Erosion from off-road vehicles in the CA.</t>
  </si>
  <si>
    <t xml:space="preserve">  Erosion from livestock or foot traffic in the CA.</t>
  </si>
  <si>
    <t xml:space="preserve">  Stormwater or wastewater effluent.</t>
  </si>
  <si>
    <t xml:space="preserve">  Sediment from road sanding, gravel mining, other mining, oil/ gas extraction.</t>
  </si>
  <si>
    <t xml:space="preserve">  Accelerated channel downcutting or headcutting of tributaries due to altered land use.</t>
  </si>
  <si>
    <t xml:space="preserve">  Other human-related disturbances within the CA.</t>
  </si>
  <si>
    <t>Erosion in CA:</t>
  </si>
  <si>
    <t>Recentness of significant soil disturbance in the CA:</t>
  </si>
  <si>
    <t>Duration of sediment inputs to the wetland:</t>
  </si>
  <si>
    <t>AA proximity to actual or potential sources:</t>
  </si>
  <si>
    <t xml:space="preserve">  Compaction from machinery, off-road vehicles, livestock, or mountain bikes, especially during wetter periods.</t>
  </si>
  <si>
    <t xml:space="preserve">  Leveling or other grading not to the natural contour.</t>
  </si>
  <si>
    <t xml:space="preserve">  Tillage, plowing (but excluding disking for enhancement of native plants).</t>
  </si>
  <si>
    <t xml:space="preserve">  Fill or riprap, excluding small amounts of upland soils containing organic amendments (compost, etc.) or small amounts of topsoil imported from another wetland.</t>
  </si>
  <si>
    <t xml:space="preserve">  Excavation.</t>
  </si>
  <si>
    <t xml:space="preserve">  Ditch cleaning or dredging in or adjacent to the wetland.</t>
  </si>
  <si>
    <t xml:space="preserve">  Boat traffic in or adjacent to the wetland and sufficient to cause shore erosion or stir bottom sediments.</t>
  </si>
  <si>
    <t xml:space="preserve">  Artificial water level or flow manipulations sufficient to cause erosion or stir bottom sediments.</t>
  </si>
  <si>
    <t>Spatial extent of altered soil:</t>
  </si>
  <si>
    <t>Recentness of significant soil alteration in wetland:</t>
  </si>
  <si>
    <t>Duration:</t>
  </si>
  <si>
    <t>Timing of soil alteration:</t>
  </si>
  <si>
    <t xml:space="preserve">&gt;95% of wetland. </t>
  </si>
  <si>
    <t>&lt;3 yrs ago.</t>
  </si>
  <si>
    <t>Shift of weeks.</t>
  </si>
  <si>
    <t>Became very flashy or controlled.</t>
  </si>
  <si>
    <t>5-95% of wetland.</t>
  </si>
  <si>
    <t>3-9 yrs ago.</t>
  </si>
  <si>
    <t>Shift of days.</t>
  </si>
  <si>
    <t>&lt;5% of wetland.</t>
  </si>
  <si>
    <t>10-100 yrs ago.</t>
  </si>
  <si>
    <t>Shift of hours or minutes.</t>
  </si>
  <si>
    <t>Became mildly flashy or controlled.</t>
  </si>
  <si>
    <t>Industrial effluent, mining waste, unmanaged landfill.</t>
  </si>
  <si>
    <t>Frequent and year-round.</t>
  </si>
  <si>
    <t>Cropland, managed landfill, pipeline or transmission rights-of-way.</t>
  </si>
  <si>
    <t>Frequent but mostly seasonal.</t>
  </si>
  <si>
    <t>15-100 m. or in groundwater.</t>
  </si>
  <si>
    <t>Low density residential.</t>
  </si>
  <si>
    <t>Infrequent &amp; during high runoff events mainly.</t>
  </si>
  <si>
    <t>In more distant part of contributing area.</t>
  </si>
  <si>
    <t>High density of unmaintained septic, some types of industrial sources.</t>
  </si>
  <si>
    <t>Moderate density septic, cropland, secondary wastewater treatment plant.</t>
  </si>
  <si>
    <t>Livestock, pets, low density residential.</t>
  </si>
  <si>
    <t>Current &amp; ongoing.</t>
  </si>
  <si>
    <t>Extensive evidence, high intensity.*</t>
  </si>
  <si>
    <t>Potentially (based on high-intensity* land use) or scattered evidence.</t>
  </si>
  <si>
    <t>1-12 months ago.</t>
  </si>
  <si>
    <t>Potentially (based on low-intensity* land use) with little or no direct evidence.</t>
  </si>
  <si>
    <t>&gt;1 yr ago.</t>
  </si>
  <si>
    <t>&gt;95% of wetland or &gt;95% of  its upland edge (if any).</t>
  </si>
  <si>
    <t>Long-lasting, minimal veg recovery.</t>
  </si>
  <si>
    <t>5-95% of wetland or 5-95% of its upland edge (if any).</t>
  </si>
  <si>
    <t>Long-lasting but mostly revegetated.</t>
  </si>
  <si>
    <t>&lt;5% of wetland and &lt;5% of its upland edge (if any).</t>
  </si>
  <si>
    <t>Short-term, revegetated, not intense.</t>
  </si>
  <si>
    <t>Mainly during one-time or scattered events.</t>
  </si>
  <si>
    <t xml:space="preserve">  Assessment Area (AA) Results:</t>
  </si>
  <si>
    <t>ResFish Score2</t>
  </si>
  <si>
    <t>Water      Cooling</t>
  </si>
  <si>
    <t>WatEdge Slope2</t>
  </si>
  <si>
    <r>
      <t>TDS is: [E</t>
    </r>
    <r>
      <rPr>
        <i/>
        <sz val="10"/>
        <rFont val="Arial Narrow"/>
        <family val="2"/>
      </rPr>
      <t xml:space="preserve">nter the reading </t>
    </r>
    <r>
      <rPr>
        <b/>
        <i/>
        <sz val="10"/>
        <rFont val="Arial Narrow"/>
        <family val="2"/>
      </rPr>
      <t xml:space="preserve">in ppm or mg/L </t>
    </r>
    <r>
      <rPr>
        <i/>
        <sz val="10"/>
        <rFont val="Arial Narrow"/>
        <family val="2"/>
      </rPr>
      <t>in the column to the right, if measured, or answer next row.</t>
    </r>
    <r>
      <rPr>
        <sz val="10"/>
        <rFont val="Arial Narrow"/>
        <family val="2"/>
      </rPr>
      <t>]</t>
    </r>
  </si>
  <si>
    <r>
      <t>Conductivity is  [E</t>
    </r>
    <r>
      <rPr>
        <i/>
        <sz val="10"/>
        <rFont val="Arial Narrow"/>
        <family val="2"/>
      </rPr>
      <t xml:space="preserve">nter the reading </t>
    </r>
    <r>
      <rPr>
        <b/>
        <i/>
        <sz val="10"/>
        <rFont val="Arial Narrow"/>
        <family val="2"/>
      </rPr>
      <t xml:space="preserve">in µS/cm </t>
    </r>
    <r>
      <rPr>
        <i/>
        <sz val="10"/>
        <rFont val="Arial Narrow"/>
        <family val="2"/>
      </rPr>
      <t>in the column to the right.</t>
    </r>
    <r>
      <rPr>
        <sz val="10"/>
        <rFont val="Arial Narrow"/>
        <family val="2"/>
      </rPr>
      <t>]</t>
    </r>
  </si>
  <si>
    <t>UpEdge Shape4</t>
  </si>
  <si>
    <t>WoodAbove 10</t>
  </si>
  <si>
    <t>NatVegCU pct10</t>
  </si>
  <si>
    <t>SedExcess 10</t>
  </si>
  <si>
    <t>WbirdFeed 10</t>
  </si>
  <si>
    <t>DepthEven 10</t>
  </si>
  <si>
    <r>
      <t>According to agency biologists and/or your own observations, the AA. [M</t>
    </r>
    <r>
      <rPr>
        <i/>
        <sz val="10"/>
        <rFont val="Arial Narrow"/>
        <family val="2"/>
        <scheme val="minor"/>
      </rPr>
      <t>ark just the first choice that is true.]</t>
    </r>
    <r>
      <rPr>
        <sz val="10"/>
        <rFont val="Arial Narrow"/>
        <family val="2"/>
        <scheme val="minor"/>
      </rPr>
      <t>:</t>
    </r>
  </si>
  <si>
    <t>Benefit  Indicators</t>
  </si>
  <si>
    <t>DepthEven 12</t>
  </si>
  <si>
    <t>Waterscape 11</t>
  </si>
  <si>
    <t>SizeHerbac 13</t>
  </si>
  <si>
    <t>AqPlantCov 13</t>
  </si>
  <si>
    <t>DepthEven 13</t>
  </si>
  <si>
    <t>ShoreSlope 13</t>
  </si>
  <si>
    <t>SizeHerbac 14</t>
  </si>
  <si>
    <t>NatVegSize 14</t>
  </si>
  <si>
    <t>NatVegProx 14</t>
  </si>
  <si>
    <t>TreeTypes 14</t>
  </si>
  <si>
    <t>WoodDown 14</t>
  </si>
  <si>
    <t>WoodyUniq 14</t>
  </si>
  <si>
    <t>WoodyHt Form0</t>
  </si>
  <si>
    <t>CovPct Scape0</t>
  </si>
  <si>
    <t>WoodyHtDiv 15</t>
  </si>
  <si>
    <t>SizeVeg Connec15</t>
  </si>
  <si>
    <t>WoodSp Dom15</t>
  </si>
  <si>
    <t>WoodHerb Mix15</t>
  </si>
  <si>
    <t>WoodyUniq 20</t>
  </si>
  <si>
    <t>SedDisturb 20</t>
  </si>
  <si>
    <t>IntersperPD</t>
  </si>
  <si>
    <t>SEN</t>
  </si>
  <si>
    <r>
      <t xml:space="preserve">Perkins, T. E. and M. V. Wilson. 2005. The impacts of </t>
    </r>
    <r>
      <rPr>
        <i/>
        <sz val="10"/>
        <rFont val="Arial Narrow"/>
        <family val="2"/>
      </rPr>
      <t xml:space="preserve">Phalaris arundinacea </t>
    </r>
    <r>
      <rPr>
        <sz val="10"/>
        <rFont val="Arial Narrow"/>
        <family val="2"/>
      </rPr>
      <t>(reed canarygrass) invasion on wetland plant richness in the Oregon Coast Range, USA depend on beavers. Biological Conservation 124:291-295.</t>
    </r>
  </si>
  <si>
    <r>
      <t xml:space="preserve"> In the Seattle area, salmon were dominant only in streams whose contributing areas contained less than 5% impervious surface. Salmon were essentially absent from streams draining areas with more than 35% impervious surfaces (May et al. 1997). Some types of watershed disturbances are probably more harmful to anadromous fish habitat than others. Impervious surfaces and storm drains, even when occurring at low densities but near drainageways that lead to the same stream or wetland, can dramatically alter the amount, timing, frequency, and duration of flow in streams and water level in lakes and wetlands (Booth et al. 2002, Konrad et al. 2005, Poff et al. 2006, Shields et al. 2008); increase pollutant loads and concentrations (Chadwick et al. 2006, Morgan et al. 2007); disrupt channel configurations (McBride &amp; Booth 2005, Colosimo &amp; Wilcock 2007); shift local air and water temperature regimes (Delgado et al. 2007); introduce chronic noise, predators, and other disturbances (Hepinstall et al. 2008); and as a consequence of these and related factors, alter the abundance, diversity, and species composition of fish and wildlife communities (Miltner et al. 2004, Hansen et al. 2005, Alberti et al. 2007, Walsh &amp; Kunapo 2009, Cookson &amp; Schorr 2009). </t>
    </r>
    <r>
      <rPr>
        <i/>
        <sz val="10"/>
        <rFont val="Arial Narrow"/>
        <family val="2"/>
      </rPr>
      <t>In calculations, is excluded automatically (cell goes blank) if F52 was answered positively.</t>
    </r>
  </si>
  <si>
    <t>IF((AllSat1=1), blank, AVERAGE(Fluctua, SeasPct))</t>
  </si>
  <si>
    <t>Larger ponded areas are preferred by swans, loons, grebes, cormorants, and some other waterbird species. That is partly because they provide greater buffer against predators, are more likely to have productive fish populations, and are long enough for waterbird species that cannot take flight by leaping directly upward (Stevens et al. 2003). Duckling survival is also greater in or near large ponded water bodies, provided they also have adequate cover.  However, motorboat use is greater in some larger water bodies and the disturbance can affect waterbird breeding success.</t>
  </si>
  <si>
    <t>Gabor, S.T., H.R. Murkin, and J.W. Ingram. 2002. Waterfowl use of managed and unmanaged beaver ponds in south-central Ontario. Northeast Wildl. 57:45-57.</t>
  </si>
  <si>
    <r>
      <t xml:space="preserve">At least in the short term, open water areas created by beaver dams provide excellent nesting and foraging habitat for several waterbird species (Gabor et al. 2002, Hood &amp; Bayley 2008). </t>
    </r>
    <r>
      <rPr>
        <i/>
        <sz val="10"/>
        <rFont val="Arial Narrow"/>
        <family val="2"/>
      </rPr>
      <t xml:space="preserve">In calculations, is excluded automatically (cell goes blank) if wetland never has ponded surface water during an average year. </t>
    </r>
  </si>
  <si>
    <r>
      <t>The AA is in an area that is at least partly underlain by soil, sediment, or bedrock that is highly calcareous (enter 3 in next column), moderately calcareous (enter 2), or slightly calcareous (enter 1), none= 0. Limestone is typically a major component (karst geology) and water is not acidic (pH is usually &gt;8).See Figure A-6 in Appendix A of the Manual.  If no map coverage, change to</t>
    </r>
    <r>
      <rPr>
        <b/>
        <sz val="10"/>
        <rFont val="Arial Narrow"/>
        <family val="2"/>
        <scheme val="minor"/>
      </rPr>
      <t xml:space="preserve"> blank.</t>
    </r>
    <r>
      <rPr>
        <sz val="10"/>
        <rFont val="Arial Narrow"/>
        <family val="2"/>
        <scheme val="minor"/>
      </rPr>
      <t xml:space="preserve">
</t>
    </r>
  </si>
  <si>
    <t>If GIS is available, you may use the Bedrock Geology shapefile obtainable at http://www.snb.ca/geonb1/e/DC/catalogue-E.asp   [AM, FA, FR, INV, PH]</t>
  </si>
  <si>
    <r>
      <rPr>
        <b/>
        <sz val="16"/>
        <rFont val="Calibri"/>
        <family val="2"/>
      </rPr>
      <t xml:space="preserve">Form OF (Office). Non-tidal Wetland Data Form. WESP-AC version 2 for New Brunswick wetlands </t>
    </r>
    <r>
      <rPr>
        <b/>
        <u/>
        <sz val="16"/>
        <rFont val="Calibri"/>
        <family val="2"/>
      </rPr>
      <t>only</t>
    </r>
    <r>
      <rPr>
        <sz val="16"/>
        <rFont val="Calibri"/>
        <family val="2"/>
      </rPr>
      <t>.</t>
    </r>
    <r>
      <rPr>
        <sz val="14"/>
        <rFont val="Calibri"/>
        <family val="2"/>
      </rPr>
      <t xml:space="preserve"> </t>
    </r>
    <r>
      <rPr>
        <sz val="11"/>
        <rFont val="Calibri"/>
        <family val="2"/>
      </rPr>
      <t xml:space="preserve"> DIRECTIONS:  Conduct an assessment only after reading the accompanying Manual and the Explanations column of the data form. In the Data column, change the 0 (false) to a 1 (true) for the best choice, or for multiple choices where allowed and so indicated.  Answering many of the questions below will require using these online map viewers:
     </t>
    </r>
    <r>
      <rPr>
        <b/>
        <sz val="11"/>
        <rFont val="Calibri"/>
        <family val="2"/>
      </rPr>
      <t>Google Earth Pro</t>
    </r>
    <r>
      <rPr>
        <sz val="11"/>
        <rFont val="Calibri"/>
        <family val="2"/>
      </rPr>
      <t xml:space="preserve">: https://www.google.com/earth/download/gep/agree.html
     </t>
    </r>
    <r>
      <rPr>
        <b/>
        <sz val="11"/>
        <rFont val="Calibri"/>
        <family val="2"/>
      </rPr>
      <t>GeoNB</t>
    </r>
    <r>
      <rPr>
        <sz val="11"/>
        <rFont val="Calibri"/>
        <family val="2"/>
      </rPr>
      <t xml:space="preserve">: http://www.snb.ca/geonb1/       and http://www.snb.ca/geonb1/e/apps/apps-E.asp
For most wetlands, completing this office data form will require 1-2 hours. For a list of functions to which each question pertains, see bracketed abbreviations in the Definitions/Explanations column. For detailed descriptions of each WESP-AC model, see Appendix B of the accompanying Manual. Codes for functions and values are: WS= Water Storage, SFS= Stream Flow Support, WC= Water Cooling, SR= Sediment Retention &amp; Stabilisation, PR= Phosphorus Retention, NR= Nitrate Removal, CS= Carbon Sequestration, OE= Organic Nutrient Export, INV= Invertebrate Habitat, FA= Anadromous Fish Habitat, FR= Resident Fish Habitat, AM= Amphibian &amp; Reptile Habitat, WBF= Feeding Waterbird Habitat, WBN= Nesting Waterbird Habitat, SBM= Songbird, Raptor, &amp; Mammal Habitat, POL= Pollinator Habitat, PH= Native Plant Habitat, PU= Public Use &amp; Recognition, EC= Ecological Condition, Sen= Wetland Sensitivity, STR= Stressors.
                                                                                                                                                 </t>
    </r>
  </si>
  <si>
    <r>
      <rPr>
        <b/>
        <sz val="10"/>
        <rFont val="Arial Narrow"/>
        <family val="2"/>
        <scheme val="minor"/>
      </rPr>
      <t xml:space="preserve">"Adjacent" </t>
    </r>
    <r>
      <rPr>
        <sz val="10"/>
        <rFont val="Arial Narrow"/>
        <family val="2"/>
        <scheme val="minor"/>
      </rPr>
      <t xml:space="preserve">means not separated from the AA by a wide expanse (&gt;50 m) of upland (including roads &gt;50 m wide).  Include ponded areas likely to be hidden by wetland vegetation.  If surface water extends beyond 1 km, include only the part within 1 km.  Do not include tidal areas.  Measure the area from aerial imagery using Google Earth Pro (click on Ruler icon in toolbar, then Polygon in pop-up menu).  With the GeoNB viewer, enable the Wetlands layer, then measure with the Draw &amp; Measure tool after specifying Aerial as the Basemap.  However, do not rely entirely on wetland boundaries shown in online wetlands layers. [PH, SBM, WBN] </t>
    </r>
  </si>
  <si>
    <t>To measure distance, use Google Earth Pro (Ruler &gt; Line tool).  Or use Draw &amp; Measure tool at GeoNB. The 375-ha criterion is from the Fundy Model Forest Project.  [AM, PH, POL, SBM, Sens]</t>
  </si>
  <si>
    <t>"Population center" means a settled area with more than about 5 regularly- inhabited structures per square kilometer. In Google Earth, click on the Ruler icon, then Path, and draw and measure the route.  Or use the GeoNB's Draw &amp; Measure tool&gt; Freehand Line to draw and measure the route to Settlements (click on Place Names in menu) or other areas not close to mapped settlements but which meet the criteria.[FAv, FRv, NRv, PH, PU, SBM, WBFv]</t>
  </si>
  <si>
    <t>Determine this by viewing aerial imagery in Google Earth and measuring with the Ruler&gt;Line tool.  Or use the GeoNB's Draw Line tool. [AM, FAv, FRv, NRv, PH, PU, SBM, STR, WBN]</t>
  </si>
  <si>
    <t>In NB, enable the Wetlands layer in GeoNB (despite its omissions) to show surrounding wetlands and roads, while estimating the location of the 5 km circle (or draw the 5 km circle in Google Earth Pro using the Circle tool and compare). Evaluate using Google Earth, being cautious to search for roads hidden under forest canopy.  [AM, SBM, STR]</t>
  </si>
  <si>
    <t>In Google Earth, zoom in closely to examine the surrounding landscape for ponds, lakes, and wetlands that appear to be permanently flooded.  Enable the GeoNB viewer's Wetlands layer as well.  [AM, PH, SBM, Sens, WBF, WBN]</t>
  </si>
  <si>
    <t xml:space="preserve">In Google Earth, measure the distance to the ocean (including Bay of Fundy) or tidal river, whichever is closer.  If you need to see how far upriver a river is tidal, see the KMZ file provided with this calculator for NB (NB Headtide).  Points shown in those files are only an approximation, so local information if available may be preferable. [FA, WBF]  </t>
  </si>
  <si>
    <t xml:space="preserve">In the GeoNB map viewer: click on "More" in upper right, then "Flood Information".  Expand the menu under it by clicking on the arrow to its left and the slider to its right.  Uncheck the first (Limits of Data) box. Where available, LiDAR imagery can provide finer elevational resolution useful for flood modeling. [WSv]
</t>
  </si>
  <si>
    <t xml:space="preserve">Regarding the last choice, if uncertain if an AA is fishless, consider the possibility its waters have been stocked.  In NB, the list of stocked waters is at: http://www2.gnb.ca/content/gnb/en/departments/erd/natural_resources/content/fish/content/StockedWaters.html 
[AM, FA, FR, INV, WBF, WBN]
</t>
  </si>
  <si>
    <t>Identify inlets and outlets, if any, from topographic maps (use elevations to determine which are inlets and which are outlets) and augment by field inspection. [NR, OE, PR, SR, WS]</t>
  </si>
  <si>
    <t xml:space="preserve">If AA is on private land with no information, change to blank (not 0).  If on public/crown land, in Google Earth open the KMZ file that accompanies this report called NB_DeerWinteringAreas.Otherwise: Enter: yes= 1, no= 0.
</t>
  </si>
  <si>
    <t>With GeoNB, click on Candidate PNA Map Viewer to identify Provincially Significant Wetland, Environmentally Significant Area, Protected Natural Area -- but also include if the AA is all or part of an area designated by government, FIrst Nations, or the Nature Conservancy of Canada (NCC) for its exceptional ecological features or highly intact natural conditions.  Enter: yes= 1, no= 0.  If uncertain, consult NCC and agencies for more recent information.</t>
  </si>
  <si>
    <t>In Google Earth, enable the Terrain layer (lower left menu) and open the NB_Watersheds KMZ file that accompanies this calculator. Then determine the AA's approximate elevation (bottom right, NOT the "eye alt").  Then move cursor around to determine the watershed's maximum and minimum elevation.  Divide the AA's elevation by the (max-min).</t>
  </si>
  <si>
    <t>In Google Earth, open the KMZ file NB_Watershed Protected Area which accompanies this calculator.  The AA is within such an area. Enter 1= yes, 0= no.</t>
  </si>
  <si>
    <t>Is known to support rearing and/or spawning by Atlantic salmon or other anadromous species or eels.  In NB, consult Figure A-2 in Appendix A of the Manual.  Contact local fishery biologists, review the ACCDC report, and visit these websites: http://www.salmonatlas.com/atlanticsalmon/canada-east/index.1.html    http://atlanticsalmonfederation.org/rivers/introduction.html</t>
  </si>
  <si>
    <t>New Brunswick</t>
  </si>
  <si>
    <t>Nova Scotia</t>
  </si>
  <si>
    <t>Prince Edward Island</t>
  </si>
  <si>
    <t>Newfoundland-Labrador</t>
  </si>
  <si>
    <r>
      <t xml:space="preserve">Salmon are highly sensitive to water acidity. </t>
    </r>
    <r>
      <rPr>
        <i/>
        <sz val="10"/>
        <rFont val="Arial Narrow"/>
        <family val="2"/>
      </rPr>
      <t xml:space="preserve"> In calculations, the 0-3 category is first divided by 3. </t>
    </r>
  </si>
  <si>
    <r>
      <t xml:space="preserve">Many fish and their supporting aquatic food webs are sensitive to water acidity.  </t>
    </r>
    <r>
      <rPr>
        <i/>
        <sz val="10"/>
        <rFont val="Arial Narrow"/>
        <family val="2"/>
      </rPr>
      <t xml:space="preserve">In calculations, the 0-3 category is first divided by 3.   </t>
    </r>
  </si>
  <si>
    <r>
      <t xml:space="preserve">Plants are more productive at warmer soil or sediment temperatures, and this supports higher productivity of aquatic insects.  </t>
    </r>
    <r>
      <rPr>
        <i/>
        <sz val="10"/>
        <rFont val="Arial Narrow"/>
        <family val="2"/>
      </rPr>
      <t xml:space="preserve"> In calculations, the 0-3 category is first divided by 3. </t>
    </r>
  </si>
  <si>
    <r>
      <t xml:space="preserve">Many species which contribute disproportionately to regional biodiversity due to their rarity occur in areas of limestone (calcareous) bedrock and soils, and not where exposure to acid precipitation is great.   </t>
    </r>
    <r>
      <rPr>
        <i/>
        <sz val="10"/>
        <rFont val="Arial Narrow"/>
        <family val="2"/>
      </rPr>
      <t xml:space="preserve">In calculations, the 0-3 category is first divided by 3. </t>
    </r>
  </si>
  <si>
    <t xml:space="preserve">Stressor (S) Data Form for Non-Tidal Wetlands. WESP-AC for New Brunswick. Version 2.                                                               </t>
  </si>
  <si>
    <r>
      <rPr>
        <sz val="16"/>
        <rFont val="Calibri"/>
        <family val="2"/>
      </rPr>
      <t xml:space="preserve">Form F (Field). Non-tidal Wetland Data Form. WESP-AC version 2 for New Brunswick wetlands only. </t>
    </r>
    <r>
      <rPr>
        <sz val="11"/>
        <rFont val="Calibri"/>
        <family val="2"/>
      </rPr>
      <t xml:space="preserve">DIRECTIONS:  Walk for no less than 10 minutes from the wetland edge towards its core, in the part of the AA that is proposed for alteration.  If no alteration is proposed, walk in a portion that appears to be most representative of the wetland overall. Walk only where it is safe and legal to do so. Conduct the assessment only after reading the accompanying Manual and the Explanations column of the data form. In the Data column, change the 0 (false) to a 1 (true) for the best choice, or for multiple choices where allowed and so indicated. Answer these questions primarily based on your onsite observations and interpretations. Do not write in shaded parts of this data form. Answering some questions accurately may require conferring with the landowner or other knowledgable persons, and/or reviewing aerial imagery. For most wetlands, completing this field data form will require 1-2 hours on a site. For a list of functions to which each question pertains, see the accompanying Interpretations form. For detailed descriptions of each WESP-AC model, see Appendix B of the accompanying Manual. Codes for functions and values are: WS= Water Storage &amp; Delay, SFS= Stream Flow Support, WC= Water Cooling, SR= Sediment Retention &amp; Stabilisation, PR= Phosphorus Retention, NR= Nitrate Removal, CS= Carbon Sequestration, OE= Organic Nutrient Export, INV= Invertebrate Habitat, FA= Anadromous Fish Habitat, FR= Resident Fish Habitat, AM= Amphibian &amp; Reptile Habitat, WBF= Feeding Waterbird Habitat, WBN= Nesting Waterbird Habitat, SBM= Songbird, Raptor, &amp; Mammal Habitat, POL= Pollinator Habitat, PH= Native Plant Habitat, PU= Public Use &amp; Recognition, EC= Ecological Condition, Sen= Wetland Sensitivity, STR= Stressors.                                                                                                                    </t>
    </r>
  </si>
  <si>
    <t>NOTE: A score of 0 does not mean the function or benefit is absent from the wetland. It means only that this wetland has a capacity that is equal or less than the lowest-scoring one, for that function or benefit, from among the 98 NB calibration wetlands that were assessed previously.</t>
  </si>
  <si>
    <t>The capacity to support an abundance and diversity of native fish (both resident and visiting species) that are not anadromous or catadromous, e.g., Dolly Varden, cutthroat trout.</t>
  </si>
  <si>
    <t xml:space="preserve">Tree cover is slower to recover than cover of herbaceous plants, making forested wetlands less resilient. </t>
  </si>
  <si>
    <t>Min</t>
  </si>
  <si>
    <t>Max</t>
  </si>
  <si>
    <t>Range</t>
  </si>
  <si>
    <t>F_JenksLo</t>
  </si>
  <si>
    <t>F_JenksHigh</t>
  </si>
  <si>
    <t>B_JenksLo</t>
  </si>
  <si>
    <t>B_JenksHigh</t>
  </si>
  <si>
    <r>
      <t xml:space="preserve">Woody vegetation adds vertical habitat space, bark, and dead wood used by many invertebrates, whereas  herbaceous vegetation has generally greater annual productivity.  A well-interspersed even mix of both is hypothesized to maximize invertebrate diversity and productivity.  </t>
    </r>
    <r>
      <rPr>
        <i/>
        <sz val="10"/>
        <rFont val="Arial Narrow"/>
        <family val="2"/>
      </rPr>
      <t xml:space="preserve">In calculations, is excluded automatically (cell goes blank) if few or no trees or shrubs are present. </t>
    </r>
  </si>
  <si>
    <t>Select the ONE ownership that covers the most of the AA. In Google Earth, open KMZ file called NB Crown lands.Use more recent information if available.</t>
  </si>
  <si>
    <t xml:space="preserve">The AA's vegetation cover is &gt;10% woody* but uplands within 5 km have &lt;10% woody cover. If so, enter "3" and continue to OF8.  If not, consider: 
The AA's vegetation is &gt;10% woody* but uplands within 1 km have &lt;10% woody cover. If so enter "2" and continue to OF8.  If not, consider: 
The AA's vegetation is &gt;10%  woody* but uplands within 100 m of the wetland edge have &lt;10% woody cover.  If so, enter "1"  
 [* NOTE: woody cover = trees &amp; shrubs taller than 1 m.]
</t>
  </si>
  <si>
    <t>WESP-AC version 2</t>
  </si>
  <si>
    <t>NB</t>
  </si>
  <si>
    <t>NS</t>
  </si>
  <si>
    <t>PEI</t>
  </si>
  <si>
    <t>NL</t>
  </si>
  <si>
    <t>ShedPos</t>
  </si>
  <si>
    <t>GrowD</t>
  </si>
  <si>
    <t xml:space="preserve">Presence of one or more of the plant species listed in the Plants_Rare worksheet of the accompanying SuppInfo file, or the AA is within a mapped Atlantic Coastal Plain Flora Buffer </t>
  </si>
  <si>
    <t>New Brunswick Reference Scores</t>
  </si>
  <si>
    <t>Topographic maps may be viewed online at the National Atlas of Canada (Toporama):  http://atlas.gc.ca/toporama/en/index.html             [NR, PR, Sens, SR, WS]</t>
  </si>
  <si>
    <t>In Google Earth, open the KMZ file that accompanies this calculator, called NB-PEI_GrowingDegreeDays. Place your cursor over the AA and left-click. From the pop-up, enter the GRIDCODE in the next column.</t>
  </si>
  <si>
    <r>
      <t xml:space="preserve">&lt;5%. If F60 was answered "&gt;95%" (mostly never visited), </t>
    </r>
    <r>
      <rPr>
        <b/>
        <sz val="10"/>
        <rFont val="Arial Narrow"/>
        <family val="2"/>
      </rPr>
      <t>SKIP to F64</t>
    </r>
    <r>
      <rPr>
        <sz val="10"/>
        <rFont val="Arial Narrow"/>
        <family val="2"/>
      </rPr>
      <t>.</t>
    </r>
  </si>
  <si>
    <t>Approximate size of the Assessment Area (AA, in hectares):</t>
  </si>
  <si>
    <r>
      <t>pH is a strong predictor of denitrification in wetlands (Morse et al. 2012).  Other factors being equal, the optimal pH for denitrification is 7 to 8.5, whereas a sharp decline occurs at a pH of less than 6 or greater than 8.5 (Simek &amp; Cooper 2002).  Acidifying Sphagnum mosses are most common below a pH of 5.5 (Vitt 2006).</t>
    </r>
    <r>
      <rPr>
        <i/>
        <sz val="10"/>
        <rFont val="Arial Narrow"/>
        <family val="2"/>
      </rPr>
      <t xml:space="preserve"> In calculations, is excluded automatically (cell goes blank) if last choice selected and is set to 0.5 if second choice is selected.  If pH is 6.0-8.5, score is set to 1, while outside this range is 0  This formula recognizes diminished rate of denitrification as pH becomes more acidic or basic.</t>
    </r>
  </si>
  <si>
    <t>75-99% of the AA never contains surface water, OR &gt;99% and there is at least one persistently ponded water body larger than 1 ha in the AA.</t>
  </si>
  <si>
    <r>
      <t xml:space="preserve">99-100%. AND there is no persistently ponded water body larger than 1 ha within the AA. Enter "1" and </t>
    </r>
    <r>
      <rPr>
        <b/>
        <sz val="10"/>
        <rFont val="Arial Narrow"/>
        <family val="2"/>
      </rPr>
      <t xml:space="preserve">SKIP to F42 </t>
    </r>
    <r>
      <rPr>
        <sz val="10"/>
        <rFont val="Arial Narrow"/>
        <family val="2"/>
      </rPr>
      <t>(Channel Connection).</t>
    </r>
  </si>
  <si>
    <t>Beth Brooks, Allison Patrick</t>
  </si>
  <si>
    <t>Hog Island</t>
  </si>
  <si>
    <t>July 23, 2019</t>
  </si>
  <si>
    <t>45.55524</t>
  </si>
  <si>
    <t>-66.014715</t>
  </si>
  <si>
    <t>GeoNB wetland shapefile</t>
  </si>
  <si>
    <t>37 ha</t>
  </si>
  <si>
    <t>Notes</t>
  </si>
  <si>
    <t>Map</t>
  </si>
  <si>
    <t>N/A</t>
  </si>
  <si>
    <t>The area of surface water ponded during most of the growing season that is both (1) in or adjacent to the AA and (2) within 1 km is:</t>
  </si>
  <si>
    <t>Hog island, as an island is surrounded by tidal waters, so the closest pond was further than 1km</t>
  </si>
  <si>
    <t>The area of wetlands and surface water ponded during most of the growing season that is both (1) in or adjacent to the AA and (2) within 1 km is:</t>
  </si>
  <si>
    <t>The largest vegetated patch or corridor that includes the AA's vegetation plus all adjacent upland vegetation that is not lawn, row crops, heavily grazed lands, conifer plantation is:</t>
  </si>
  <si>
    <r>
      <t xml:space="preserve">The minimum distance from the edge of the AA to the edge of the closest </t>
    </r>
    <r>
      <rPr>
        <b/>
        <i/>
        <sz val="10"/>
        <rFont val="Arial Narrow"/>
        <family val="2"/>
        <scheme val="minor"/>
      </rPr>
      <t xml:space="preserve">vegetated land </t>
    </r>
    <r>
      <rPr>
        <b/>
        <sz val="10"/>
        <rFont val="Arial Narrow"/>
        <family val="2"/>
        <scheme val="minor"/>
      </rPr>
      <t>(but excluding row crops, lawn, conifer plantation) larger than 375 hectares (about 2 km on a side), is:</t>
    </r>
  </si>
  <si>
    <t xml:space="preserve">Largest tract is 1.24 km away but is seperated by the river. </t>
  </si>
  <si>
    <t>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 NOTE: Exclude lawns, row crops, heavily grazed lands, forest, shrublands. Include moss as well as grasslike plants in this use of "herbaceous vegetation"]</t>
  </si>
  <si>
    <r>
      <rPr>
        <b/>
        <sz val="10"/>
        <rFont val="Arial Narrow"/>
        <family val="2"/>
        <scheme val="minor"/>
      </rPr>
      <t>3</t>
    </r>
    <r>
      <rPr>
        <sz val="10"/>
        <rFont val="Arial Narrow"/>
        <family val="2"/>
        <scheme val="minor"/>
      </rPr>
      <t xml:space="preserve">                                                   As an island the distance between uplands is perhaps more significant than other wetlands might have. </t>
    </r>
  </si>
  <si>
    <t>Left blank because the AA is NOT  &gt;10% woody.</t>
  </si>
  <si>
    <t>Within the 5-km radius circle, and ignoring all permanent water, the land area that is bare or non-perennial cover is mostly:</t>
  </si>
  <si>
    <t>Much of the non-perannial cover is cropland or the large lawn characteristic of some rural homes. Little paved area</t>
  </si>
  <si>
    <t>Measured along the maintained road nearest the AA, the distance to the nearest population center is:</t>
  </si>
  <si>
    <t>Following the Riverveiw Scenic Drive (213.5m) to Upper Greenwood, which is the closest settlemeant that meets the criteria.</t>
  </si>
  <si>
    <t xml:space="preserve">100-500m. </t>
  </si>
  <si>
    <t>From the center of the AA, the distance to the nearest maintained public road (dirt or paved) is:</t>
  </si>
  <si>
    <t>Distance to the nearest road (Belleisle shore rd) is 914m</t>
  </si>
  <si>
    <t>Draw a circle of radius of 5 km from the center of the AA. If mammals and amphibians can move from the center of the AA to ALL other separate wetlands and ponds located within the circle without being forced to cross pavement (any width), lawns, bare ground, and/or marine waters, mark 1= yes can move to all, 0= no.  Change to blank if there are no other wetlands within 5 km.</t>
  </si>
  <si>
    <t>Wildlife would be unable to travel to separate wetlands without crossing a marine envrioment. It's an island.</t>
  </si>
  <si>
    <t>The closest separate ponded body of water in general is 846 m away</t>
  </si>
  <si>
    <t>The distance from the AA center to the closest (but separate) non-tidal body of water that is ponded during most of the year and is larger than 8 hectares during most of a normal year is:</t>
  </si>
  <si>
    <t>The closest ponded body of water (of that size) is a part of Nutter creek and is 2.5km away from the center. Area = 24.1 ha</t>
  </si>
  <si>
    <t>The distance from the AA edge to the closest tidal water body (regardless of its salinity) is:</t>
  </si>
  <si>
    <t>Located within a Tidal River</t>
  </si>
  <si>
    <t>Its an island</t>
  </si>
  <si>
    <t xml:space="preserve">There are some barns and several roads are present within the flood zone in the SW portion of the %km buffer zone.  </t>
  </si>
  <si>
    <r>
      <t xml:space="preserve">Hog Island Elevation = 2m, Max=226m, Min=1m,               </t>
    </r>
    <r>
      <rPr>
        <b/>
        <sz val="10"/>
        <rFont val="Arial Narrow"/>
        <family val="2"/>
        <scheme val="minor"/>
      </rPr>
      <t>2/(226-1)= 0.009</t>
    </r>
  </si>
  <si>
    <t>Not a watershed protected area. Loch Alva is 29.4km to the and Loch Lomond is 19.8km to the SSE</t>
  </si>
  <si>
    <t xml:space="preserve">Sampling indicates a problem with concentrations of metals, hydrocarbons, nutrients, or other substances (excluding bacteria, acidic water, high temperatures) being present at levels harmful to aquatic life or humans, and:  </t>
  </si>
  <si>
    <t>No testing has occurred</t>
  </si>
  <si>
    <t>The problem described above is downslope from the AA, and:</t>
  </si>
  <si>
    <t>Isolated due to its island nature</t>
  </si>
  <si>
    <t>Uninhabited.</t>
  </si>
  <si>
    <t xml:space="preserve">This is difficult due to the nature of the island, however, it is not mostly forested. </t>
  </si>
  <si>
    <t>Mostly Untrue</t>
  </si>
  <si>
    <t xml:space="preserve">There is no overland flow that enters the AA. </t>
  </si>
  <si>
    <t>Appears as though the inlet and outlet are the same location according to satelite images</t>
  </si>
  <si>
    <t>&gt;2 km, or wetland lacks an inlet and outlet.</t>
  </si>
  <si>
    <t>Gridcode - 2135</t>
  </si>
  <si>
    <r>
      <t>According to agency biologists and/or your own observations, the AA. [M</t>
    </r>
    <r>
      <rPr>
        <b/>
        <i/>
        <sz val="10"/>
        <rFont val="Arial Narrow"/>
        <family val="2"/>
        <scheme val="minor"/>
      </rPr>
      <t>ark just the first choice that is true.]</t>
    </r>
    <r>
      <rPr>
        <b/>
        <sz val="10"/>
        <rFont val="Arial Narrow"/>
        <family val="2"/>
        <scheme val="minor"/>
      </rPr>
      <t>:</t>
    </r>
  </si>
  <si>
    <t xml:space="preserve">Appears to shallow and not appropriate habitat for salminids, but likley used by other species. </t>
  </si>
  <si>
    <r>
      <t xml:space="preserve">Within the past 10 years, in the AA (or in its adjoining waters or wetland), qualified observers have documented </t>
    </r>
    <r>
      <rPr>
        <b/>
        <i/>
        <sz val="10"/>
        <rFont val="Arial Narrow"/>
        <family val="2"/>
        <scheme val="minor"/>
      </rPr>
      <t>[mark all applicable</t>
    </r>
    <r>
      <rPr>
        <b/>
        <sz val="10"/>
        <rFont val="Arial Narrow"/>
        <family val="2"/>
        <scheme val="minor"/>
      </rPr>
      <t>]:</t>
    </r>
  </si>
  <si>
    <t>Richarson's Pondweed (S2) observed in 2008. Bobolink (3 males, S3S4) observed in 2018</t>
  </si>
  <si>
    <t xml:space="preserve">In Google Earth, open the KMZ file that accompanies this calculator, called IBAs_Canada.  The AA is all or part of an officially designated IBA. Enter 1= yes, 0= no. </t>
  </si>
  <si>
    <t>The area is not part of an IBA, although is close to one on the NNW portion. (IBA=Pink)</t>
  </si>
  <si>
    <t>In Google Earth, open the KMZ file that accompanies this calculator, called BlackDuck.  Adjust its alignment and opacity. Determine the predicted density (pairs per 25 sq. km) of nesting American Black Duck in the AA's vicinity: &lt;10 (enter 0), 10-20 (enter 1), 20-30 (enter 2), &gt;30 (enter 3).  If outside of region shown in map, change to blank.</t>
  </si>
  <si>
    <t xml:space="preserve">Looks like approximatley 10-20 nesting pairs, overlay may need some adjustment. The darker the gey the higher the number of breeding pairs. </t>
  </si>
  <si>
    <t>The AA is part of or contiguous to a wetland on which public or private organizational funds were spent to preserve, create, restore, or enhance the wetland (excluding mitigation wetlands). Ask the property owner. Enter: yes= 1, no= 0. If no information, change to blank (not 0).</t>
  </si>
  <si>
    <t xml:space="preserve">Yes, its protected and funds have been allocated. </t>
  </si>
  <si>
    <t>The AA is all or part of a mitigation site used explicitly to offset impacts elsewhere. Ask the property owner.  Enter: yes= 1, no= 0. If no information, change to blank.</t>
  </si>
  <si>
    <t>Plants, animals, or water in the AA have been monitored for &gt;2 years, unrelated to any regulatory requirements, and data are available to the public. Or the AA is part of an area that has been designated by an agency or institution as a benchmark, reference, or status-trends monitoring area.  Ask the property owner.  Enter: yes= 1, no= 0. If no information, change to blank.</t>
  </si>
  <si>
    <t xml:space="preserve">The AA is in an area that is at least partly underlain by soil, sediment, or bedrock that is highly calcareous (enter 3 in next column), moderately calcareous (enter 2), or slightly calcareous (enter 1), none= 0. Limestone is typically a major component (karst geology) and water is not acidic (pH is usually &gt;8).See Figure A-6 in Appendix A of the Manual.  If no map coverage, change to blank.
</t>
  </si>
  <si>
    <t>Allison Patrick and Beth Brooks</t>
  </si>
  <si>
    <t>Lower Kars, NB</t>
  </si>
  <si>
    <t>100%</t>
  </si>
  <si>
    <t>25%</t>
  </si>
  <si>
    <t>Yes - NCC is owner</t>
  </si>
  <si>
    <t>Yes</t>
  </si>
  <si>
    <t>Yes, Allison attended a 2-day WESP training session at Beaubassin in Sept 2016</t>
  </si>
  <si>
    <t>Allison had previously assessed 1 non-tidal wetland with WESP protocol</t>
  </si>
  <si>
    <t>Date: July 23, 2019</t>
  </si>
  <si>
    <t>Site Identifier: Hog Island</t>
  </si>
  <si>
    <t>Investigator: Allison Patrick and Beth Brooks</t>
  </si>
  <si>
    <t>Date: Uly 23, 2019</t>
  </si>
  <si>
    <t>Wetland ID: Hog Island</t>
  </si>
  <si>
    <t>Observer: Allison Patrick and Beth Brooks</t>
  </si>
  <si>
    <t>Figure 1. Frass in trees from spring freshet.</t>
  </si>
  <si>
    <t>Figure 2. Clay soil.</t>
  </si>
  <si>
    <t>Figure 3. Standing water beneith grasses.</t>
  </si>
  <si>
    <t>Figure 4. Tall American elm with a wooden plate with spikes.</t>
  </si>
  <si>
    <t>Figure 5. Shoreline of Hog Island.</t>
  </si>
  <si>
    <t>Figure 6. Buoys marking boating channel.</t>
  </si>
  <si>
    <t>Figure 7. Trench used by an animal ?</t>
  </si>
  <si>
    <t>It has some invasive species, including purple loosestrife and woodland angelica.</t>
  </si>
  <si>
    <t>Native gypsy moth caterpillars (a forest pest) were numerous on a large American elm tree.</t>
  </si>
  <si>
    <t>An osprey was nesting on a pole.</t>
  </si>
  <si>
    <t xml:space="preserve">Hog Island is located in Belleisle Bay, near Lower Kars, NB, along the Saint John River. It is owned by the Nature Conservancy of Canada. </t>
  </si>
  <si>
    <t>Monarch butterfly (endangered) was observed feeding on swamp milkweed two years in a row.</t>
  </si>
  <si>
    <t xml:space="preserve">It is an island, so accessible only by boat. It would be a protected place for nesting birds, or for deer to raise young. </t>
  </si>
  <si>
    <t>The nearby area is popular for boating, and a pleasure craft and a barge were observed boating by the island.</t>
  </si>
  <si>
    <t>In the past, this low-lying island within the Saint John River would have been utilized for hog and / or cattle feeding as many islands still are within the river system throughout the summer.  The island would become submerged during the spring freshets depending on water levels and current.</t>
  </si>
  <si>
    <t>Floodplain forest is found along the island margin, which includes silver maple, american elm, and green ash.</t>
  </si>
  <si>
    <t>Hog Island itself consists of 34.4 ha of wetland, some of which contains ponded water below the vegetation</t>
  </si>
  <si>
    <t>Hog Island is 34 ha of vegetation</t>
  </si>
  <si>
    <t xml:space="preserve">Left blank because private land. </t>
  </si>
  <si>
    <t>Owned by NCC</t>
  </si>
  <si>
    <t>No</t>
  </si>
  <si>
    <t>No- only monitored for 2 years so far</t>
  </si>
  <si>
    <t>NCC owned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</si>
</sst>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m\-yyyy"/>
  </numFmts>
  <fonts count="110" x14ac:knownFonts="1">
    <font>
      <sz val="10"/>
      <name val="Times New Roman"/>
    </font>
    <font>
      <sz val="11"/>
      <color theme="1"/>
      <name val="Arial Narrow"/>
      <family val="2"/>
      <scheme val="minor"/>
    </font>
    <font>
      <sz val="10"/>
      <color indexed="8"/>
      <name val="Arial Narrow"/>
      <family val="2"/>
    </font>
    <font>
      <sz val="8"/>
      <name val="Times New Roman"/>
      <family val="1"/>
    </font>
    <font>
      <sz val="10"/>
      <name val="Arial"/>
      <family val="2"/>
    </font>
    <font>
      <sz val="10"/>
      <name val="Arial Narrow"/>
      <family val="2"/>
    </font>
    <font>
      <b/>
      <sz val="10"/>
      <name val="Arial Narrow"/>
      <family val="2"/>
    </font>
    <font>
      <u/>
      <sz val="10"/>
      <name val="Arial Narrow"/>
      <family val="2"/>
    </font>
    <font>
      <b/>
      <sz val="12"/>
      <name val="Arial Narrow"/>
      <family val="2"/>
    </font>
    <font>
      <b/>
      <u/>
      <sz val="10"/>
      <name val="Arial Narrow"/>
      <family val="2"/>
    </font>
    <font>
      <sz val="10"/>
      <name val="Times New Roman"/>
      <family val="1"/>
    </font>
    <font>
      <sz val="12"/>
      <name val="Arial"/>
      <family val="2"/>
    </font>
    <font>
      <i/>
      <sz val="10"/>
      <name val="Arial Narrow"/>
      <family val="2"/>
    </font>
    <font>
      <b/>
      <sz val="16"/>
      <name val="Arial Narrow"/>
      <family val="2"/>
    </font>
    <font>
      <b/>
      <sz val="12"/>
      <name val="Arial"/>
      <family val="2"/>
    </font>
    <font>
      <b/>
      <i/>
      <sz val="12"/>
      <name val="Arial"/>
      <family val="2"/>
    </font>
    <font>
      <b/>
      <sz val="11"/>
      <name val="Arial Narrow"/>
      <family val="2"/>
    </font>
    <font>
      <sz val="11"/>
      <name val="Arial"/>
      <family val="2"/>
    </font>
    <font>
      <sz val="10"/>
      <color indexed="8"/>
      <name val="Arial Narrow"/>
      <family val="2"/>
    </font>
    <font>
      <sz val="11"/>
      <color indexed="8"/>
      <name val="Arial Narrow"/>
      <family val="2"/>
    </font>
    <font>
      <sz val="8"/>
      <name val="Times New Roman"/>
      <family val="1"/>
    </font>
    <font>
      <i/>
      <sz val="10"/>
      <color indexed="8"/>
      <name val="Arial Narrow"/>
      <family val="2"/>
    </font>
    <font>
      <sz val="10"/>
      <name val="Arial Narrow"/>
      <family val="2"/>
    </font>
    <font>
      <sz val="10"/>
      <name val="Arial Narrow"/>
      <family val="2"/>
    </font>
    <font>
      <b/>
      <sz val="10"/>
      <name val="Arial Narrow"/>
      <family val="2"/>
    </font>
    <font>
      <sz val="11"/>
      <name val="Arial Narrow"/>
      <family val="2"/>
    </font>
    <font>
      <sz val="10"/>
      <name val="Arial Narrow"/>
      <family val="2"/>
    </font>
    <font>
      <b/>
      <sz val="10"/>
      <name val="Arial Narrow"/>
      <family val="2"/>
    </font>
    <font>
      <sz val="10"/>
      <name val="Arial Narrow"/>
      <family val="2"/>
    </font>
    <font>
      <b/>
      <sz val="10"/>
      <name val="Arial Narrow"/>
      <family val="2"/>
    </font>
    <font>
      <b/>
      <sz val="16"/>
      <name val="Arial Narrow"/>
      <family val="2"/>
    </font>
    <font>
      <sz val="12"/>
      <name val="Arial Narrow"/>
      <family val="2"/>
    </font>
    <font>
      <sz val="8"/>
      <name val="Times New Roman"/>
      <family val="1"/>
    </font>
    <font>
      <b/>
      <i/>
      <sz val="10"/>
      <name val="Arial Narrow"/>
      <family val="2"/>
    </font>
    <font>
      <i/>
      <sz val="10"/>
      <name val="Times New Roman"/>
      <family val="1"/>
    </font>
    <font>
      <sz val="10.9"/>
      <name val="Arial Narrow"/>
      <family val="2"/>
    </font>
    <font>
      <b/>
      <sz val="13"/>
      <name val="Arial"/>
      <family val="2"/>
    </font>
    <font>
      <b/>
      <sz val="13"/>
      <name val="Arial Narrow"/>
      <family val="2"/>
    </font>
    <font>
      <b/>
      <sz val="14"/>
      <name val="Arial"/>
      <family val="2"/>
    </font>
    <font>
      <sz val="10.5"/>
      <name val="Arial Narrow"/>
      <family val="2"/>
    </font>
    <font>
      <sz val="10"/>
      <color rgb="FFFF0000"/>
      <name val="Arial Narrow"/>
      <family val="2"/>
    </font>
    <font>
      <sz val="10"/>
      <name val="Arial Narrow"/>
      <family val="2"/>
      <scheme val="minor"/>
    </font>
    <font>
      <sz val="10"/>
      <color theme="0" tint="-0.34998626667073579"/>
      <name val="Arial Narrow"/>
      <family val="2"/>
    </font>
    <font>
      <sz val="10"/>
      <color theme="0" tint="-0.24994659260841701"/>
      <name val="Arial Narrow"/>
      <family val="2"/>
    </font>
    <font>
      <sz val="10"/>
      <name val="Calibri"/>
      <family val="2"/>
    </font>
    <font>
      <sz val="10"/>
      <name val="Arial Narrow"/>
      <family val="2"/>
      <scheme val="major"/>
    </font>
    <font>
      <b/>
      <sz val="10"/>
      <name val="Times New Roman"/>
      <family val="1"/>
    </font>
    <font>
      <b/>
      <sz val="10"/>
      <color indexed="8"/>
      <name val="Arial Narrow"/>
      <family val="2"/>
    </font>
    <font>
      <sz val="10"/>
      <color rgb="FFFF0000"/>
      <name val="Arial Narrow"/>
      <family val="2"/>
      <scheme val="minor"/>
    </font>
    <font>
      <sz val="10"/>
      <color rgb="FF000000"/>
      <name val="Arial Narrow"/>
      <family val="2"/>
    </font>
    <font>
      <sz val="8"/>
      <color rgb="FFFF0000"/>
      <name val="Arial"/>
      <family val="2"/>
    </font>
    <font>
      <i/>
      <sz val="10"/>
      <color rgb="FFFF0000"/>
      <name val="Arial Narrow"/>
      <family val="2"/>
      <scheme val="minor"/>
    </font>
    <font>
      <sz val="8"/>
      <color rgb="FF222222"/>
      <name val="Arial"/>
      <family val="2"/>
    </font>
    <font>
      <sz val="11"/>
      <name val="Calibri"/>
      <family val="2"/>
    </font>
    <font>
      <i/>
      <sz val="10"/>
      <name val="Arial Narrow"/>
      <family val="2"/>
      <scheme val="minor"/>
    </font>
    <font>
      <b/>
      <sz val="11"/>
      <name val="Calibri"/>
      <family val="2"/>
    </font>
    <font>
      <b/>
      <i/>
      <sz val="11"/>
      <name val="Calibri"/>
      <family val="2"/>
    </font>
    <font>
      <b/>
      <sz val="16"/>
      <name val="Arial"/>
      <family val="2"/>
    </font>
    <font>
      <i/>
      <sz val="10.5"/>
      <name val="Arial Narrow"/>
      <family val="2"/>
    </font>
    <font>
      <sz val="10"/>
      <color theme="0" tint="-0.499984740745262"/>
      <name val="Arial Narrow"/>
      <family val="2"/>
    </font>
    <font>
      <b/>
      <sz val="14"/>
      <name val="Arial Narrow"/>
      <family val="2"/>
    </font>
    <font>
      <b/>
      <sz val="11"/>
      <name val="Arial"/>
      <family val="2"/>
    </font>
    <font>
      <i/>
      <u/>
      <sz val="10"/>
      <name val="Arial Narrow"/>
      <family val="2"/>
    </font>
    <font>
      <sz val="10"/>
      <color rgb="FF000000"/>
      <name val="Times New Roman"/>
      <family val="1"/>
    </font>
    <font>
      <b/>
      <sz val="10"/>
      <name val="Arial Narrow"/>
      <family val="2"/>
    </font>
    <font>
      <sz val="11"/>
      <name val="Calibri"/>
      <family val="2"/>
    </font>
    <font>
      <sz val="10"/>
      <name val="Arial Narrow"/>
      <family val="2"/>
    </font>
    <font>
      <b/>
      <sz val="11"/>
      <name val="Calibri"/>
      <family val="2"/>
    </font>
    <font>
      <sz val="11"/>
      <name val="Arial Narrow"/>
      <family val="2"/>
    </font>
    <font>
      <u/>
      <sz val="10"/>
      <name val="Times New Roman"/>
      <family val="2"/>
    </font>
    <font>
      <sz val="10"/>
      <name val="Arial Narrow"/>
      <family val="2"/>
      <scheme val="minor"/>
    </font>
    <font>
      <b/>
      <sz val="10"/>
      <name val="Arial Narrow"/>
      <family val="2"/>
      <scheme val="minor"/>
    </font>
    <font>
      <b/>
      <sz val="11"/>
      <name val="Arial Narrow"/>
      <family val="2"/>
      <scheme val="minor"/>
    </font>
    <font>
      <b/>
      <i/>
      <sz val="10"/>
      <name val="Arial Narrow"/>
      <family val="2"/>
      <scheme val="minor"/>
    </font>
    <font>
      <sz val="12"/>
      <name val="Arial"/>
      <family val="2"/>
    </font>
    <font>
      <b/>
      <sz val="13"/>
      <name val="Arial"/>
      <family val="2"/>
    </font>
    <font>
      <sz val="12"/>
      <name val="Arial Narrow"/>
      <family val="2"/>
    </font>
    <font>
      <b/>
      <sz val="11"/>
      <name val="Arial Narrow"/>
      <family val="2"/>
    </font>
    <font>
      <sz val="11"/>
      <name val="Arial Narrow"/>
      <family val="2"/>
    </font>
    <font>
      <sz val="10"/>
      <name val="Arial Narrow"/>
      <family val="2"/>
    </font>
    <font>
      <i/>
      <sz val="10"/>
      <name val="Times New Roman"/>
      <family val="2"/>
    </font>
    <font>
      <b/>
      <sz val="12"/>
      <name val="Arial Narrow"/>
      <family val="2"/>
    </font>
    <font>
      <sz val="10"/>
      <name val="Arial Narrow"/>
      <family val="2"/>
      <scheme val="minor"/>
    </font>
    <font>
      <sz val="9"/>
      <name val="Times New Roman"/>
      <family val="2"/>
    </font>
    <font>
      <sz val="11"/>
      <name val="Arial"/>
      <family val="2"/>
    </font>
    <font>
      <sz val="10"/>
      <name val="Arial"/>
      <family val="2"/>
    </font>
    <font>
      <sz val="8"/>
      <name val="Arial"/>
      <family val="2"/>
    </font>
    <font>
      <i/>
      <sz val="10"/>
      <name val="Arial"/>
      <family val="2"/>
    </font>
    <font>
      <b/>
      <i/>
      <sz val="11"/>
      <name val="Arial Narrow"/>
      <family val="2"/>
    </font>
    <font>
      <b/>
      <sz val="12"/>
      <name val="Arial"/>
      <family val="2"/>
    </font>
    <font>
      <sz val="11"/>
      <name val="Arial Narrow"/>
      <family val="2"/>
    </font>
    <font>
      <sz val="10"/>
      <name val="Arial Narrow"/>
      <family val="2"/>
    </font>
    <font>
      <b/>
      <sz val="10"/>
      <name val="Arial"/>
      <family val="2"/>
    </font>
    <font>
      <sz val="10"/>
      <color rgb="FFFF0000"/>
      <name val="Arial"/>
      <family val="2"/>
    </font>
    <font>
      <i/>
      <sz val="11"/>
      <name val="Arial Narrow"/>
      <family val="2"/>
    </font>
    <font>
      <b/>
      <i/>
      <u/>
      <sz val="11"/>
      <name val="Arial Narrow"/>
      <family val="2"/>
    </font>
    <font>
      <i/>
      <u/>
      <sz val="11"/>
      <name val="Arial Narrow"/>
      <family val="2"/>
    </font>
    <font>
      <i/>
      <sz val="11"/>
      <color rgb="FFFF0000"/>
      <name val="Arial Narrow"/>
      <family val="2"/>
    </font>
    <font>
      <sz val="11"/>
      <name val="Arial Narrow"/>
      <family val="2"/>
      <scheme val="minor"/>
    </font>
    <font>
      <b/>
      <u/>
      <sz val="11"/>
      <name val="Arial Narrow"/>
      <family val="2"/>
    </font>
    <font>
      <sz val="18"/>
      <name val="Arial"/>
      <family val="2"/>
    </font>
    <font>
      <sz val="14"/>
      <name val="Calibri"/>
      <family val="2"/>
    </font>
    <font>
      <sz val="16"/>
      <name val="Calibri"/>
      <family val="2"/>
    </font>
    <font>
      <b/>
      <sz val="16"/>
      <name val="Calibri"/>
      <family val="2"/>
    </font>
    <font>
      <b/>
      <u/>
      <sz val="16"/>
      <name val="Calibri"/>
      <family val="2"/>
    </font>
    <font>
      <b/>
      <sz val="14"/>
      <name val="Times New Roman"/>
      <family val="1"/>
    </font>
    <font>
      <b/>
      <sz val="10"/>
      <name val="Calibri"/>
      <family val="2"/>
    </font>
    <font>
      <i/>
      <sz val="8"/>
      <name val="Arial Narrow"/>
      <family val="2"/>
      <scheme val="minor"/>
    </font>
    <font>
      <sz val="8"/>
      <color theme="0" tint="-0.499984740745262"/>
      <name val="Times New Roman"/>
      <family val="1"/>
    </font>
    <font>
      <sz val="8"/>
      <color theme="0" tint="-0.499984740745262"/>
      <name val="Arial Narrow"/>
      <family val="2"/>
      <scheme val="minor"/>
    </font>
  </fonts>
  <fills count="3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23"/>
        <bgColor indexed="64"/>
      </patternFill>
    </fill>
    <fill>
      <patternFill patternType="solid">
        <fgColor indexed="11"/>
        <bgColor indexed="64"/>
      </patternFill>
    </fill>
    <fill>
      <patternFill patternType="solid">
        <fgColor indexed="51"/>
        <bgColor indexed="64"/>
      </patternFill>
    </fill>
    <fill>
      <patternFill patternType="solid">
        <fgColor indexed="40"/>
        <bgColor indexed="64"/>
      </patternFill>
    </fill>
    <fill>
      <patternFill patternType="solid">
        <fgColor indexed="45"/>
        <bgColor indexed="64"/>
      </patternFill>
    </fill>
    <fill>
      <patternFill patternType="solid">
        <fgColor indexed="15"/>
        <bgColor indexed="64"/>
      </patternFill>
    </fill>
    <fill>
      <patternFill patternType="solid">
        <fgColor indexed="63"/>
        <bgColor indexed="64"/>
      </patternFill>
    </fill>
    <fill>
      <patternFill patternType="solid">
        <fgColor rgb="FFFFFF00"/>
        <bgColor indexed="64"/>
      </patternFill>
    </fill>
    <fill>
      <patternFill patternType="solid">
        <fgColor rgb="FFFFC000"/>
        <bgColor indexed="64"/>
      </patternFill>
    </fill>
    <fill>
      <patternFill patternType="solid">
        <fgColor rgb="FF00CCFF"/>
        <bgColor indexed="64"/>
      </patternFill>
    </fill>
    <fill>
      <patternFill patternType="solid">
        <fgColor theme="0" tint="-0.249977111117893"/>
        <bgColor indexed="64"/>
      </patternFill>
    </fill>
    <fill>
      <patternFill patternType="solid">
        <fgColor rgb="FF00FF00"/>
        <bgColor indexed="64"/>
      </patternFill>
    </fill>
    <fill>
      <patternFill patternType="solid">
        <fgColor rgb="FF66FF33"/>
        <bgColor indexed="64"/>
      </patternFill>
    </fill>
    <fill>
      <patternFill patternType="solid">
        <fgColor rgb="FF00B0F0"/>
        <bgColor indexed="64"/>
      </patternFill>
    </fill>
    <fill>
      <patternFill patternType="solid">
        <fgColor theme="0"/>
        <bgColor indexed="64"/>
      </patternFill>
    </fill>
    <fill>
      <patternFill patternType="solid">
        <fgColor rgb="FF808080"/>
        <bgColor indexed="64"/>
      </patternFill>
    </fill>
    <fill>
      <patternFill patternType="solid">
        <fgColor rgb="FFFF99CC"/>
        <bgColor indexed="64"/>
      </patternFill>
    </fill>
    <fill>
      <patternFill patternType="solid">
        <fgColor rgb="FF66FF66"/>
        <bgColor indexed="64"/>
      </patternFill>
    </fill>
    <fill>
      <patternFill patternType="solid">
        <fgColor theme="0" tint="-0.34998626667073579"/>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rgb="FFFFCC00"/>
        <bgColor indexed="64"/>
      </patternFill>
    </fill>
    <fill>
      <patternFill patternType="solid">
        <fgColor theme="4" tint="0.79998168889431442"/>
        <bgColor indexed="64"/>
      </patternFill>
    </fill>
    <fill>
      <patternFill patternType="solid">
        <fgColor rgb="FFD8D8D8"/>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66FF99"/>
        <bgColor indexed="64"/>
      </patternFill>
    </fill>
    <fill>
      <patternFill patternType="solid">
        <fgColor rgb="FFFFCCFF"/>
        <bgColor indexed="64"/>
      </patternFill>
    </fill>
    <fill>
      <patternFill patternType="solid">
        <fgColor theme="8" tint="0.79998168889431442"/>
        <bgColor indexed="64"/>
      </patternFill>
    </fill>
    <fill>
      <patternFill patternType="solid">
        <fgColor rgb="FF99FF99"/>
        <bgColor indexed="64"/>
      </patternFill>
    </fill>
    <fill>
      <patternFill patternType="solid">
        <fgColor rgb="FFCCECFF"/>
        <bgColor indexed="64"/>
      </patternFill>
    </fill>
    <fill>
      <patternFill patternType="solid">
        <fgColor rgb="FFC0C0C0"/>
        <bgColor indexed="64"/>
      </patternFill>
    </fill>
    <fill>
      <patternFill patternType="solid">
        <fgColor theme="2"/>
        <bgColor indexed="64"/>
      </patternFill>
    </fill>
    <fill>
      <patternFill patternType="solid">
        <fgColor rgb="FFBFBFBF"/>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s>
  <cellStyleXfs count="2">
    <xf numFmtId="0" fontId="0" fillId="0" borderId="0">
      <alignment vertical="top"/>
    </xf>
    <xf numFmtId="0" fontId="10" fillId="0" borderId="0">
      <alignment vertical="top"/>
    </xf>
  </cellStyleXfs>
  <cellXfs count="3146">
    <xf numFmtId="0" fontId="0" fillId="0" borderId="0" xfId="0">
      <alignment vertical="top"/>
    </xf>
    <xf numFmtId="0" fontId="5" fillId="0" borderId="0" xfId="0" applyFont="1" applyAlignment="1">
      <alignment wrapText="1"/>
    </xf>
    <xf numFmtId="0" fontId="5" fillId="0" borderId="0" xfId="0" applyFont="1" applyFill="1" applyBorder="1" applyAlignment="1">
      <alignment vertical="top" wrapText="1"/>
    </xf>
    <xf numFmtId="0" fontId="5" fillId="0" borderId="0" xfId="0" applyFont="1" applyBorder="1" applyAlignment="1">
      <alignment vertical="top" wrapText="1"/>
    </xf>
    <xf numFmtId="0" fontId="5" fillId="0" borderId="5" xfId="0" applyFont="1" applyFill="1" applyBorder="1" applyAlignment="1">
      <alignment vertical="top" wrapText="1"/>
    </xf>
    <xf numFmtId="0" fontId="5" fillId="0" borderId="6" xfId="0" applyFont="1" applyFill="1" applyBorder="1" applyAlignment="1">
      <alignment vertical="top" wrapText="1"/>
    </xf>
    <xf numFmtId="0" fontId="5" fillId="0" borderId="0" xfId="0" applyFont="1" applyAlignment="1">
      <alignment vertical="top" wrapText="1"/>
    </xf>
    <xf numFmtId="0" fontId="5" fillId="0" borderId="0" xfId="0" applyFont="1" applyFill="1" applyAlignment="1">
      <alignment vertical="top" wrapText="1"/>
    </xf>
    <xf numFmtId="0" fontId="5" fillId="0" borderId="0" xfId="0" applyNumberFormat="1" applyFont="1" applyBorder="1" applyAlignment="1">
      <alignment vertical="top" wrapText="1"/>
    </xf>
    <xf numFmtId="0" fontId="5" fillId="0" borderId="0" xfId="0" applyFont="1" applyAlignment="1">
      <alignment vertical="top"/>
    </xf>
    <xf numFmtId="0" fontId="5" fillId="0" borderId="0" xfId="0" applyFont="1" applyFill="1" applyAlignment="1">
      <alignment vertical="top"/>
    </xf>
    <xf numFmtId="0" fontId="5" fillId="0" borderId="0" xfId="0" applyFont="1" applyFill="1" applyBorder="1" applyAlignment="1">
      <alignment vertical="top"/>
    </xf>
    <xf numFmtId="49" fontId="5" fillId="0" borderId="0" xfId="0" applyNumberFormat="1" applyFont="1" applyBorder="1" applyAlignment="1">
      <alignment vertical="top" wrapText="1"/>
    </xf>
    <xf numFmtId="0" fontId="6" fillId="0" borderId="0" xfId="0" applyFont="1" applyFill="1" applyAlignment="1">
      <alignment vertical="top" wrapText="1"/>
    </xf>
    <xf numFmtId="0" fontId="5" fillId="0" borderId="0" xfId="0" applyFont="1" applyBorder="1" applyAlignment="1">
      <alignment vertical="top"/>
    </xf>
    <xf numFmtId="0" fontId="5" fillId="0" borderId="1" xfId="0" applyFont="1" applyBorder="1" applyAlignment="1">
      <alignment vertical="top"/>
    </xf>
    <xf numFmtId="49" fontId="5" fillId="0" borderId="0" xfId="0" applyNumberFormat="1" applyFont="1" applyFill="1" applyBorder="1" applyAlignment="1">
      <alignment vertical="top" wrapText="1"/>
    </xf>
    <xf numFmtId="49" fontId="5" fillId="0" borderId="0" xfId="0" applyNumberFormat="1" applyFont="1" applyAlignment="1">
      <alignment vertical="top" wrapText="1"/>
    </xf>
    <xf numFmtId="0" fontId="5" fillId="0" borderId="1" xfId="0" applyFont="1" applyFill="1" applyBorder="1" applyAlignment="1">
      <alignment vertical="top"/>
    </xf>
    <xf numFmtId="0" fontId="5" fillId="0" borderId="6" xfId="0" applyFont="1" applyBorder="1" applyAlignment="1">
      <alignment vertical="top"/>
    </xf>
    <xf numFmtId="0" fontId="5" fillId="0" borderId="0" xfId="0" applyFont="1" applyFill="1" applyBorder="1" applyAlignment="1">
      <alignment horizontal="left" vertical="top" wrapText="1"/>
    </xf>
    <xf numFmtId="0" fontId="5" fillId="0" borderId="0" xfId="0" applyFont="1" applyFill="1" applyAlignment="1">
      <alignment horizontal="left" vertical="top" wrapText="1"/>
    </xf>
    <xf numFmtId="2" fontId="5" fillId="0" borderId="0" xfId="0" applyNumberFormat="1" applyFont="1" applyFill="1" applyBorder="1" applyAlignment="1">
      <alignment vertical="top"/>
    </xf>
    <xf numFmtId="2" fontId="5" fillId="0" borderId="0" xfId="0" applyNumberFormat="1" applyFont="1" applyFill="1" applyBorder="1" applyAlignment="1">
      <alignment horizontal="right" vertical="top"/>
    </xf>
    <xf numFmtId="0" fontId="5" fillId="0" borderId="6" xfId="0" applyFont="1" applyFill="1" applyBorder="1" applyAlignment="1">
      <alignment vertical="top"/>
    </xf>
    <xf numFmtId="0" fontId="5" fillId="0" borderId="0" xfId="0" applyNumberFormat="1" applyFont="1" applyFill="1" applyBorder="1" applyAlignment="1">
      <alignment vertical="top" wrapText="1"/>
    </xf>
    <xf numFmtId="0" fontId="5" fillId="0" borderId="0" xfId="0" applyFont="1" applyAlignment="1">
      <alignment horizontal="center" vertical="top" wrapText="1"/>
    </xf>
    <xf numFmtId="0" fontId="5" fillId="0" borderId="12" xfId="0" applyFont="1" applyFill="1" applyBorder="1" applyAlignment="1">
      <alignment vertical="top" wrapText="1"/>
    </xf>
    <xf numFmtId="0" fontId="5" fillId="0" borderId="0" xfId="1" applyFont="1" applyAlignment="1">
      <alignment vertical="top"/>
    </xf>
    <xf numFmtId="0" fontId="5" fillId="0" borderId="0" xfId="0" applyFont="1" applyBorder="1" applyAlignment="1">
      <alignment horizontal="left" vertical="top" wrapText="1"/>
    </xf>
    <xf numFmtId="0" fontId="5" fillId="0" borderId="0" xfId="0" applyFont="1" applyAlignment="1">
      <alignment horizontal="left" vertical="top" wrapText="1"/>
    </xf>
    <xf numFmtId="0" fontId="10" fillId="0" borderId="0" xfId="1" applyFont="1" applyAlignment="1">
      <alignment vertical="top"/>
    </xf>
    <xf numFmtId="0" fontId="23" fillId="0" borderId="0" xfId="0" applyFont="1" applyBorder="1" applyAlignment="1">
      <alignment vertical="top" wrapText="1"/>
    </xf>
    <xf numFmtId="0" fontId="23" fillId="0" borderId="0" xfId="0" applyFont="1" applyAlignment="1">
      <alignment vertical="top" wrapText="1"/>
    </xf>
    <xf numFmtId="0" fontId="23" fillId="0" borderId="0" xfId="0" applyFont="1" applyFill="1" applyBorder="1" applyAlignment="1">
      <alignment vertical="top" wrapText="1"/>
    </xf>
    <xf numFmtId="49" fontId="23" fillId="0" borderId="0" xfId="0" applyNumberFormat="1" applyFont="1" applyBorder="1" applyAlignment="1">
      <alignment vertical="top" wrapText="1"/>
    </xf>
    <xf numFmtId="0" fontId="23" fillId="0" borderId="0" xfId="0" applyFont="1" applyFill="1" applyBorder="1" applyAlignment="1">
      <alignment horizontal="left" vertical="top" wrapText="1"/>
    </xf>
    <xf numFmtId="0" fontId="23" fillId="0" borderId="0" xfId="0" applyFont="1" applyFill="1" applyAlignment="1">
      <alignment vertical="top" wrapText="1"/>
    </xf>
    <xf numFmtId="0" fontId="23" fillId="0" borderId="0" xfId="0" applyFont="1" applyFill="1" applyAlignment="1">
      <alignment horizontal="left" vertical="top" wrapText="1"/>
    </xf>
    <xf numFmtId="0" fontId="26" fillId="0" borderId="0" xfId="0" applyFont="1">
      <alignment vertical="top"/>
    </xf>
    <xf numFmtId="0" fontId="26" fillId="0" borderId="0" xfId="0" applyFont="1" applyFill="1">
      <alignment vertical="top"/>
    </xf>
    <xf numFmtId="0" fontId="26" fillId="0" borderId="0" xfId="0" applyFont="1" applyFill="1" applyBorder="1" applyAlignment="1">
      <alignment vertical="top" wrapText="1"/>
    </xf>
    <xf numFmtId="0" fontId="26" fillId="0" borderId="0" xfId="0" applyFont="1" applyAlignment="1">
      <alignment vertical="top" wrapText="1"/>
    </xf>
    <xf numFmtId="0" fontId="26" fillId="0" borderId="0" xfId="0" applyFont="1" applyBorder="1" applyAlignment="1">
      <alignment vertical="top" wrapText="1"/>
    </xf>
    <xf numFmtId="0" fontId="26" fillId="0" borderId="1" xfId="0" applyFont="1" applyFill="1" applyBorder="1" applyAlignment="1">
      <alignment horizontal="center" vertical="top" wrapText="1"/>
    </xf>
    <xf numFmtId="0" fontId="26" fillId="0" borderId="1" xfId="0" applyFont="1" applyBorder="1" applyAlignment="1">
      <alignment horizontal="center" vertical="top" wrapText="1"/>
    </xf>
    <xf numFmtId="0" fontId="26" fillId="0" borderId="0" xfId="0" applyFont="1" applyAlignment="1">
      <alignment horizontal="center" vertical="top" wrapText="1"/>
    </xf>
    <xf numFmtId="0" fontId="26" fillId="0" borderId="0" xfId="0" applyFont="1" applyFill="1" applyAlignment="1">
      <alignment vertical="top" wrapText="1"/>
    </xf>
    <xf numFmtId="0" fontId="5" fillId="0" borderId="0" xfId="0" applyFont="1" applyBorder="1" applyAlignment="1">
      <alignment horizontal="left" vertical="top"/>
    </xf>
    <xf numFmtId="0" fontId="5" fillId="0" borderId="0" xfId="0" applyFont="1" applyAlignment="1">
      <alignment horizontal="left" vertical="top"/>
    </xf>
    <xf numFmtId="0" fontId="5" fillId="0" borderId="0" xfId="0" applyNumberFormat="1" applyFont="1" applyBorder="1" applyAlignment="1">
      <alignment horizontal="left" vertical="top" wrapText="1"/>
    </xf>
    <xf numFmtId="0" fontId="26" fillId="0" borderId="0" xfId="0" applyFont="1" applyBorder="1" applyAlignment="1">
      <alignment wrapText="1"/>
    </xf>
    <xf numFmtId="0" fontId="26" fillId="0" borderId="0" xfId="0" applyFont="1" applyAlignment="1">
      <alignment wrapText="1"/>
    </xf>
    <xf numFmtId="0" fontId="26" fillId="0" borderId="0" xfId="0" applyFont="1" applyFill="1" applyBorder="1" applyAlignment="1">
      <alignment wrapText="1"/>
    </xf>
    <xf numFmtId="0" fontId="26" fillId="0" borderId="1" xfId="0" applyFont="1" applyFill="1" applyBorder="1" applyAlignment="1">
      <alignment wrapText="1"/>
    </xf>
    <xf numFmtId="0" fontId="26" fillId="0" borderId="0" xfId="0" applyNumberFormat="1" applyFont="1" applyBorder="1" applyAlignment="1">
      <alignment vertical="top" wrapText="1"/>
    </xf>
    <xf numFmtId="49" fontId="26" fillId="0" borderId="0" xfId="0" applyNumberFormat="1" applyFont="1" applyBorder="1" applyAlignment="1">
      <alignment vertical="top" wrapText="1"/>
    </xf>
    <xf numFmtId="0" fontId="26" fillId="0" borderId="0" xfId="0" applyFont="1" applyBorder="1" applyAlignment="1"/>
    <xf numFmtId="0" fontId="26" fillId="0" borderId="0" xfId="0" applyFont="1" applyAlignment="1"/>
    <xf numFmtId="0" fontId="28" fillId="0" borderId="0" xfId="0" applyFont="1" applyAlignment="1">
      <alignment vertical="top" wrapText="1"/>
    </xf>
    <xf numFmtId="0" fontId="28" fillId="0" borderId="0" xfId="0" applyFont="1" applyBorder="1" applyAlignment="1">
      <alignment vertical="top" wrapText="1"/>
    </xf>
    <xf numFmtId="0" fontId="28" fillId="0" borderId="0" xfId="0" applyFont="1" applyFill="1" applyBorder="1" applyAlignment="1">
      <alignment vertical="top" wrapText="1"/>
    </xf>
    <xf numFmtId="0" fontId="28" fillId="0" borderId="0" xfId="0" applyFont="1" applyFill="1" applyBorder="1" applyAlignment="1">
      <alignment horizontal="left" vertical="top" wrapText="1"/>
    </xf>
    <xf numFmtId="0" fontId="28" fillId="0" borderId="0" xfId="0" applyFont="1" applyFill="1" applyAlignment="1">
      <alignment vertical="top" wrapText="1"/>
    </xf>
    <xf numFmtId="0" fontId="28" fillId="0" borderId="0" xfId="0" applyFont="1" applyFill="1" applyAlignment="1">
      <alignment horizontal="left" vertical="top" wrapText="1"/>
    </xf>
    <xf numFmtId="0" fontId="5" fillId="0" borderId="0" xfId="0" applyNumberFormat="1" applyFont="1" applyFill="1" applyBorder="1" applyAlignment="1">
      <alignment horizontal="left" vertical="top" wrapText="1"/>
    </xf>
    <xf numFmtId="0" fontId="5" fillId="0" borderId="8" xfId="0" applyFont="1" applyFill="1" applyBorder="1" applyAlignment="1">
      <alignment horizontal="left" vertical="top" wrapText="1"/>
    </xf>
    <xf numFmtId="0" fontId="5" fillId="0" borderId="0" xfId="0" applyFont="1" applyFill="1" applyAlignment="1">
      <alignment horizontal="left" vertical="top"/>
    </xf>
    <xf numFmtId="0" fontId="28" fillId="0" borderId="0" xfId="0" applyFont="1" applyAlignment="1">
      <alignment horizontal="left" vertical="top" wrapText="1"/>
    </xf>
    <xf numFmtId="2" fontId="28" fillId="0" borderId="0" xfId="0" applyNumberFormat="1" applyFont="1" applyFill="1" applyBorder="1" applyAlignment="1">
      <alignment horizontal="right" vertical="top" wrapText="1"/>
    </xf>
    <xf numFmtId="0" fontId="5" fillId="0" borderId="1" xfId="0" applyFont="1" applyBorder="1" applyAlignment="1">
      <alignment horizontal="center" vertical="top" wrapText="1"/>
    </xf>
    <xf numFmtId="0" fontId="5" fillId="2" borderId="3" xfId="0" applyFont="1" applyFill="1" applyBorder="1" applyAlignment="1">
      <alignment horizontal="center" vertical="top" wrapText="1"/>
    </xf>
    <xf numFmtId="0" fontId="5" fillId="2" borderId="1" xfId="0" applyFont="1" applyFill="1" applyBorder="1" applyAlignment="1">
      <alignment horizontal="center" vertical="top" wrapText="1"/>
    </xf>
    <xf numFmtId="0" fontId="5" fillId="0" borderId="5" xfId="0" applyFont="1" applyFill="1" applyBorder="1" applyAlignment="1">
      <alignment horizontal="left" vertical="top" wrapText="1"/>
    </xf>
    <xf numFmtId="0" fontId="28" fillId="0" borderId="6" xfId="0" applyFont="1" applyBorder="1" applyAlignment="1">
      <alignment vertical="top" wrapText="1"/>
    </xf>
    <xf numFmtId="0" fontId="5" fillId="2" borderId="4" xfId="0" applyFont="1" applyFill="1" applyBorder="1" applyAlignment="1">
      <alignment horizontal="center" vertical="top" wrapText="1"/>
    </xf>
    <xf numFmtId="0" fontId="26" fillId="0" borderId="0" xfId="0" applyFont="1" applyFill="1" applyAlignment="1">
      <alignment wrapText="1"/>
    </xf>
    <xf numFmtId="0" fontId="26" fillId="0" borderId="0" xfId="0" applyFont="1" applyFill="1" applyAlignment="1"/>
    <xf numFmtId="0" fontId="26" fillId="0" borderId="0" xfId="0" applyFont="1" applyAlignment="1">
      <alignment vertical="top"/>
    </xf>
    <xf numFmtId="0" fontId="26" fillId="0" borderId="0" xfId="0" applyFont="1" applyBorder="1" applyAlignment="1">
      <alignment vertical="top"/>
    </xf>
    <xf numFmtId="0" fontId="26" fillId="0" borderId="0" xfId="0" applyNumberFormat="1" applyFont="1">
      <alignment vertical="top"/>
    </xf>
    <xf numFmtId="0" fontId="28" fillId="0" borderId="0" xfId="0" applyFont="1" applyBorder="1" applyAlignment="1">
      <alignment horizontal="left" vertical="top" wrapText="1"/>
    </xf>
    <xf numFmtId="0" fontId="28" fillId="0" borderId="0" xfId="0" applyNumberFormat="1" applyFont="1" applyBorder="1" applyAlignment="1">
      <alignment horizontal="left" vertical="top" wrapText="1"/>
    </xf>
    <xf numFmtId="0" fontId="28" fillId="0" borderId="0" xfId="0" applyNumberFormat="1" applyFont="1" applyAlignment="1">
      <alignment horizontal="left" vertical="top" wrapText="1"/>
    </xf>
    <xf numFmtId="0" fontId="28" fillId="0" borderId="16" xfId="0" applyFont="1" applyBorder="1" applyAlignment="1">
      <alignment vertical="top" wrapText="1"/>
    </xf>
    <xf numFmtId="49" fontId="26" fillId="0" borderId="0" xfId="0" applyNumberFormat="1" applyFont="1" applyAlignment="1">
      <alignment vertical="top" wrapText="1"/>
    </xf>
    <xf numFmtId="0" fontId="5" fillId="0" borderId="0" xfId="0" applyFont="1" applyAlignment="1">
      <alignment horizontal="left" wrapText="1"/>
    </xf>
    <xf numFmtId="1" fontId="26" fillId="2" borderId="1" xfId="0" applyNumberFormat="1" applyFont="1" applyFill="1" applyBorder="1" applyAlignment="1">
      <alignment horizontal="center" vertical="top" wrapText="1"/>
    </xf>
    <xf numFmtId="0" fontId="26" fillId="2" borderId="2" xfId="0" applyFont="1" applyFill="1" applyBorder="1" applyAlignment="1">
      <alignment horizontal="center" vertical="top" wrapText="1"/>
    </xf>
    <xf numFmtId="0" fontId="26" fillId="0" borderId="3" xfId="0" applyFont="1" applyBorder="1" applyAlignment="1">
      <alignment horizontal="center" vertical="top" wrapText="1"/>
    </xf>
    <xf numFmtId="1" fontId="26" fillId="2" borderId="2" xfId="0" applyNumberFormat="1" applyFont="1" applyFill="1" applyBorder="1" applyAlignment="1">
      <alignment horizontal="center" vertical="top" wrapText="1"/>
    </xf>
    <xf numFmtId="0" fontId="26" fillId="2" borderId="1" xfId="0" applyFont="1" applyFill="1" applyBorder="1" applyAlignment="1">
      <alignment horizontal="center" vertical="top" wrapText="1"/>
    </xf>
    <xf numFmtId="0" fontId="26" fillId="2" borderId="8" xfId="0" applyFont="1" applyFill="1" applyBorder="1" applyAlignment="1">
      <alignment horizontal="center" vertical="top" wrapText="1"/>
    </xf>
    <xf numFmtId="1" fontId="26" fillId="2" borderId="8" xfId="0" applyNumberFormat="1" applyFont="1" applyFill="1" applyBorder="1" applyAlignment="1">
      <alignment horizontal="center" vertical="top" wrapText="1"/>
    </xf>
    <xf numFmtId="1" fontId="26" fillId="2" borderId="9" xfId="0" applyNumberFormat="1" applyFont="1" applyFill="1" applyBorder="1" applyAlignment="1">
      <alignment horizontal="center" vertical="top" wrapText="1"/>
    </xf>
    <xf numFmtId="1" fontId="26" fillId="0" borderId="0" xfId="0" applyNumberFormat="1" applyFont="1" applyAlignment="1">
      <alignment horizontal="center" vertical="top" wrapText="1"/>
    </xf>
    <xf numFmtId="0" fontId="26" fillId="0" borderId="4" xfId="0" applyFont="1" applyBorder="1" applyAlignment="1">
      <alignment horizontal="center" vertical="top" wrapText="1"/>
    </xf>
    <xf numFmtId="0" fontId="5" fillId="2" borderId="8" xfId="0" applyFont="1" applyFill="1" applyBorder="1" applyAlignment="1">
      <alignment horizontal="center" vertical="top" wrapText="1"/>
    </xf>
    <xf numFmtId="0" fontId="23" fillId="0" borderId="0" xfId="0" applyNumberFormat="1" applyFont="1" applyFill="1" applyBorder="1" applyAlignment="1">
      <alignment vertical="top" wrapText="1"/>
    </xf>
    <xf numFmtId="0" fontId="5" fillId="0" borderId="0" xfId="0" applyFont="1" applyFill="1" applyBorder="1" applyAlignment="1">
      <alignment horizontal="left" vertical="top"/>
    </xf>
    <xf numFmtId="0" fontId="5" fillId="0" borderId="14" xfId="0" applyFont="1" applyFill="1" applyBorder="1" applyAlignment="1">
      <alignment horizontal="left" vertical="top" wrapText="1"/>
    </xf>
    <xf numFmtId="0" fontId="5" fillId="0" borderId="0" xfId="0" applyFont="1" applyAlignment="1">
      <alignment vertical="center" wrapText="1"/>
    </xf>
    <xf numFmtId="49" fontId="5" fillId="0" borderId="5" xfId="0" applyNumberFormat="1" applyFont="1" applyBorder="1" applyAlignment="1">
      <alignment horizontal="left" vertical="top" wrapText="1"/>
    </xf>
    <xf numFmtId="0" fontId="5" fillId="0" borderId="5" xfId="0" applyFont="1" applyBorder="1" applyAlignment="1">
      <alignment vertical="top" wrapText="1"/>
    </xf>
    <xf numFmtId="0" fontId="31" fillId="0" borderId="0" xfId="0" applyFont="1" applyAlignment="1">
      <alignment vertical="top" wrapText="1"/>
    </xf>
    <xf numFmtId="0" fontId="5" fillId="0" borderId="41" xfId="0" applyFont="1" applyFill="1" applyBorder="1" applyAlignment="1">
      <alignment horizontal="left" vertical="top" wrapText="1"/>
    </xf>
    <xf numFmtId="0" fontId="25" fillId="0" borderId="0" xfId="0" applyFont="1" applyAlignment="1">
      <alignment vertical="top" wrapText="1"/>
    </xf>
    <xf numFmtId="0" fontId="35" fillId="0" borderId="0" xfId="0" applyFont="1" applyAlignment="1">
      <alignment vertical="top" wrapText="1"/>
    </xf>
    <xf numFmtId="0" fontId="35" fillId="0" borderId="0" xfId="0" applyFont="1" applyBorder="1" applyAlignment="1">
      <alignment vertical="top" wrapText="1"/>
    </xf>
    <xf numFmtId="0" fontId="35" fillId="0" borderId="0" xfId="0" applyFont="1" applyFill="1" applyAlignment="1">
      <alignment vertical="top" wrapText="1"/>
    </xf>
    <xf numFmtId="0" fontId="25" fillId="0" borderId="0" xfId="0" applyFont="1" applyFill="1" applyBorder="1" applyAlignment="1">
      <alignment vertical="top"/>
    </xf>
    <xf numFmtId="0" fontId="25" fillId="0" borderId="0" xfId="0" applyFont="1">
      <alignment vertical="top"/>
    </xf>
    <xf numFmtId="0" fontId="28" fillId="0" borderId="5" xfId="0" applyFont="1" applyFill="1" applyBorder="1" applyAlignment="1">
      <alignment vertical="top" wrapText="1"/>
    </xf>
    <xf numFmtId="0" fontId="28" fillId="0" borderId="5" xfId="0" applyFont="1" applyFill="1" applyBorder="1" applyAlignment="1">
      <alignment horizontal="left" vertical="top" wrapText="1"/>
    </xf>
    <xf numFmtId="0" fontId="28" fillId="0" borderId="5" xfId="0" applyFont="1" applyBorder="1" applyAlignment="1">
      <alignment horizontal="left" vertical="top" wrapText="1"/>
    </xf>
    <xf numFmtId="1" fontId="28" fillId="0" borderId="5" xfId="0" applyNumberFormat="1" applyFont="1" applyBorder="1" applyAlignment="1">
      <alignment horizontal="left" vertical="top" wrapText="1"/>
    </xf>
    <xf numFmtId="2" fontId="5" fillId="0" borderId="0" xfId="0" applyNumberFormat="1" applyFont="1" applyAlignment="1">
      <alignment horizontal="center" vertical="center" wrapText="1"/>
    </xf>
    <xf numFmtId="1" fontId="5" fillId="0" borderId="0" xfId="0" applyNumberFormat="1" applyFont="1" applyAlignment="1">
      <alignment horizontal="center" vertical="center" wrapText="1"/>
    </xf>
    <xf numFmtId="1" fontId="5" fillId="2" borderId="1" xfId="0" applyNumberFormat="1" applyFont="1" applyFill="1" applyBorder="1" applyAlignment="1">
      <alignment horizontal="center" vertical="center" wrapText="1"/>
    </xf>
    <xf numFmtId="1" fontId="5" fillId="0" borderId="0" xfId="0" applyNumberFormat="1" applyFont="1" applyBorder="1" applyAlignment="1">
      <alignment horizontal="center" vertical="center" wrapText="1"/>
    </xf>
    <xf numFmtId="0" fontId="5" fillId="2" borderId="4" xfId="0" applyFont="1" applyFill="1" applyBorder="1" applyAlignment="1">
      <alignment horizontal="center" vertical="center" wrapText="1"/>
    </xf>
    <xf numFmtId="0" fontId="5" fillId="2" borderId="1" xfId="0" applyFont="1" applyFill="1" applyBorder="1" applyAlignment="1">
      <alignment horizontal="center" vertical="center" wrapText="1"/>
    </xf>
    <xf numFmtId="1" fontId="5" fillId="2" borderId="4" xfId="0" applyNumberFormat="1" applyFont="1" applyFill="1" applyBorder="1" applyAlignment="1">
      <alignment horizontal="center" vertical="center" wrapText="1"/>
    </xf>
    <xf numFmtId="0" fontId="25" fillId="0" borderId="0" xfId="0" applyFont="1" applyFill="1" applyAlignment="1">
      <alignment vertical="top" wrapText="1"/>
    </xf>
    <xf numFmtId="0" fontId="5" fillId="0" borderId="5" xfId="0" applyFont="1" applyBorder="1" applyAlignment="1">
      <alignment horizontal="left" vertical="top" wrapText="1"/>
    </xf>
    <xf numFmtId="0" fontId="5" fillId="0" borderId="46" xfId="0" applyFont="1" applyBorder="1" applyAlignment="1">
      <alignment vertical="top" wrapText="1"/>
    </xf>
    <xf numFmtId="0" fontId="25" fillId="0" borderId="0" xfId="0" applyFont="1" applyAlignment="1">
      <alignment vertical="top"/>
    </xf>
    <xf numFmtId="0" fontId="25" fillId="0" borderId="0" xfId="0" applyFont="1" applyFill="1" applyAlignment="1">
      <alignment vertical="top"/>
    </xf>
    <xf numFmtId="0" fontId="25" fillId="0" borderId="0" xfId="0" applyFont="1" applyBorder="1" applyAlignment="1">
      <alignment vertical="top"/>
    </xf>
    <xf numFmtId="0" fontId="5" fillId="0" borderId="46" xfId="0" applyFont="1" applyFill="1" applyBorder="1" applyAlignment="1">
      <alignment vertical="top" wrapText="1"/>
    </xf>
    <xf numFmtId="0" fontId="28" fillId="0" borderId="12" xfId="0" applyFont="1" applyBorder="1" applyAlignment="1">
      <alignment vertical="top" wrapText="1"/>
    </xf>
    <xf numFmtId="1" fontId="5" fillId="0" borderId="5" xfId="0" applyNumberFormat="1" applyFont="1" applyFill="1" applyBorder="1" applyAlignment="1">
      <alignment horizontal="left" vertical="top" wrapText="1"/>
    </xf>
    <xf numFmtId="1" fontId="28" fillId="0" borderId="0" xfId="0" applyNumberFormat="1" applyFont="1" applyAlignment="1">
      <alignment horizontal="center" vertical="center" wrapText="1"/>
    </xf>
    <xf numFmtId="1" fontId="28" fillId="0" borderId="0" xfId="0" applyNumberFormat="1" applyFont="1" applyBorder="1" applyAlignment="1">
      <alignment horizontal="center" vertical="center" wrapText="1"/>
    </xf>
    <xf numFmtId="2" fontId="28" fillId="0" borderId="0" xfId="0" applyNumberFormat="1" applyFont="1" applyAlignment="1">
      <alignment horizontal="center" vertical="center" wrapText="1"/>
    </xf>
    <xf numFmtId="2" fontId="28" fillId="0" borderId="0" xfId="0" applyNumberFormat="1" applyFont="1" applyBorder="1" applyAlignment="1">
      <alignment horizontal="center" vertical="center" wrapText="1"/>
    </xf>
    <xf numFmtId="2" fontId="5" fillId="0" borderId="0" xfId="0" applyNumberFormat="1" applyFont="1" applyAlignment="1">
      <alignment horizontal="center" vertical="center"/>
    </xf>
    <xf numFmtId="2" fontId="5" fillId="0" borderId="0" xfId="0" applyNumberFormat="1" applyFont="1" applyBorder="1" applyAlignment="1">
      <alignment horizontal="center" vertical="center"/>
    </xf>
    <xf numFmtId="0" fontId="5" fillId="0" borderId="0" xfId="0" applyFont="1" applyAlignment="1">
      <alignment horizontal="center" vertical="center"/>
    </xf>
    <xf numFmtId="1" fontId="5" fillId="0" borderId="0" xfId="0" applyNumberFormat="1" applyFont="1" applyBorder="1" applyAlignment="1">
      <alignment horizontal="center" vertical="center"/>
    </xf>
    <xf numFmtId="1" fontId="5" fillId="0" borderId="0" xfId="0" applyNumberFormat="1" applyFont="1" applyAlignment="1">
      <alignment horizontal="center" vertical="center"/>
    </xf>
    <xf numFmtId="1" fontId="5" fillId="2" borderId="4" xfId="0" applyNumberFormat="1" applyFont="1" applyFill="1" applyBorder="1" applyAlignment="1">
      <alignment horizontal="center" vertical="center"/>
    </xf>
    <xf numFmtId="1" fontId="5" fillId="2" borderId="1" xfId="0" applyNumberFormat="1" applyFont="1" applyFill="1" applyBorder="1" applyAlignment="1">
      <alignment horizontal="center" vertical="center"/>
    </xf>
    <xf numFmtId="1" fontId="5" fillId="2" borderId="47" xfId="0" applyNumberFormat="1" applyFont="1" applyFill="1" applyBorder="1" applyAlignment="1">
      <alignment horizontal="center" vertical="center"/>
    </xf>
    <xf numFmtId="1" fontId="5" fillId="2" borderId="47" xfId="0" applyNumberFormat="1" applyFont="1" applyFill="1" applyBorder="1" applyAlignment="1">
      <alignment horizontal="center" vertical="center" wrapText="1"/>
    </xf>
    <xf numFmtId="0" fontId="5" fillId="0" borderId="0" xfId="0" applyFont="1" applyAlignment="1">
      <alignment horizontal="center" vertical="center" wrapText="1"/>
    </xf>
    <xf numFmtId="0" fontId="28" fillId="0" borderId="17" xfId="0" applyFont="1" applyBorder="1" applyAlignment="1">
      <alignment vertical="top" wrapText="1"/>
    </xf>
    <xf numFmtId="0" fontId="25" fillId="0" borderId="0" xfId="0" applyFont="1" applyBorder="1" applyAlignment="1">
      <alignment vertical="top" wrapText="1"/>
    </xf>
    <xf numFmtId="1" fontId="5" fillId="0" borderId="0" xfId="0" applyNumberFormat="1" applyFont="1" applyFill="1" applyBorder="1" applyAlignment="1">
      <alignment horizontal="center" vertical="center" wrapText="1"/>
    </xf>
    <xf numFmtId="2" fontId="5" fillId="0" borderId="5" xfId="0" applyNumberFormat="1" applyFont="1" applyFill="1" applyBorder="1" applyAlignment="1">
      <alignment horizontal="left" vertical="top" wrapText="1"/>
    </xf>
    <xf numFmtId="0" fontId="26" fillId="0" borderId="12" xfId="0" applyFont="1" applyBorder="1" applyAlignment="1">
      <alignment vertical="top" wrapText="1"/>
    </xf>
    <xf numFmtId="0" fontId="25" fillId="0" borderId="0" xfId="0" applyFont="1" applyFill="1" applyBorder="1" applyAlignment="1">
      <alignment vertical="top" wrapText="1"/>
    </xf>
    <xf numFmtId="0" fontId="5" fillId="0" borderId="47" xfId="0" applyFont="1" applyBorder="1" applyAlignment="1">
      <alignment horizontal="center" vertical="top" wrapText="1"/>
    </xf>
    <xf numFmtId="0" fontId="5" fillId="0" borderId="50" xfId="0" applyFont="1" applyFill="1" applyBorder="1" applyAlignment="1">
      <alignment vertical="top" wrapText="1"/>
    </xf>
    <xf numFmtId="0" fontId="5" fillId="0" borderId="5" xfId="0" applyNumberFormat="1" applyFont="1" applyFill="1" applyBorder="1" applyAlignment="1">
      <alignment horizontal="left" vertical="top" wrapText="1"/>
    </xf>
    <xf numFmtId="0" fontId="16" fillId="0" borderId="0" xfId="0" applyFont="1" applyFill="1" applyBorder="1" applyAlignment="1">
      <alignment vertical="top" wrapText="1"/>
    </xf>
    <xf numFmtId="2" fontId="25" fillId="0" borderId="0" xfId="0" applyNumberFormat="1" applyFont="1" applyFill="1" applyBorder="1" applyAlignment="1">
      <alignment horizontal="right" vertical="top"/>
    </xf>
    <xf numFmtId="0" fontId="5" fillId="0" borderId="34" xfId="0" applyFont="1" applyFill="1" applyBorder="1" applyAlignment="1">
      <alignment vertical="top" wrapText="1"/>
    </xf>
    <xf numFmtId="0" fontId="5" fillId="0" borderId="0" xfId="0" applyFont="1" applyBorder="1" applyAlignment="1">
      <alignment horizontal="center" vertical="center"/>
    </xf>
    <xf numFmtId="0" fontId="25" fillId="0" borderId="0" xfId="0" applyNumberFormat="1" applyFont="1" applyFill="1" applyBorder="1" applyAlignment="1">
      <alignment vertical="top" wrapText="1"/>
    </xf>
    <xf numFmtId="0" fontId="5" fillId="0" borderId="53" xfId="0" applyNumberFormat="1" applyFont="1" applyBorder="1" applyAlignment="1">
      <alignment vertical="top" wrapText="1"/>
    </xf>
    <xf numFmtId="0" fontId="5" fillId="0" borderId="53" xfId="0" applyFont="1" applyFill="1" applyBorder="1" applyAlignment="1">
      <alignment vertical="top" wrapText="1"/>
    </xf>
    <xf numFmtId="0" fontId="5" fillId="0" borderId="45" xfId="0" applyFont="1" applyFill="1" applyBorder="1" applyAlignment="1">
      <alignment vertical="top" wrapText="1"/>
    </xf>
    <xf numFmtId="2" fontId="26" fillId="0" borderId="5" xfId="0" applyNumberFormat="1" applyFont="1" applyBorder="1" applyAlignment="1">
      <alignment vertical="top" wrapText="1"/>
    </xf>
    <xf numFmtId="0" fontId="26" fillId="0" borderId="5" xfId="0" applyFont="1" applyBorder="1" applyAlignment="1">
      <alignment vertical="top" wrapText="1"/>
    </xf>
    <xf numFmtId="0" fontId="26" fillId="0" borderId="5" xfId="0" applyFont="1" applyFill="1" applyBorder="1" applyAlignment="1">
      <alignment vertical="top" wrapText="1"/>
    </xf>
    <xf numFmtId="2" fontId="26" fillId="0" borderId="5" xfId="0" applyNumberFormat="1" applyFont="1" applyFill="1" applyBorder="1" applyAlignment="1">
      <alignment vertical="top" wrapText="1"/>
    </xf>
    <xf numFmtId="0" fontId="23" fillId="0" borderId="5" xfId="0" applyFont="1" applyFill="1" applyBorder="1" applyAlignment="1">
      <alignment vertical="top" wrapText="1"/>
    </xf>
    <xf numFmtId="0" fontId="23" fillId="0" borderId="5" xfId="0" applyFont="1" applyBorder="1" applyAlignment="1">
      <alignment vertical="top" wrapText="1"/>
    </xf>
    <xf numFmtId="0" fontId="16" fillId="0" borderId="0" xfId="0" applyFont="1" applyBorder="1" applyAlignment="1">
      <alignment vertical="top" wrapText="1"/>
    </xf>
    <xf numFmtId="0" fontId="23" fillId="0" borderId="11" xfId="0" applyFont="1" applyBorder="1" applyAlignment="1">
      <alignment vertical="top" wrapText="1"/>
    </xf>
    <xf numFmtId="1" fontId="26" fillId="2" borderId="51" xfId="0" applyNumberFormat="1" applyFont="1" applyFill="1" applyBorder="1" applyAlignment="1">
      <alignment horizontal="center" vertical="top" wrapText="1"/>
    </xf>
    <xf numFmtId="1" fontId="26" fillId="2" borderId="7" xfId="0" applyNumberFormat="1" applyFont="1" applyFill="1" applyBorder="1" applyAlignment="1">
      <alignment horizontal="center" vertical="top" wrapText="1"/>
    </xf>
    <xf numFmtId="0" fontId="26" fillId="0" borderId="47" xfId="0" applyFont="1" applyFill="1" applyBorder="1" applyAlignment="1">
      <alignment horizontal="center" vertical="top" wrapText="1"/>
    </xf>
    <xf numFmtId="1" fontId="26" fillId="2" borderId="47" xfId="0" applyNumberFormat="1" applyFont="1" applyFill="1" applyBorder="1" applyAlignment="1">
      <alignment horizontal="center" vertical="top" wrapText="1"/>
    </xf>
    <xf numFmtId="0" fontId="26" fillId="2" borderId="3" xfId="0" applyFont="1" applyFill="1" applyBorder="1" applyAlignment="1">
      <alignment horizontal="center" vertical="top" wrapText="1"/>
    </xf>
    <xf numFmtId="1" fontId="26" fillId="2" borderId="35" xfId="0" applyNumberFormat="1" applyFont="1" applyFill="1" applyBorder="1" applyAlignment="1">
      <alignment horizontal="center" vertical="top" wrapText="1"/>
    </xf>
    <xf numFmtId="0" fontId="26" fillId="2" borderId="35" xfId="0" applyFont="1" applyFill="1" applyBorder="1" applyAlignment="1">
      <alignment horizontal="center" vertical="top" wrapText="1"/>
    </xf>
    <xf numFmtId="0" fontId="26" fillId="0" borderId="47" xfId="0" applyFont="1" applyBorder="1" applyAlignment="1">
      <alignment horizontal="center" vertical="top" wrapText="1"/>
    </xf>
    <xf numFmtId="1" fontId="26" fillId="2" borderId="48" xfId="0" applyNumberFormat="1" applyFont="1" applyFill="1" applyBorder="1" applyAlignment="1">
      <alignment horizontal="center" vertical="top" wrapText="1"/>
    </xf>
    <xf numFmtId="0" fontId="26" fillId="2" borderId="47" xfId="0" applyFont="1" applyFill="1" applyBorder="1" applyAlignment="1">
      <alignment horizontal="center" vertical="top" wrapText="1"/>
    </xf>
    <xf numFmtId="1" fontId="26" fillId="2" borderId="16" xfId="0" applyNumberFormat="1" applyFont="1" applyFill="1" applyBorder="1" applyAlignment="1">
      <alignment horizontal="center" vertical="top" wrapText="1"/>
    </xf>
    <xf numFmtId="0" fontId="26" fillId="2" borderId="4" xfId="0" applyFont="1" applyFill="1" applyBorder="1" applyAlignment="1">
      <alignment horizontal="center" vertical="top" wrapText="1"/>
    </xf>
    <xf numFmtId="0" fontId="26" fillId="2" borderId="48" xfId="0" applyFont="1" applyFill="1" applyBorder="1" applyAlignment="1">
      <alignment horizontal="center" vertical="top" wrapText="1"/>
    </xf>
    <xf numFmtId="0" fontId="5" fillId="0" borderId="46" xfId="0" applyNumberFormat="1" applyFont="1" applyBorder="1" applyAlignment="1">
      <alignment vertical="top" wrapText="1"/>
    </xf>
    <xf numFmtId="0" fontId="26" fillId="0" borderId="11" xfId="0" applyFont="1" applyFill="1" applyBorder="1" applyAlignment="1">
      <alignment vertical="top" wrapText="1"/>
    </xf>
    <xf numFmtId="0" fontId="25" fillId="0" borderId="0" xfId="0" applyFont="1" applyFill="1">
      <alignment vertical="top"/>
    </xf>
    <xf numFmtId="0" fontId="25" fillId="0" borderId="0" xfId="0" applyNumberFormat="1" applyFont="1">
      <alignment vertical="top"/>
    </xf>
    <xf numFmtId="0" fontId="26" fillId="0" borderId="34" xfId="0" applyFont="1" applyFill="1" applyBorder="1" applyAlignment="1">
      <alignment vertical="top" wrapText="1"/>
    </xf>
    <xf numFmtId="0" fontId="26" fillId="0" borderId="45" xfId="0" applyFont="1" applyFill="1" applyBorder="1" applyAlignment="1">
      <alignment vertical="top" wrapText="1"/>
    </xf>
    <xf numFmtId="0" fontId="5" fillId="2" borderId="39" xfId="0" applyFont="1" applyFill="1" applyBorder="1" applyAlignment="1">
      <alignment horizontal="center" vertical="top" wrapText="1"/>
    </xf>
    <xf numFmtId="0" fontId="5" fillId="2" borderId="35" xfId="0" applyFont="1" applyFill="1" applyBorder="1" applyAlignment="1">
      <alignment horizontal="center" vertical="top" wrapText="1"/>
    </xf>
    <xf numFmtId="0" fontId="5" fillId="2" borderId="47" xfId="0" applyFont="1" applyFill="1" applyBorder="1" applyAlignment="1">
      <alignment horizontal="center" vertical="top" wrapText="1"/>
    </xf>
    <xf numFmtId="0" fontId="25" fillId="2" borderId="35" xfId="0" applyFont="1" applyFill="1" applyBorder="1" applyAlignment="1">
      <alignment horizontal="center" vertical="top" wrapText="1"/>
    </xf>
    <xf numFmtId="0" fontId="5" fillId="0" borderId="44" xfId="0" applyFont="1" applyBorder="1" applyAlignment="1">
      <alignment horizontal="center" vertical="top" wrapText="1"/>
    </xf>
    <xf numFmtId="0" fontId="5" fillId="2" borderId="44" xfId="0" applyFont="1" applyFill="1" applyBorder="1" applyAlignment="1">
      <alignment horizontal="center" vertical="top" wrapText="1"/>
    </xf>
    <xf numFmtId="0" fontId="5" fillId="2" borderId="51" xfId="0" applyFont="1" applyFill="1" applyBorder="1" applyAlignment="1">
      <alignment horizontal="center" vertical="top" wrapText="1"/>
    </xf>
    <xf numFmtId="0" fontId="5" fillId="2" borderId="7" xfId="0" applyFont="1" applyFill="1" applyBorder="1" applyAlignment="1">
      <alignment horizontal="center" vertical="top" wrapText="1"/>
    </xf>
    <xf numFmtId="0" fontId="5" fillId="2" borderId="13" xfId="0" applyFont="1" applyFill="1" applyBorder="1" applyAlignment="1">
      <alignment horizontal="center" vertical="top" wrapText="1"/>
    </xf>
    <xf numFmtId="1" fontId="5" fillId="0" borderId="5" xfId="0" applyNumberFormat="1" applyFont="1" applyBorder="1" applyAlignment="1">
      <alignment vertical="top" wrapText="1"/>
    </xf>
    <xf numFmtId="0" fontId="5" fillId="0" borderId="23" xfId="0" applyNumberFormat="1" applyFont="1" applyBorder="1" applyAlignment="1">
      <alignment horizontal="left" vertical="top" wrapText="1"/>
    </xf>
    <xf numFmtId="1" fontId="5" fillId="0" borderId="5" xfId="0" applyNumberFormat="1" applyFont="1" applyBorder="1" applyAlignment="1">
      <alignment horizontal="left" vertical="top" wrapText="1"/>
    </xf>
    <xf numFmtId="1" fontId="5" fillId="0" borderId="44" xfId="0" applyNumberFormat="1" applyFont="1" applyBorder="1" applyAlignment="1">
      <alignment horizontal="center" vertical="top" wrapText="1"/>
    </xf>
    <xf numFmtId="0" fontId="28" fillId="0" borderId="1" xfId="0" applyFont="1" applyBorder="1" applyAlignment="1">
      <alignment horizontal="center" vertical="top" wrapText="1"/>
    </xf>
    <xf numFmtId="0" fontId="28" fillId="0" borderId="47" xfId="0" applyFont="1" applyBorder="1" applyAlignment="1">
      <alignment horizontal="center" vertical="top" wrapText="1"/>
    </xf>
    <xf numFmtId="0" fontId="5" fillId="0" borderId="1" xfId="0" applyFont="1" applyFill="1" applyBorder="1" applyAlignment="1">
      <alignment horizontal="center" vertical="top" wrapText="1"/>
    </xf>
    <xf numFmtId="0" fontId="5" fillId="0" borderId="47" xfId="0" applyFont="1" applyFill="1" applyBorder="1" applyAlignment="1">
      <alignment horizontal="center" vertical="top" wrapText="1"/>
    </xf>
    <xf numFmtId="0" fontId="23" fillId="0" borderId="1" xfId="0" applyFont="1" applyFill="1" applyBorder="1" applyAlignment="1">
      <alignment horizontal="center" vertical="top" wrapText="1"/>
    </xf>
    <xf numFmtId="0" fontId="23" fillId="0" borderId="47" xfId="0" applyFont="1" applyFill="1" applyBorder="1" applyAlignment="1">
      <alignment horizontal="center" vertical="top" wrapText="1"/>
    </xf>
    <xf numFmtId="1" fontId="26" fillId="2" borderId="39" xfId="0" applyNumberFormat="1" applyFont="1" applyFill="1" applyBorder="1" applyAlignment="1">
      <alignment horizontal="center" vertical="top" wrapText="1"/>
    </xf>
    <xf numFmtId="0" fontId="26" fillId="2" borderId="39" xfId="0" applyFont="1" applyFill="1" applyBorder="1" applyAlignment="1">
      <alignment horizontal="center" vertical="top" wrapText="1"/>
    </xf>
    <xf numFmtId="0" fontId="5" fillId="0" borderId="3" xfId="0" applyFont="1" applyFill="1" applyBorder="1" applyAlignment="1">
      <alignment horizontal="center" vertical="top" wrapText="1"/>
    </xf>
    <xf numFmtId="0" fontId="5" fillId="0" borderId="4" xfId="0" applyFont="1" applyBorder="1" applyAlignment="1">
      <alignment horizontal="center" vertical="top" wrapText="1"/>
    </xf>
    <xf numFmtId="0" fontId="5" fillId="0" borderId="4" xfId="0" applyFont="1" applyFill="1" applyBorder="1" applyAlignment="1">
      <alignment horizontal="center" vertical="top" wrapText="1"/>
    </xf>
    <xf numFmtId="0" fontId="5" fillId="0" borderId="13" xfId="0" applyFont="1" applyBorder="1" applyAlignment="1">
      <alignment horizontal="center" vertical="top" wrapText="1"/>
    </xf>
    <xf numFmtId="1" fontId="5" fillId="0" borderId="4" xfId="0" applyNumberFormat="1" applyFont="1" applyFill="1" applyBorder="1" applyAlignment="1">
      <alignment horizontal="center" vertical="top" wrapText="1"/>
    </xf>
    <xf numFmtId="1" fontId="5" fillId="0" borderId="1" xfId="0" applyNumberFormat="1" applyFont="1" applyFill="1" applyBorder="1" applyAlignment="1">
      <alignment horizontal="center" vertical="top" wrapText="1"/>
    </xf>
    <xf numFmtId="1" fontId="5" fillId="0" borderId="3" xfId="0" applyNumberFormat="1" applyFont="1" applyFill="1" applyBorder="1" applyAlignment="1">
      <alignment horizontal="center" vertical="top" wrapText="1"/>
    </xf>
    <xf numFmtId="0" fontId="28" fillId="0" borderId="4" xfId="0" applyFont="1" applyBorder="1" applyAlignment="1">
      <alignment horizontal="center" vertical="top" wrapText="1"/>
    </xf>
    <xf numFmtId="0" fontId="28" fillId="0" borderId="7" xfId="0" applyFont="1" applyBorder="1" applyAlignment="1">
      <alignment horizontal="center" vertical="top" wrapText="1"/>
    </xf>
    <xf numFmtId="0" fontId="28" fillId="0" borderId="4" xfId="0" applyFont="1" applyFill="1" applyBorder="1" applyAlignment="1">
      <alignment horizontal="center" vertical="top" wrapText="1"/>
    </xf>
    <xf numFmtId="0" fontId="28" fillId="0" borderId="1" xfId="0" applyFont="1" applyFill="1" applyBorder="1" applyAlignment="1">
      <alignment horizontal="center" vertical="top" wrapText="1"/>
    </xf>
    <xf numFmtId="0" fontId="28" fillId="0" borderId="3" xfId="0" applyFont="1" applyFill="1" applyBorder="1" applyAlignment="1">
      <alignment horizontal="center" vertical="top" wrapText="1"/>
    </xf>
    <xf numFmtId="1" fontId="28" fillId="0" borderId="4" xfId="0" applyNumberFormat="1" applyFont="1" applyBorder="1" applyAlignment="1">
      <alignment horizontal="center" vertical="top" wrapText="1"/>
    </xf>
    <xf numFmtId="1" fontId="28" fillId="0" borderId="1" xfId="0" applyNumberFormat="1" applyFont="1" applyBorder="1" applyAlignment="1">
      <alignment horizontal="center" vertical="top" wrapText="1"/>
    </xf>
    <xf numFmtId="1" fontId="28" fillId="0" borderId="47" xfId="0" applyNumberFormat="1" applyFont="1" applyBorder="1" applyAlignment="1">
      <alignment horizontal="center" vertical="top" wrapText="1"/>
    </xf>
    <xf numFmtId="0" fontId="28" fillId="0" borderId="47" xfId="0" applyFont="1" applyFill="1" applyBorder="1" applyAlignment="1">
      <alignment horizontal="center" vertical="top" wrapText="1"/>
    </xf>
    <xf numFmtId="1" fontId="28" fillId="0" borderId="4" xfId="0" applyNumberFormat="1" applyFont="1" applyFill="1" applyBorder="1" applyAlignment="1">
      <alignment horizontal="center" vertical="top" wrapText="1"/>
    </xf>
    <xf numFmtId="1" fontId="28" fillId="0" borderId="1" xfId="0" applyNumberFormat="1" applyFont="1" applyFill="1" applyBorder="1" applyAlignment="1">
      <alignment horizontal="center" vertical="top" wrapText="1"/>
    </xf>
    <xf numFmtId="1" fontId="28" fillId="0" borderId="47" xfId="0" applyNumberFormat="1" applyFont="1" applyFill="1" applyBorder="1" applyAlignment="1">
      <alignment horizontal="center" vertical="top" wrapText="1"/>
    </xf>
    <xf numFmtId="0" fontId="28" fillId="0" borderId="44" xfId="0" applyFont="1" applyBorder="1" applyAlignment="1">
      <alignment horizontal="center" vertical="top" wrapText="1"/>
    </xf>
    <xf numFmtId="0" fontId="28" fillId="0" borderId="48" xfId="0" applyFont="1" applyFill="1" applyBorder="1" applyAlignment="1">
      <alignment horizontal="center" vertical="top" wrapText="1"/>
    </xf>
    <xf numFmtId="0" fontId="28" fillId="0" borderId="3" xfId="0" applyFont="1" applyBorder="1" applyAlignment="1">
      <alignment horizontal="center" vertical="top" wrapText="1"/>
    </xf>
    <xf numFmtId="1" fontId="28" fillId="0" borderId="51" xfId="0" applyNumberFormat="1" applyFont="1" applyFill="1" applyBorder="1" applyAlignment="1">
      <alignment horizontal="center" vertical="top" wrapText="1"/>
    </xf>
    <xf numFmtId="1" fontId="28" fillId="0" borderId="51" xfId="0" applyNumberFormat="1" applyFont="1" applyBorder="1" applyAlignment="1">
      <alignment horizontal="center" vertical="top" wrapText="1"/>
    </xf>
    <xf numFmtId="1" fontId="28" fillId="0" borderId="3" xfId="0" applyNumberFormat="1" applyFont="1" applyBorder="1" applyAlignment="1">
      <alignment horizontal="center" vertical="top" wrapText="1"/>
    </xf>
    <xf numFmtId="0" fontId="5" fillId="0" borderId="8" xfId="0" applyFont="1" applyFill="1" applyBorder="1" applyAlignment="1">
      <alignment horizontal="center" vertical="top" wrapText="1"/>
    </xf>
    <xf numFmtId="0" fontId="5" fillId="0" borderId="12" xfId="0" applyFont="1" applyFill="1" applyBorder="1" applyAlignment="1">
      <alignment horizontal="center" vertical="top" wrapText="1"/>
    </xf>
    <xf numFmtId="0" fontId="5" fillId="0" borderId="6" xfId="0" applyFont="1" applyFill="1" applyBorder="1" applyAlignment="1">
      <alignment horizontal="center" vertical="top" wrapText="1"/>
    </xf>
    <xf numFmtId="0" fontId="5" fillId="0" borderId="50" xfId="0" applyFont="1" applyFill="1" applyBorder="1" applyAlignment="1">
      <alignment horizontal="center" vertical="top" wrapText="1"/>
    </xf>
    <xf numFmtId="1" fontId="5" fillId="0" borderId="47" xfId="0" applyNumberFormat="1" applyFont="1" applyFill="1" applyBorder="1" applyAlignment="1">
      <alignment horizontal="center" vertical="top" wrapText="1"/>
    </xf>
    <xf numFmtId="1" fontId="5" fillId="0" borderId="52" xfId="0" applyNumberFormat="1" applyFont="1" applyFill="1" applyBorder="1" applyAlignment="1">
      <alignment horizontal="center" vertical="top" wrapText="1"/>
    </xf>
    <xf numFmtId="1" fontId="5" fillId="0" borderId="7" xfId="0" applyNumberFormat="1" applyFont="1" applyFill="1" applyBorder="1" applyAlignment="1">
      <alignment horizontal="center" vertical="top" wrapText="1"/>
    </xf>
    <xf numFmtId="0" fontId="5" fillId="0" borderId="44" xfId="0" applyFont="1" applyFill="1" applyBorder="1" applyAlignment="1">
      <alignment horizontal="center" vertical="top" wrapText="1"/>
    </xf>
    <xf numFmtId="0" fontId="5" fillId="0" borderId="52" xfId="0" applyFont="1" applyFill="1" applyBorder="1" applyAlignment="1">
      <alignment horizontal="center" vertical="top" wrapText="1"/>
    </xf>
    <xf numFmtId="0" fontId="5" fillId="0" borderId="8" xfId="0" applyNumberFormat="1" applyFont="1" applyFill="1" applyBorder="1" applyAlignment="1">
      <alignment horizontal="center" vertical="top" wrapText="1"/>
    </xf>
    <xf numFmtId="0" fontId="5" fillId="0" borderId="2" xfId="0" applyNumberFormat="1" applyFont="1" applyFill="1" applyBorder="1" applyAlignment="1">
      <alignment horizontal="center" vertical="top" wrapText="1"/>
    </xf>
    <xf numFmtId="0" fontId="5" fillId="0" borderId="48" xfId="0" applyNumberFormat="1" applyFont="1" applyFill="1" applyBorder="1" applyAlignment="1">
      <alignment horizontal="center" vertical="top" wrapText="1"/>
    </xf>
    <xf numFmtId="0" fontId="5" fillId="0" borderId="9" xfId="0" applyNumberFormat="1" applyFont="1" applyFill="1" applyBorder="1" applyAlignment="1">
      <alignment horizontal="center" vertical="top" wrapText="1"/>
    </xf>
    <xf numFmtId="0" fontId="5" fillId="0" borderId="51" xfId="0" applyFont="1" applyBorder="1" applyAlignment="1">
      <alignment horizontal="center" vertical="top" wrapText="1"/>
    </xf>
    <xf numFmtId="1" fontId="5" fillId="0" borderId="8" xfId="0" applyNumberFormat="1" applyFont="1" applyBorder="1" applyAlignment="1">
      <alignment horizontal="center" vertical="top" wrapText="1"/>
    </xf>
    <xf numFmtId="1" fontId="5" fillId="0" borderId="4" xfId="0" applyNumberFormat="1" applyFont="1" applyBorder="1" applyAlignment="1">
      <alignment horizontal="center" vertical="top" wrapText="1"/>
    </xf>
    <xf numFmtId="1" fontId="5" fillId="0" borderId="1" xfId="0" applyNumberFormat="1" applyFont="1" applyBorder="1" applyAlignment="1">
      <alignment horizontal="center" vertical="top" wrapText="1"/>
    </xf>
    <xf numFmtId="1" fontId="5" fillId="0" borderId="3" xfId="0" applyNumberFormat="1" applyFont="1" applyBorder="1" applyAlignment="1">
      <alignment horizontal="center" vertical="top" wrapText="1"/>
    </xf>
    <xf numFmtId="0" fontId="5" fillId="0" borderId="8" xfId="0" applyFont="1" applyBorder="1" applyAlignment="1">
      <alignment horizontal="center" vertical="top" wrapText="1"/>
    </xf>
    <xf numFmtId="1" fontId="23" fillId="0" borderId="7" xfId="0" applyNumberFormat="1" applyFont="1" applyBorder="1" applyAlignment="1">
      <alignment horizontal="center" vertical="top" wrapText="1"/>
    </xf>
    <xf numFmtId="1" fontId="23" fillId="0" borderId="3" xfId="0" applyNumberFormat="1" applyFont="1" applyBorder="1" applyAlignment="1">
      <alignment horizontal="center" vertical="top" wrapText="1"/>
    </xf>
    <xf numFmtId="1" fontId="23" fillId="0" borderId="47" xfId="0" applyNumberFormat="1" applyFont="1" applyBorder="1" applyAlignment="1">
      <alignment horizontal="center" vertical="top" wrapText="1"/>
    </xf>
    <xf numFmtId="0" fontId="23" fillId="0" borderId="4" xfId="0" applyFont="1" applyFill="1" applyBorder="1" applyAlignment="1">
      <alignment horizontal="center" vertical="top" wrapText="1"/>
    </xf>
    <xf numFmtId="0" fontId="23" fillId="0" borderId="7" xfId="0" applyFont="1" applyBorder="1" applyAlignment="1">
      <alignment horizontal="center" vertical="top" wrapText="1"/>
    </xf>
    <xf numFmtId="0" fontId="23" fillId="0" borderId="3" xfId="0" applyFont="1" applyBorder="1" applyAlignment="1">
      <alignment horizontal="center" vertical="top" wrapText="1"/>
    </xf>
    <xf numFmtId="0" fontId="23" fillId="0" borderId="7" xfId="0" applyFont="1" applyFill="1" applyBorder="1" applyAlignment="1">
      <alignment horizontal="center" vertical="top" wrapText="1"/>
    </xf>
    <xf numFmtId="0" fontId="23" fillId="0" borderId="3" xfId="0" applyFont="1" applyFill="1" applyBorder="1" applyAlignment="1">
      <alignment horizontal="center" vertical="top" wrapText="1"/>
    </xf>
    <xf numFmtId="0" fontId="23" fillId="0" borderId="47" xfId="0" applyFont="1" applyBorder="1" applyAlignment="1">
      <alignment horizontal="center" vertical="top" wrapText="1"/>
    </xf>
    <xf numFmtId="0" fontId="23" fillId="0" borderId="51" xfId="0" applyFont="1" applyFill="1" applyBorder="1" applyAlignment="1">
      <alignment horizontal="center" vertical="top" wrapText="1"/>
    </xf>
    <xf numFmtId="0" fontId="23" fillId="0" borderId="4" xfId="0" applyFont="1" applyBorder="1" applyAlignment="1">
      <alignment horizontal="center" vertical="top" wrapText="1"/>
    </xf>
    <xf numFmtId="0" fontId="23" fillId="0" borderId="1" xfId="0" applyFont="1" applyBorder="1" applyAlignment="1">
      <alignment horizontal="center" vertical="top" wrapText="1"/>
    </xf>
    <xf numFmtId="0" fontId="23" fillId="0" borderId="52" xfId="0" applyFont="1" applyBorder="1" applyAlignment="1">
      <alignment horizontal="center" vertical="top" wrapText="1"/>
    </xf>
    <xf numFmtId="0" fontId="23" fillId="0" borderId="8" xfId="0" applyFont="1" applyBorder="1" applyAlignment="1">
      <alignment horizontal="center" vertical="top" wrapText="1"/>
    </xf>
    <xf numFmtId="0" fontId="23" fillId="0" borderId="9" xfId="0" applyFont="1" applyBorder="1" applyAlignment="1">
      <alignment horizontal="center" vertical="top" wrapText="1"/>
    </xf>
    <xf numFmtId="0" fontId="26" fillId="0" borderId="4" xfId="0" applyFont="1" applyFill="1" applyBorder="1" applyAlignment="1">
      <alignment horizontal="center" vertical="top" wrapText="1"/>
    </xf>
    <xf numFmtId="0" fontId="26" fillId="0" borderId="3" xfId="0" applyFont="1" applyFill="1" applyBorder="1" applyAlignment="1">
      <alignment horizontal="center" vertical="top" wrapText="1"/>
    </xf>
    <xf numFmtId="0" fontId="26" fillId="0" borderId="51" xfId="0" applyFont="1" applyFill="1" applyBorder="1" applyAlignment="1">
      <alignment horizontal="center" vertical="top" wrapText="1"/>
    </xf>
    <xf numFmtId="0" fontId="26" fillId="0" borderId="13" xfId="0" applyFont="1" applyFill="1" applyBorder="1" applyAlignment="1">
      <alignment horizontal="center" vertical="top" wrapText="1"/>
    </xf>
    <xf numFmtId="0" fontId="26" fillId="0" borderId="8" xfId="0" applyFont="1" applyFill="1" applyBorder="1" applyAlignment="1">
      <alignment horizontal="center" vertical="top" wrapText="1"/>
    </xf>
    <xf numFmtId="0" fontId="26" fillId="0" borderId="9" xfId="0" applyFont="1" applyFill="1" applyBorder="1" applyAlignment="1">
      <alignment horizontal="center" vertical="top" wrapText="1"/>
    </xf>
    <xf numFmtId="1" fontId="5" fillId="0" borderId="47" xfId="0" applyNumberFormat="1" applyFont="1" applyBorder="1" applyAlignment="1">
      <alignment horizontal="center" vertical="top" wrapText="1"/>
    </xf>
    <xf numFmtId="0" fontId="28" fillId="0" borderId="52" xfId="0" applyFont="1" applyBorder="1" applyAlignment="1">
      <alignment horizontal="center" vertical="top" wrapText="1"/>
    </xf>
    <xf numFmtId="49" fontId="28" fillId="0" borderId="1" xfId="0" applyNumberFormat="1" applyFont="1" applyBorder="1" applyAlignment="1">
      <alignment horizontal="center" vertical="top" wrapText="1"/>
    </xf>
    <xf numFmtId="0" fontId="28" fillId="0" borderId="48" xfId="0" applyFont="1" applyBorder="1" applyAlignment="1">
      <alignment horizontal="center" vertical="top" wrapText="1"/>
    </xf>
    <xf numFmtId="1" fontId="5" fillId="0" borderId="34" xfId="0" applyNumberFormat="1" applyFont="1" applyBorder="1" applyAlignment="1">
      <alignment vertical="top" wrapText="1"/>
    </xf>
    <xf numFmtId="1" fontId="26" fillId="0" borderId="4" xfId="0" applyNumberFormat="1" applyFont="1" applyBorder="1" applyAlignment="1">
      <alignment horizontal="center" vertical="top" wrapText="1"/>
    </xf>
    <xf numFmtId="1" fontId="26" fillId="0" borderId="1" xfId="0" applyNumberFormat="1" applyFont="1" applyBorder="1" applyAlignment="1">
      <alignment horizontal="center" vertical="top" wrapText="1"/>
    </xf>
    <xf numFmtId="1" fontId="26" fillId="0" borderId="47" xfId="0" applyNumberFormat="1" applyFont="1" applyBorder="1" applyAlignment="1">
      <alignment horizontal="center" vertical="top" wrapText="1"/>
    </xf>
    <xf numFmtId="1" fontId="26" fillId="0" borderId="3" xfId="0" applyNumberFormat="1" applyFont="1" applyBorder="1" applyAlignment="1">
      <alignment horizontal="center" vertical="top" wrapText="1"/>
    </xf>
    <xf numFmtId="1" fontId="26" fillId="0" borderId="7" xfId="0" applyNumberFormat="1" applyFont="1" applyFill="1" applyBorder="1" applyAlignment="1">
      <alignment horizontal="center" vertical="top" wrapText="1"/>
    </xf>
    <xf numFmtId="1" fontId="26" fillId="0" borderId="3" xfId="0" applyNumberFormat="1" applyFont="1" applyFill="1" applyBorder="1" applyAlignment="1">
      <alignment horizontal="center" vertical="top" wrapText="1"/>
    </xf>
    <xf numFmtId="1" fontId="26" fillId="0" borderId="47" xfId="0" applyNumberFormat="1" applyFont="1" applyFill="1" applyBorder="1" applyAlignment="1">
      <alignment horizontal="center" vertical="top" wrapText="1"/>
    </xf>
    <xf numFmtId="1" fontId="26" fillId="0" borderId="8" xfId="0" applyNumberFormat="1" applyFont="1" applyBorder="1" applyAlignment="1">
      <alignment horizontal="center" vertical="top" wrapText="1"/>
    </xf>
    <xf numFmtId="1" fontId="26" fillId="0" borderId="4" xfId="0" applyNumberFormat="1" applyFont="1" applyFill="1" applyBorder="1" applyAlignment="1">
      <alignment horizontal="center" vertical="top" wrapText="1"/>
    </xf>
    <xf numFmtId="1" fontId="26" fillId="0" borderId="1" xfId="0" applyNumberFormat="1" applyFont="1" applyFill="1" applyBorder="1" applyAlignment="1">
      <alignment horizontal="center" vertical="top" wrapText="1"/>
    </xf>
    <xf numFmtId="1" fontId="26" fillId="0" borderId="51" xfId="0" applyNumberFormat="1" applyFont="1" applyFill="1" applyBorder="1" applyAlignment="1">
      <alignment horizontal="center" vertical="top" wrapText="1"/>
    </xf>
    <xf numFmtId="0" fontId="5" fillId="18" borderId="0" xfId="0" applyFont="1" applyFill="1" applyAlignment="1">
      <alignment horizontal="left" vertical="top" wrapText="1"/>
    </xf>
    <xf numFmtId="0" fontId="5" fillId="0" borderId="6" xfId="0" applyFont="1" applyBorder="1" applyAlignment="1">
      <alignment vertical="top" wrapText="1"/>
    </xf>
    <xf numFmtId="0" fontId="5" fillId="0" borderId="17" xfId="0" applyFont="1" applyBorder="1" applyAlignment="1">
      <alignment horizontal="left" vertical="top" wrapText="1"/>
    </xf>
    <xf numFmtId="0" fontId="5" fillId="0" borderId="7" xfId="0" applyFont="1" applyFill="1" applyBorder="1" applyAlignment="1">
      <alignment horizontal="center" vertical="top" wrapText="1"/>
    </xf>
    <xf numFmtId="0" fontId="28" fillId="0" borderId="7" xfId="0" applyFont="1" applyFill="1" applyBorder="1" applyAlignment="1">
      <alignment horizontal="center" vertical="top" wrapText="1"/>
    </xf>
    <xf numFmtId="0" fontId="5" fillId="0" borderId="71" xfId="0" applyFont="1" applyBorder="1" applyAlignment="1">
      <alignment horizontal="left" vertical="top" wrapText="1"/>
    </xf>
    <xf numFmtId="1" fontId="5" fillId="0" borderId="0" xfId="0" applyNumberFormat="1" applyFont="1" applyAlignment="1">
      <alignment horizontal="center" vertical="top"/>
    </xf>
    <xf numFmtId="1" fontId="5" fillId="2" borderId="4" xfId="0" applyNumberFormat="1" applyFont="1" applyFill="1" applyBorder="1" applyAlignment="1">
      <alignment horizontal="center" vertical="top" wrapText="1"/>
    </xf>
    <xf numFmtId="1" fontId="5" fillId="2" borderId="1" xfId="0" applyNumberFormat="1" applyFont="1" applyFill="1" applyBorder="1" applyAlignment="1">
      <alignment horizontal="center" vertical="top" wrapText="1"/>
    </xf>
    <xf numFmtId="1" fontId="5" fillId="2" borderId="47" xfId="0" applyNumberFormat="1" applyFont="1" applyFill="1" applyBorder="1" applyAlignment="1">
      <alignment horizontal="center" vertical="top" wrapText="1"/>
    </xf>
    <xf numFmtId="1" fontId="5" fillId="2" borderId="8" xfId="0" applyNumberFormat="1" applyFont="1" applyFill="1" applyBorder="1" applyAlignment="1">
      <alignment horizontal="center" vertical="top" wrapText="1"/>
    </xf>
    <xf numFmtId="1" fontId="5" fillId="2" borderId="3" xfId="0" applyNumberFormat="1" applyFont="1" applyFill="1" applyBorder="1" applyAlignment="1">
      <alignment horizontal="center" vertical="top" wrapText="1"/>
    </xf>
    <xf numFmtId="1" fontId="5" fillId="2" borderId="39" xfId="0" applyNumberFormat="1" applyFont="1" applyFill="1" applyBorder="1" applyAlignment="1">
      <alignment horizontal="center" vertical="top" wrapText="1"/>
    </xf>
    <xf numFmtId="1" fontId="5" fillId="2" borderId="35" xfId="0" applyNumberFormat="1" applyFont="1" applyFill="1" applyBorder="1" applyAlignment="1">
      <alignment horizontal="center" vertical="top" wrapText="1"/>
    </xf>
    <xf numFmtId="0" fontId="28" fillId="2" borderId="4" xfId="0" applyFont="1" applyFill="1" applyBorder="1" applyAlignment="1">
      <alignment horizontal="center" vertical="top" wrapText="1"/>
    </xf>
    <xf numFmtId="1" fontId="28" fillId="2" borderId="8" xfId="0" applyNumberFormat="1" applyFont="1" applyFill="1" applyBorder="1" applyAlignment="1">
      <alignment horizontal="center" vertical="top" wrapText="1"/>
    </xf>
    <xf numFmtId="0" fontId="28" fillId="2" borderId="1" xfId="0" applyFont="1" applyFill="1" applyBorder="1" applyAlignment="1">
      <alignment horizontal="center" vertical="top" wrapText="1"/>
    </xf>
    <xf numFmtId="1" fontId="28" fillId="2" borderId="1" xfId="0" applyNumberFormat="1" applyFont="1" applyFill="1" applyBorder="1" applyAlignment="1">
      <alignment horizontal="center" vertical="top" wrapText="1"/>
    </xf>
    <xf numFmtId="0" fontId="28" fillId="2" borderId="3" xfId="0" applyFont="1" applyFill="1" applyBorder="1" applyAlignment="1">
      <alignment horizontal="center" vertical="top" wrapText="1"/>
    </xf>
    <xf numFmtId="1" fontId="28" fillId="2" borderId="3" xfId="0" applyNumberFormat="1" applyFont="1" applyFill="1" applyBorder="1" applyAlignment="1">
      <alignment horizontal="center" vertical="top" wrapText="1"/>
    </xf>
    <xf numFmtId="1" fontId="5" fillId="2" borderId="51" xfId="0" applyNumberFormat="1" applyFont="1" applyFill="1" applyBorder="1" applyAlignment="1">
      <alignment horizontal="center" vertical="top" wrapText="1"/>
    </xf>
    <xf numFmtId="1" fontId="5" fillId="2" borderId="13" xfId="0" applyNumberFormat="1" applyFont="1" applyFill="1" applyBorder="1" applyAlignment="1">
      <alignment horizontal="center" vertical="top" wrapText="1"/>
    </xf>
    <xf numFmtId="1" fontId="5" fillId="2" borderId="52" xfId="0" applyNumberFormat="1" applyFont="1" applyFill="1" applyBorder="1" applyAlignment="1">
      <alignment horizontal="center" vertical="top" wrapText="1"/>
    </xf>
    <xf numFmtId="1" fontId="5" fillId="2" borderId="66" xfId="0" applyNumberFormat="1" applyFont="1" applyFill="1" applyBorder="1" applyAlignment="1">
      <alignment horizontal="center" vertical="top" wrapText="1"/>
    </xf>
    <xf numFmtId="1" fontId="5" fillId="2" borderId="6" xfId="0" applyNumberFormat="1" applyFont="1" applyFill="1" applyBorder="1" applyAlignment="1">
      <alignment horizontal="center" vertical="top" wrapText="1"/>
    </xf>
    <xf numFmtId="1" fontId="5" fillId="2" borderId="50" xfId="0" applyNumberFormat="1" applyFont="1" applyFill="1" applyBorder="1" applyAlignment="1">
      <alignment horizontal="center" vertical="top" wrapText="1"/>
    </xf>
    <xf numFmtId="1" fontId="5" fillId="2" borderId="12" xfId="0" applyNumberFormat="1" applyFont="1" applyFill="1" applyBorder="1" applyAlignment="1">
      <alignment horizontal="center" vertical="top" wrapText="1"/>
    </xf>
    <xf numFmtId="1" fontId="5" fillId="2" borderId="7" xfId="0" applyNumberFormat="1" applyFont="1" applyFill="1" applyBorder="1" applyAlignment="1">
      <alignment horizontal="center" vertical="top" wrapText="1"/>
    </xf>
    <xf numFmtId="1" fontId="5" fillId="2" borderId="45" xfId="0" applyNumberFormat="1" applyFont="1" applyFill="1" applyBorder="1" applyAlignment="1">
      <alignment horizontal="center" vertical="top" wrapText="1"/>
    </xf>
    <xf numFmtId="1" fontId="5" fillId="2" borderId="8" xfId="0" applyNumberFormat="1" applyFont="1" applyFill="1" applyBorder="1" applyAlignment="1">
      <alignment horizontal="center" vertical="top"/>
    </xf>
    <xf numFmtId="1" fontId="5" fillId="2" borderId="35" xfId="0" applyNumberFormat="1" applyFont="1" applyFill="1" applyBorder="1" applyAlignment="1">
      <alignment horizontal="center" vertical="top"/>
    </xf>
    <xf numFmtId="1" fontId="5" fillId="2" borderId="44" xfId="0" applyNumberFormat="1" applyFont="1" applyFill="1" applyBorder="1" applyAlignment="1">
      <alignment horizontal="center" vertical="top" wrapText="1"/>
    </xf>
    <xf numFmtId="1" fontId="5" fillId="2" borderId="1" xfId="0" applyNumberFormat="1" applyFont="1" applyFill="1" applyBorder="1" applyAlignment="1">
      <alignment horizontal="center" vertical="top"/>
    </xf>
    <xf numFmtId="1" fontId="5" fillId="2" borderId="2" xfId="0" applyNumberFormat="1" applyFont="1" applyFill="1" applyBorder="1" applyAlignment="1">
      <alignment horizontal="center" vertical="top" wrapText="1"/>
    </xf>
    <xf numFmtId="1" fontId="5" fillId="2" borderId="3" xfId="0" applyNumberFormat="1" applyFont="1" applyFill="1" applyBorder="1" applyAlignment="1">
      <alignment horizontal="center" vertical="top"/>
    </xf>
    <xf numFmtId="1" fontId="5" fillId="2" borderId="9" xfId="0" applyNumberFormat="1" applyFont="1" applyFill="1" applyBorder="1" applyAlignment="1">
      <alignment horizontal="center" vertical="top" wrapText="1"/>
    </xf>
    <xf numFmtId="1" fontId="5" fillId="2" borderId="47" xfId="0" applyNumberFormat="1" applyFont="1" applyFill="1" applyBorder="1" applyAlignment="1">
      <alignment horizontal="center" vertical="top"/>
    </xf>
    <xf numFmtId="1" fontId="5" fillId="2" borderId="48" xfId="0" applyNumberFormat="1" applyFont="1" applyFill="1" applyBorder="1" applyAlignment="1">
      <alignment horizontal="center" vertical="top" wrapText="1"/>
    </xf>
    <xf numFmtId="1" fontId="5" fillId="2" borderId="4" xfId="0" applyNumberFormat="1" applyFont="1" applyFill="1" applyBorder="1" applyAlignment="1">
      <alignment horizontal="center" vertical="top"/>
    </xf>
    <xf numFmtId="1" fontId="5" fillId="2" borderId="66" xfId="0" applyNumberFormat="1" applyFont="1" applyFill="1" applyBorder="1" applyAlignment="1">
      <alignment horizontal="center" vertical="top"/>
    </xf>
    <xf numFmtId="1" fontId="5" fillId="2" borderId="11" xfId="0" applyNumberFormat="1" applyFont="1" applyFill="1" applyBorder="1" applyAlignment="1">
      <alignment horizontal="center" vertical="top"/>
    </xf>
    <xf numFmtId="1" fontId="5" fillId="2" borderId="44" xfId="0" applyNumberFormat="1" applyFont="1" applyFill="1" applyBorder="1" applyAlignment="1">
      <alignment horizontal="center" vertical="top"/>
    </xf>
    <xf numFmtId="1" fontId="5" fillId="0" borderId="0" xfId="0" applyNumberFormat="1" applyFont="1" applyBorder="1" applyAlignment="1">
      <alignment horizontal="center" vertical="top"/>
    </xf>
    <xf numFmtId="2" fontId="5" fillId="5" borderId="64" xfId="0" applyNumberFormat="1" applyFont="1" applyFill="1" applyBorder="1" applyAlignment="1">
      <alignment horizontal="center" vertical="top" wrapText="1"/>
    </xf>
    <xf numFmtId="0" fontId="5" fillId="0" borderId="7" xfId="0" applyFont="1" applyBorder="1" applyAlignment="1">
      <alignment horizontal="center" vertical="top" wrapText="1"/>
    </xf>
    <xf numFmtId="0" fontId="5" fillId="0" borderId="3" xfId="0" applyFont="1" applyBorder="1" applyAlignment="1">
      <alignment horizontal="center" vertical="top" wrapText="1"/>
    </xf>
    <xf numFmtId="0" fontId="5" fillId="0" borderId="71" xfId="0" applyFont="1" applyFill="1" applyBorder="1" applyAlignment="1">
      <alignment horizontal="left" vertical="top" wrapText="1"/>
    </xf>
    <xf numFmtId="0" fontId="5" fillId="0" borderId="6" xfId="0" applyFont="1" applyBorder="1" applyAlignment="1">
      <alignment vertical="top" wrapText="1"/>
    </xf>
    <xf numFmtId="0" fontId="5" fillId="0" borderId="3" xfId="0" applyFont="1" applyBorder="1" applyAlignment="1">
      <alignment horizontal="center" vertical="top" wrapText="1"/>
    </xf>
    <xf numFmtId="0" fontId="5" fillId="0" borderId="11" xfId="0" applyFont="1" applyFill="1" applyBorder="1" applyAlignment="1">
      <alignment vertical="top" wrapText="1"/>
    </xf>
    <xf numFmtId="0" fontId="10" fillId="0" borderId="59" xfId="1" applyFont="1" applyBorder="1" applyAlignment="1">
      <alignment vertical="center"/>
    </xf>
    <xf numFmtId="0" fontId="10" fillId="0" borderId="0" xfId="1" applyFont="1" applyBorder="1" applyAlignment="1">
      <alignment vertical="center"/>
    </xf>
    <xf numFmtId="0" fontId="5" fillId="0" borderId="0" xfId="1" applyFont="1" applyBorder="1" applyAlignment="1">
      <alignment vertical="center"/>
    </xf>
    <xf numFmtId="0" fontId="28" fillId="0" borderId="41" xfId="0" applyFont="1" applyBorder="1" applyAlignment="1">
      <alignment vertical="top" wrapText="1"/>
    </xf>
    <xf numFmtId="0" fontId="28" fillId="0" borderId="56" xfId="0" applyFont="1" applyBorder="1" applyAlignment="1">
      <alignment vertical="top" wrapText="1"/>
    </xf>
    <xf numFmtId="0" fontId="28" fillId="0" borderId="11" xfId="0" applyFont="1" applyBorder="1" applyAlignment="1">
      <alignment vertical="top" wrapText="1"/>
    </xf>
    <xf numFmtId="0" fontId="28" fillId="0" borderId="41" xfId="0" applyFont="1" applyBorder="1" applyAlignment="1">
      <alignment horizontal="left" vertical="top" wrapText="1"/>
    </xf>
    <xf numFmtId="0" fontId="28" fillId="0" borderId="12" xfId="0" applyFont="1" applyBorder="1" applyAlignment="1">
      <alignment horizontal="left" vertical="top" wrapText="1"/>
    </xf>
    <xf numFmtId="0" fontId="28" fillId="0" borderId="56" xfId="0" applyFont="1" applyBorder="1" applyAlignment="1">
      <alignment horizontal="left" vertical="top" wrapText="1"/>
    </xf>
    <xf numFmtId="0" fontId="28" fillId="0" borderId="6" xfId="0" applyFont="1" applyBorder="1" applyAlignment="1">
      <alignment horizontal="left" vertical="top" wrapText="1"/>
    </xf>
    <xf numFmtId="0" fontId="28" fillId="0" borderId="50" xfId="0" applyFont="1" applyBorder="1" applyAlignment="1">
      <alignment horizontal="left" vertical="top" wrapText="1"/>
    </xf>
    <xf numFmtId="0" fontId="28" fillId="0" borderId="11" xfId="0" applyFont="1" applyFill="1" applyBorder="1" applyAlignment="1">
      <alignment vertical="top" wrapText="1"/>
    </xf>
    <xf numFmtId="0" fontId="28" fillId="0" borderId="17" xfId="0" applyFont="1" applyFill="1" applyBorder="1" applyAlignment="1">
      <alignment vertical="top" wrapText="1"/>
    </xf>
    <xf numFmtId="0" fontId="28" fillId="0" borderId="41" xfId="0" applyFont="1" applyFill="1" applyBorder="1" applyAlignment="1">
      <alignment vertical="top" wrapText="1"/>
    </xf>
    <xf numFmtId="0" fontId="28" fillId="0" borderId="12" xfId="0" applyFont="1" applyFill="1" applyBorder="1" applyAlignment="1">
      <alignment vertical="top" wrapText="1"/>
    </xf>
    <xf numFmtId="0" fontId="28" fillId="0" borderId="6" xfId="0" applyFont="1" applyFill="1" applyBorder="1" applyAlignment="1">
      <alignment vertical="top" wrapText="1"/>
    </xf>
    <xf numFmtId="0" fontId="28" fillId="0" borderId="50" xfId="0" applyFont="1" applyFill="1" applyBorder="1" applyAlignment="1">
      <alignment vertical="top" wrapText="1"/>
    </xf>
    <xf numFmtId="0" fontId="28" fillId="0" borderId="45" xfId="0" applyFont="1" applyFill="1" applyBorder="1" applyAlignment="1">
      <alignment vertical="top" wrapText="1"/>
    </xf>
    <xf numFmtId="49" fontId="28" fillId="0" borderId="6" xfId="0" applyNumberFormat="1" applyFont="1" applyBorder="1" applyAlignment="1">
      <alignment vertical="top" wrapText="1"/>
    </xf>
    <xf numFmtId="0" fontId="28" fillId="0" borderId="36" xfId="0" applyFont="1" applyBorder="1" applyAlignment="1">
      <alignment vertical="top" wrapText="1"/>
    </xf>
    <xf numFmtId="1" fontId="28" fillId="0" borderId="41" xfId="0" applyNumberFormat="1" applyFont="1" applyBorder="1" applyAlignment="1">
      <alignment horizontal="left" vertical="top" wrapText="1"/>
    </xf>
    <xf numFmtId="1" fontId="28" fillId="0" borderId="12" xfId="0" applyNumberFormat="1" applyFont="1" applyBorder="1" applyAlignment="1">
      <alignment horizontal="left" vertical="top" wrapText="1"/>
    </xf>
    <xf numFmtId="1" fontId="28" fillId="0" borderId="6" xfId="0" applyNumberFormat="1" applyFont="1" applyBorder="1" applyAlignment="1">
      <alignment horizontal="left" vertical="top" wrapText="1"/>
    </xf>
    <xf numFmtId="0" fontId="5" fillId="0" borderId="41" xfId="0" applyFont="1" applyFill="1" applyBorder="1" applyAlignment="1">
      <alignment vertical="top" wrapText="1"/>
    </xf>
    <xf numFmtId="0" fontId="5" fillId="0" borderId="17" xfId="0" applyFont="1" applyFill="1" applyBorder="1" applyAlignment="1">
      <alignment vertical="top" wrapText="1"/>
    </xf>
    <xf numFmtId="0" fontId="28" fillId="0" borderId="50" xfId="0" applyFont="1" applyBorder="1" applyAlignment="1">
      <alignment vertical="top" wrapText="1"/>
    </xf>
    <xf numFmtId="0" fontId="5" fillId="0" borderId="41" xfId="0" applyFont="1" applyBorder="1" applyAlignment="1">
      <alignment vertical="top" wrapText="1"/>
    </xf>
    <xf numFmtId="0" fontId="5" fillId="0" borderId="12" xfId="0" applyFont="1" applyBorder="1" applyAlignment="1">
      <alignment vertical="top" wrapText="1"/>
    </xf>
    <xf numFmtId="0" fontId="5" fillId="0" borderId="50" xfId="0" applyFont="1" applyBorder="1" applyAlignment="1">
      <alignment vertical="top" wrapText="1"/>
    </xf>
    <xf numFmtId="0" fontId="5" fillId="0" borderId="41" xfId="0" applyFont="1" applyBorder="1" applyAlignment="1">
      <alignment horizontal="left" vertical="top" wrapText="1"/>
    </xf>
    <xf numFmtId="0" fontId="5" fillId="0" borderId="50" xfId="0" applyFont="1" applyBorder="1" applyAlignment="1">
      <alignment horizontal="left" vertical="top" wrapText="1"/>
    </xf>
    <xf numFmtId="0" fontId="5" fillId="0" borderId="12" xfId="0" applyFont="1" applyBorder="1" applyAlignment="1">
      <alignment horizontal="left" vertical="top" wrapText="1"/>
    </xf>
    <xf numFmtId="0" fontId="5" fillId="0" borderId="6" xfId="0" applyFont="1" applyBorder="1" applyAlignment="1">
      <alignment horizontal="left" vertical="top" wrapText="1"/>
    </xf>
    <xf numFmtId="0" fontId="5" fillId="0" borderId="17" xfId="0" applyFont="1" applyBorder="1" applyAlignment="1">
      <alignment vertical="top" wrapText="1"/>
    </xf>
    <xf numFmtId="0" fontId="5" fillId="0" borderId="71" xfId="0" applyFont="1" applyBorder="1" applyAlignment="1">
      <alignment vertical="top" wrapText="1"/>
    </xf>
    <xf numFmtId="0" fontId="25" fillId="0" borderId="0" xfId="0" applyFont="1" applyAlignment="1">
      <alignment vertical="center"/>
    </xf>
    <xf numFmtId="0" fontId="25" fillId="0" borderId="0" xfId="0" applyFont="1" applyAlignment="1">
      <alignment vertical="center" wrapText="1"/>
    </xf>
    <xf numFmtId="1" fontId="28" fillId="0" borderId="0" xfId="0" applyNumberFormat="1" applyFont="1" applyAlignment="1" applyProtection="1">
      <alignment horizontal="center" vertical="top" wrapText="1"/>
      <protection hidden="1"/>
    </xf>
    <xf numFmtId="0" fontId="28" fillId="0" borderId="0" xfId="0" applyFont="1" applyAlignment="1" applyProtection="1">
      <alignment horizontal="center" vertical="top" wrapText="1"/>
      <protection hidden="1"/>
    </xf>
    <xf numFmtId="2" fontId="28" fillId="0" borderId="0" xfId="0" applyNumberFormat="1" applyFont="1" applyAlignment="1" applyProtection="1">
      <alignment horizontal="center" vertical="top" wrapText="1"/>
    </xf>
    <xf numFmtId="1" fontId="28" fillId="2" borderId="39" xfId="0" applyNumberFormat="1" applyFont="1" applyFill="1" applyBorder="1" applyAlignment="1" applyProtection="1">
      <alignment horizontal="center" vertical="top" wrapText="1"/>
      <protection hidden="1"/>
    </xf>
    <xf numFmtId="0" fontId="28" fillId="2" borderId="49" xfId="0" applyFont="1" applyFill="1" applyBorder="1" applyAlignment="1" applyProtection="1">
      <alignment horizontal="center" vertical="top" wrapText="1"/>
      <protection hidden="1"/>
    </xf>
    <xf numFmtId="2" fontId="28" fillId="5" borderId="34" xfId="0" applyNumberFormat="1" applyFont="1" applyFill="1" applyBorder="1" applyAlignment="1" applyProtection="1">
      <alignment horizontal="center" vertical="top" wrapText="1"/>
    </xf>
    <xf numFmtId="1" fontId="28" fillId="2" borderId="1" xfId="0" applyNumberFormat="1" applyFont="1" applyFill="1" applyBorder="1" applyAlignment="1" applyProtection="1">
      <alignment horizontal="center" vertical="top" wrapText="1"/>
      <protection hidden="1"/>
    </xf>
    <xf numFmtId="0" fontId="28" fillId="2" borderId="1" xfId="0" applyFont="1" applyFill="1" applyBorder="1" applyAlignment="1" applyProtection="1">
      <alignment horizontal="center" vertical="top" wrapText="1"/>
      <protection hidden="1"/>
    </xf>
    <xf numFmtId="2" fontId="28" fillId="2" borderId="13" xfId="0" applyNumberFormat="1" applyFont="1" applyFill="1" applyBorder="1" applyAlignment="1" applyProtection="1">
      <alignment horizontal="center" vertical="top" wrapText="1"/>
    </xf>
    <xf numFmtId="2" fontId="28" fillId="2" borderId="9" xfId="0" applyNumberFormat="1" applyFont="1" applyFill="1" applyBorder="1" applyAlignment="1" applyProtection="1">
      <alignment horizontal="center" vertical="top" wrapText="1"/>
    </xf>
    <xf numFmtId="1" fontId="28" fillId="2" borderId="3" xfId="0" applyNumberFormat="1" applyFont="1" applyFill="1" applyBorder="1" applyAlignment="1" applyProtection="1">
      <alignment horizontal="center" vertical="top" wrapText="1"/>
      <protection hidden="1"/>
    </xf>
    <xf numFmtId="1" fontId="28" fillId="2" borderId="47" xfId="0" applyNumberFormat="1" applyFont="1" applyFill="1" applyBorder="1" applyAlignment="1" applyProtection="1">
      <alignment horizontal="center" vertical="top" wrapText="1"/>
      <protection hidden="1"/>
    </xf>
    <xf numFmtId="0" fontId="28" fillId="2" borderId="47" xfId="0" applyFont="1" applyFill="1" applyBorder="1" applyAlignment="1" applyProtection="1">
      <alignment horizontal="center" vertical="top" wrapText="1"/>
      <protection hidden="1"/>
    </xf>
    <xf numFmtId="2" fontId="28" fillId="2" borderId="48" xfId="0" applyNumberFormat="1" applyFont="1" applyFill="1" applyBorder="1" applyAlignment="1" applyProtection="1">
      <alignment horizontal="center" vertical="top" wrapText="1"/>
    </xf>
    <xf numFmtId="2" fontId="28" fillId="5" borderId="5" xfId="0" applyNumberFormat="1" applyFont="1" applyFill="1" applyBorder="1" applyAlignment="1" applyProtection="1">
      <alignment horizontal="center" vertical="top" wrapText="1"/>
    </xf>
    <xf numFmtId="2" fontId="28" fillId="2" borderId="38" xfId="0" applyNumberFormat="1" applyFont="1" applyFill="1" applyBorder="1" applyAlignment="1" applyProtection="1">
      <alignment horizontal="center" vertical="top" wrapText="1"/>
    </xf>
    <xf numFmtId="2" fontId="28" fillId="2" borderId="27" xfId="0" applyNumberFormat="1" applyFont="1" applyFill="1" applyBorder="1" applyAlignment="1" applyProtection="1">
      <alignment horizontal="center" vertical="top" wrapText="1"/>
    </xf>
    <xf numFmtId="2" fontId="28" fillId="2" borderId="62" xfId="0" applyNumberFormat="1" applyFont="1" applyFill="1" applyBorder="1" applyAlignment="1" applyProtection="1">
      <alignment horizontal="center" vertical="top" wrapText="1"/>
    </xf>
    <xf numFmtId="2" fontId="28" fillId="2" borderId="40" xfId="0" applyNumberFormat="1" applyFont="1" applyFill="1" applyBorder="1" applyAlignment="1" applyProtection="1">
      <alignment horizontal="center" vertical="top" wrapText="1"/>
    </xf>
    <xf numFmtId="1" fontId="28" fillId="2" borderId="4" xfId="0" applyNumberFormat="1" applyFont="1" applyFill="1" applyBorder="1" applyAlignment="1" applyProtection="1">
      <alignment horizontal="center" vertical="top" wrapText="1"/>
      <protection hidden="1"/>
    </xf>
    <xf numFmtId="2" fontId="28" fillId="5" borderId="22" xfId="0" applyNumberFormat="1" applyFont="1" applyFill="1" applyBorder="1" applyAlignment="1" applyProtection="1">
      <alignment horizontal="center" vertical="top" wrapText="1"/>
    </xf>
    <xf numFmtId="0" fontId="28" fillId="2" borderId="3" xfId="0" applyFont="1" applyFill="1" applyBorder="1" applyAlignment="1" applyProtection="1">
      <alignment horizontal="center" vertical="top" wrapText="1"/>
      <protection hidden="1"/>
    </xf>
    <xf numFmtId="0" fontId="28" fillId="2" borderId="35" xfId="0" applyFont="1" applyFill="1" applyBorder="1" applyAlignment="1" applyProtection="1">
      <alignment horizontal="center" vertical="top" wrapText="1"/>
      <protection hidden="1"/>
    </xf>
    <xf numFmtId="2" fontId="28" fillId="2" borderId="2" xfId="0" applyNumberFormat="1" applyFont="1" applyFill="1" applyBorder="1" applyAlignment="1" applyProtection="1">
      <alignment horizontal="center" vertical="top" wrapText="1"/>
    </xf>
    <xf numFmtId="2" fontId="28" fillId="2" borderId="49" xfId="0" applyNumberFormat="1" applyFont="1" applyFill="1" applyBorder="1" applyAlignment="1" applyProtection="1">
      <alignment horizontal="center" vertical="top" wrapText="1"/>
      <protection hidden="1"/>
    </xf>
    <xf numFmtId="0" fontId="28" fillId="2" borderId="8" xfId="0" applyFont="1" applyFill="1" applyBorder="1" applyAlignment="1" applyProtection="1">
      <alignment horizontal="center" vertical="top" wrapText="1"/>
      <protection hidden="1"/>
    </xf>
    <xf numFmtId="2" fontId="28" fillId="2" borderId="8" xfId="0" applyNumberFormat="1" applyFont="1" applyFill="1" applyBorder="1" applyAlignment="1" applyProtection="1">
      <alignment horizontal="center" vertical="top" wrapText="1"/>
    </xf>
    <xf numFmtId="1" fontId="28" fillId="2" borderId="6" xfId="0" applyNumberFormat="1" applyFont="1" applyFill="1" applyBorder="1" applyAlignment="1" applyProtection="1">
      <alignment horizontal="center" vertical="top" wrapText="1"/>
      <protection hidden="1"/>
    </xf>
    <xf numFmtId="2" fontId="28" fillId="2" borderId="28" xfId="0" applyNumberFormat="1" applyFont="1" applyFill="1" applyBorder="1" applyAlignment="1" applyProtection="1">
      <alignment horizontal="center" vertical="top" wrapText="1"/>
    </xf>
    <xf numFmtId="2" fontId="28" fillId="13" borderId="34" xfId="0" applyNumberFormat="1" applyFont="1" applyFill="1" applyBorder="1" applyAlignment="1" applyProtection="1">
      <alignment horizontal="center" vertical="top" wrapText="1"/>
    </xf>
    <xf numFmtId="0" fontId="28" fillId="0" borderId="0" xfId="0" applyFont="1" applyAlignment="1">
      <alignment horizontal="center" vertical="top" wrapText="1"/>
    </xf>
    <xf numFmtId="1" fontId="28" fillId="0" borderId="0" xfId="0" applyNumberFormat="1" applyFont="1" applyBorder="1" applyAlignment="1" applyProtection="1">
      <alignment horizontal="center" vertical="top" wrapText="1"/>
      <protection hidden="1"/>
    </xf>
    <xf numFmtId="0" fontId="25" fillId="0" borderId="0" xfId="0" applyFont="1" applyAlignment="1">
      <alignment horizontal="center" vertical="top" wrapText="1"/>
    </xf>
    <xf numFmtId="2" fontId="5" fillId="6" borderId="39" xfId="0" applyNumberFormat="1" applyFont="1" applyFill="1" applyBorder="1" applyAlignment="1">
      <alignment horizontal="center" vertical="top" wrapText="1"/>
    </xf>
    <xf numFmtId="2" fontId="5" fillId="6" borderId="1" xfId="0" applyNumberFormat="1" applyFont="1" applyFill="1" applyBorder="1" applyAlignment="1">
      <alignment horizontal="center" vertical="top" wrapText="1"/>
    </xf>
    <xf numFmtId="2" fontId="28" fillId="5" borderId="5" xfId="0" applyNumberFormat="1" applyFont="1" applyFill="1" applyBorder="1" applyAlignment="1">
      <alignment horizontal="center" vertical="top" wrapText="1"/>
    </xf>
    <xf numFmtId="2" fontId="28" fillId="7" borderId="5" xfId="0" applyNumberFormat="1" applyFont="1" applyFill="1" applyBorder="1" applyAlignment="1">
      <alignment horizontal="center" vertical="top" wrapText="1"/>
    </xf>
    <xf numFmtId="0" fontId="5" fillId="0" borderId="34" xfId="0" applyFont="1" applyFill="1" applyBorder="1" applyAlignment="1">
      <alignment horizontal="left" vertical="top" wrapText="1"/>
    </xf>
    <xf numFmtId="0" fontId="5" fillId="0" borderId="34" xfId="0" applyFont="1" applyBorder="1" applyAlignment="1">
      <alignment horizontal="left" vertical="top" wrapText="1"/>
    </xf>
    <xf numFmtId="0" fontId="5" fillId="0" borderId="11" xfId="0" applyFont="1" applyBorder="1" applyAlignment="1">
      <alignment vertical="top" wrapText="1"/>
    </xf>
    <xf numFmtId="0" fontId="5" fillId="0" borderId="6" xfId="0" applyFont="1" applyFill="1" applyBorder="1" applyAlignment="1">
      <alignment horizontal="left" vertical="top" wrapText="1"/>
    </xf>
    <xf numFmtId="0" fontId="5" fillId="0" borderId="50" xfId="0" applyFont="1" applyFill="1" applyBorder="1" applyAlignment="1">
      <alignment horizontal="left" vertical="top" wrapText="1"/>
    </xf>
    <xf numFmtId="1" fontId="5" fillId="0" borderId="71" xfId="0" applyNumberFormat="1" applyFont="1" applyFill="1" applyBorder="1" applyAlignment="1">
      <alignment vertical="top" wrapText="1"/>
    </xf>
    <xf numFmtId="1" fontId="5" fillId="0" borderId="12" xfId="0" applyNumberFormat="1" applyFont="1" applyFill="1" applyBorder="1" applyAlignment="1">
      <alignment vertical="top" wrapText="1"/>
    </xf>
    <xf numFmtId="1" fontId="5" fillId="0" borderId="6" xfId="0" applyNumberFormat="1" applyFont="1" applyFill="1" applyBorder="1" applyAlignment="1">
      <alignment vertical="top" wrapText="1"/>
    </xf>
    <xf numFmtId="1" fontId="5" fillId="0" borderId="17" xfId="0" applyNumberFormat="1" applyFont="1" applyFill="1" applyBorder="1" applyAlignment="1">
      <alignment vertical="top" wrapText="1"/>
    </xf>
    <xf numFmtId="2" fontId="5" fillId="5" borderId="5" xfId="0" applyNumberFormat="1" applyFont="1" applyFill="1" applyBorder="1" applyAlignment="1">
      <alignment horizontal="center" vertical="top"/>
    </xf>
    <xf numFmtId="2" fontId="5" fillId="7" borderId="5" xfId="0" applyNumberFormat="1" applyFont="1" applyFill="1" applyBorder="1" applyAlignment="1">
      <alignment horizontal="center" vertical="top"/>
    </xf>
    <xf numFmtId="1" fontId="5" fillId="2" borderId="39" xfId="0" applyNumberFormat="1" applyFont="1" applyFill="1" applyBorder="1" applyAlignment="1">
      <alignment horizontal="center" vertical="top"/>
    </xf>
    <xf numFmtId="2" fontId="5" fillId="5" borderId="34" xfId="0" applyNumberFormat="1" applyFont="1" applyFill="1" applyBorder="1" applyAlignment="1">
      <alignment horizontal="center" vertical="top"/>
    </xf>
    <xf numFmtId="2" fontId="5" fillId="2" borderId="8" xfId="0" applyNumberFormat="1" applyFont="1" applyFill="1" applyBorder="1" applyAlignment="1">
      <alignment horizontal="center" vertical="top"/>
    </xf>
    <xf numFmtId="2" fontId="5" fillId="2" borderId="2" xfId="0" applyNumberFormat="1" applyFont="1" applyFill="1" applyBorder="1" applyAlignment="1">
      <alignment horizontal="center" vertical="top"/>
    </xf>
    <xf numFmtId="2" fontId="5" fillId="2" borderId="48" xfId="0" applyNumberFormat="1" applyFont="1" applyFill="1" applyBorder="1" applyAlignment="1">
      <alignment horizontal="center" vertical="top"/>
    </xf>
    <xf numFmtId="0" fontId="5" fillId="14" borderId="12" xfId="0" applyFont="1" applyFill="1" applyBorder="1" applyAlignment="1">
      <alignment horizontal="center" vertical="top" wrapText="1"/>
    </xf>
    <xf numFmtId="0" fontId="5" fillId="14" borderId="4" xfId="0" applyFont="1" applyFill="1" applyBorder="1" applyAlignment="1">
      <alignment horizontal="center" vertical="top" wrapText="1"/>
    </xf>
    <xf numFmtId="2" fontId="5" fillId="5" borderId="22" xfId="0" applyNumberFormat="1" applyFont="1" applyFill="1" applyBorder="1" applyAlignment="1">
      <alignment horizontal="center" vertical="top"/>
    </xf>
    <xf numFmtId="0" fontId="5" fillId="14" borderId="6" xfId="0" applyFont="1" applyFill="1" applyBorder="1" applyAlignment="1">
      <alignment horizontal="center" vertical="top" wrapText="1"/>
    </xf>
    <xf numFmtId="1" fontId="5" fillId="14" borderId="1" xfId="0" applyNumberFormat="1" applyFont="1" applyFill="1" applyBorder="1" applyAlignment="1">
      <alignment horizontal="center" vertical="top"/>
    </xf>
    <xf numFmtId="2" fontId="5" fillId="14" borderId="2" xfId="0" applyNumberFormat="1" applyFont="1" applyFill="1" applyBorder="1" applyAlignment="1">
      <alignment horizontal="center" vertical="top" wrapText="1"/>
    </xf>
    <xf numFmtId="2" fontId="5" fillId="14" borderId="9" xfId="0" applyNumberFormat="1" applyFont="1" applyFill="1" applyBorder="1" applyAlignment="1">
      <alignment horizontal="center" vertical="top" wrapText="1"/>
    </xf>
    <xf numFmtId="2" fontId="5" fillId="2" borderId="9" xfId="0" applyNumberFormat="1" applyFont="1" applyFill="1" applyBorder="1" applyAlignment="1">
      <alignment horizontal="center" vertical="top"/>
    </xf>
    <xf numFmtId="0" fontId="5" fillId="14" borderId="8" xfId="0" applyFont="1" applyFill="1" applyBorder="1" applyAlignment="1">
      <alignment horizontal="center" vertical="top" wrapText="1"/>
    </xf>
    <xf numFmtId="2" fontId="5" fillId="7" borderId="22" xfId="0" applyNumberFormat="1" applyFont="1" applyFill="1" applyBorder="1" applyAlignment="1">
      <alignment horizontal="center" vertical="top"/>
    </xf>
    <xf numFmtId="0" fontId="5" fillId="14" borderId="1" xfId="0" applyFont="1" applyFill="1" applyBorder="1" applyAlignment="1">
      <alignment horizontal="center" vertical="top" wrapText="1"/>
    </xf>
    <xf numFmtId="2" fontId="5" fillId="14" borderId="8" xfId="0" applyNumberFormat="1" applyFont="1" applyFill="1" applyBorder="1" applyAlignment="1">
      <alignment horizontal="center" vertical="top" wrapText="1"/>
    </xf>
    <xf numFmtId="0" fontId="5" fillId="14" borderId="3" xfId="0" applyFont="1" applyFill="1" applyBorder="1" applyAlignment="1">
      <alignment horizontal="center" vertical="top" wrapText="1"/>
    </xf>
    <xf numFmtId="0" fontId="5" fillId="14" borderId="39" xfId="0" applyFont="1" applyFill="1" applyBorder="1" applyAlignment="1">
      <alignment horizontal="center" vertical="top" wrapText="1"/>
    </xf>
    <xf numFmtId="0" fontId="5" fillId="14" borderId="35" xfId="0" applyFont="1" applyFill="1" applyBorder="1" applyAlignment="1">
      <alignment horizontal="center" vertical="top" wrapText="1"/>
    </xf>
    <xf numFmtId="2" fontId="5" fillId="7" borderId="34" xfId="0" applyNumberFormat="1" applyFont="1" applyFill="1" applyBorder="1" applyAlignment="1">
      <alignment horizontal="center" vertical="top"/>
    </xf>
    <xf numFmtId="0" fontId="5" fillId="14" borderId="47" xfId="0" applyFont="1" applyFill="1" applyBorder="1" applyAlignment="1">
      <alignment horizontal="center" vertical="top" wrapText="1"/>
    </xf>
    <xf numFmtId="2" fontId="5" fillId="14" borderId="48" xfId="0" applyNumberFormat="1" applyFont="1" applyFill="1" applyBorder="1" applyAlignment="1">
      <alignment horizontal="center" vertical="top" wrapText="1"/>
    </xf>
    <xf numFmtId="1" fontId="5" fillId="14" borderId="35" xfId="0" applyNumberFormat="1" applyFont="1" applyFill="1" applyBorder="1" applyAlignment="1">
      <alignment horizontal="center" vertical="top"/>
    </xf>
    <xf numFmtId="2" fontId="5" fillId="14" borderId="8" xfId="0" applyNumberFormat="1" applyFont="1" applyFill="1" applyBorder="1" applyAlignment="1">
      <alignment horizontal="center" vertical="top"/>
    </xf>
    <xf numFmtId="2" fontId="5" fillId="14" borderId="2" xfId="0" applyNumberFormat="1" applyFont="1" applyFill="1" applyBorder="1" applyAlignment="1">
      <alignment horizontal="center" vertical="top"/>
    </xf>
    <xf numFmtId="1" fontId="5" fillId="14" borderId="47" xfId="0" applyNumberFormat="1" applyFont="1" applyFill="1" applyBorder="1" applyAlignment="1">
      <alignment horizontal="center" vertical="top"/>
    </xf>
    <xf numFmtId="0" fontId="5" fillId="14" borderId="51" xfId="0" applyFont="1" applyFill="1" applyBorder="1" applyAlignment="1">
      <alignment horizontal="center" vertical="top" wrapText="1"/>
    </xf>
    <xf numFmtId="2" fontId="5" fillId="7" borderId="34" xfId="0" applyNumberFormat="1" applyFont="1" applyFill="1" applyBorder="1" applyAlignment="1">
      <alignment horizontal="center" vertical="top" wrapText="1"/>
    </xf>
    <xf numFmtId="0" fontId="5" fillId="14" borderId="13" xfId="0" applyFont="1" applyFill="1" applyBorder="1" applyAlignment="1">
      <alignment horizontal="center" vertical="top" wrapText="1"/>
    </xf>
    <xf numFmtId="2" fontId="5" fillId="14" borderId="13" xfId="0" applyNumberFormat="1" applyFont="1" applyFill="1" applyBorder="1" applyAlignment="1">
      <alignment horizontal="center" vertical="top" wrapText="1"/>
    </xf>
    <xf numFmtId="1" fontId="5" fillId="2" borderId="17" xfId="0" applyNumberFormat="1" applyFont="1" applyFill="1" applyBorder="1" applyAlignment="1">
      <alignment horizontal="center" vertical="top" wrapText="1"/>
    </xf>
    <xf numFmtId="0" fontId="5" fillId="14" borderId="44" xfId="0" applyFont="1" applyFill="1" applyBorder="1" applyAlignment="1">
      <alignment horizontal="center" vertical="top" wrapText="1"/>
    </xf>
    <xf numFmtId="1" fontId="5" fillId="0" borderId="41" xfId="0" applyNumberFormat="1" applyFont="1" applyFill="1" applyBorder="1" applyAlignment="1">
      <alignment horizontal="left" vertical="top" wrapText="1"/>
    </xf>
    <xf numFmtId="1" fontId="5" fillId="0" borderId="12" xfId="0" applyNumberFormat="1" applyFont="1" applyFill="1" applyBorder="1" applyAlignment="1">
      <alignment horizontal="left" vertical="top" wrapText="1"/>
    </xf>
    <xf numFmtId="1" fontId="5" fillId="0" borderId="6" xfId="0" applyNumberFormat="1" applyFont="1" applyFill="1" applyBorder="1" applyAlignment="1">
      <alignment horizontal="left" vertical="top" wrapText="1"/>
    </xf>
    <xf numFmtId="1" fontId="5" fillId="0" borderId="17" xfId="0" applyNumberFormat="1" applyFont="1" applyFill="1" applyBorder="1" applyAlignment="1">
      <alignment horizontal="left" vertical="top" wrapText="1"/>
    </xf>
    <xf numFmtId="0" fontId="5" fillId="0" borderId="53" xfId="0" applyFont="1" applyBorder="1" applyAlignment="1">
      <alignment vertical="top" wrapText="1"/>
    </xf>
    <xf numFmtId="2" fontId="5" fillId="5" borderId="34" xfId="0" applyNumberFormat="1" applyFont="1" applyFill="1" applyBorder="1" applyAlignment="1">
      <alignment horizontal="center" vertical="top" wrapText="1"/>
    </xf>
    <xf numFmtId="2" fontId="5" fillId="5" borderId="22" xfId="0" applyNumberFormat="1" applyFont="1" applyFill="1" applyBorder="1" applyAlignment="1">
      <alignment horizontal="center" vertical="top" wrapText="1"/>
    </xf>
    <xf numFmtId="0" fontId="5" fillId="14" borderId="66" xfId="0" applyFont="1" applyFill="1" applyBorder="1" applyAlignment="1">
      <alignment horizontal="center" vertical="top" wrapText="1"/>
    </xf>
    <xf numFmtId="0" fontId="5" fillId="14" borderId="50" xfId="0" applyFont="1" applyFill="1" applyBorder="1" applyAlignment="1">
      <alignment horizontal="center" vertical="top" wrapText="1"/>
    </xf>
    <xf numFmtId="2" fontId="5" fillId="15" borderId="22" xfId="0" applyNumberFormat="1" applyFont="1" applyFill="1" applyBorder="1" applyAlignment="1">
      <alignment horizontal="center" vertical="top" wrapText="1"/>
    </xf>
    <xf numFmtId="2" fontId="5" fillId="7" borderId="22" xfId="0" applyNumberFormat="1" applyFont="1" applyFill="1" applyBorder="1" applyAlignment="1">
      <alignment horizontal="center" vertical="top" wrapText="1"/>
    </xf>
    <xf numFmtId="0" fontId="5" fillId="0" borderId="6" xfId="0" applyFont="1" applyBorder="1" applyAlignment="1">
      <alignment vertical="top" wrapText="1"/>
    </xf>
    <xf numFmtId="1" fontId="5" fillId="0" borderId="13" xfId="0" applyNumberFormat="1" applyFont="1" applyFill="1" applyBorder="1" applyAlignment="1">
      <alignment horizontal="left" vertical="top" wrapText="1"/>
    </xf>
    <xf numFmtId="0" fontId="5" fillId="0" borderId="18" xfId="0" applyFont="1" applyFill="1" applyBorder="1" applyAlignment="1">
      <alignment vertical="top" wrapText="1"/>
    </xf>
    <xf numFmtId="0" fontId="5" fillId="0" borderId="3" xfId="0" applyFont="1" applyBorder="1" applyAlignment="1">
      <alignment horizontal="center" vertical="top" wrapText="1"/>
    </xf>
    <xf numFmtId="0" fontId="5" fillId="0" borderId="7" xfId="0" applyFont="1" applyBorder="1" applyAlignment="1">
      <alignment horizontal="center" vertical="top" wrapText="1"/>
    </xf>
    <xf numFmtId="0" fontId="5" fillId="0" borderId="71" xfId="0" applyFont="1" applyBorder="1" applyAlignment="1">
      <alignment horizontal="left" vertical="top" wrapText="1"/>
    </xf>
    <xf numFmtId="0" fontId="5" fillId="0" borderId="11" xfId="0" applyFont="1" applyFill="1" applyBorder="1" applyAlignment="1">
      <alignment vertical="top" wrapText="1"/>
    </xf>
    <xf numFmtId="0" fontId="5" fillId="0" borderId="0" xfId="0" applyFont="1" applyFill="1" applyBorder="1" applyAlignment="1">
      <alignment vertical="top" wrapText="1"/>
    </xf>
    <xf numFmtId="0" fontId="5" fillId="0" borderId="11" xfId="0" applyFont="1" applyFill="1" applyBorder="1" applyAlignment="1">
      <alignment horizontal="left" vertical="top" wrapText="1"/>
    </xf>
    <xf numFmtId="0" fontId="5" fillId="0" borderId="12" xfId="0" applyFont="1" applyFill="1" applyBorder="1" applyAlignment="1">
      <alignment horizontal="left" vertical="top" wrapText="1"/>
    </xf>
    <xf numFmtId="0" fontId="5" fillId="0" borderId="71" xfId="0" applyFont="1" applyFill="1" applyBorder="1" applyAlignment="1">
      <alignment vertical="top" wrapText="1"/>
    </xf>
    <xf numFmtId="0" fontId="5" fillId="0" borderId="17" xfId="0" applyFont="1" applyFill="1" applyBorder="1" applyAlignment="1">
      <alignment horizontal="left" vertical="top" wrapText="1"/>
    </xf>
    <xf numFmtId="0" fontId="28" fillId="0" borderId="34" xfId="0" applyFont="1" applyBorder="1" applyAlignment="1">
      <alignment horizontal="left" vertical="top" wrapText="1"/>
    </xf>
    <xf numFmtId="1" fontId="28" fillId="0" borderId="34" xfId="0" applyNumberFormat="1" applyFont="1" applyFill="1" applyBorder="1" applyAlignment="1">
      <alignment horizontal="left" vertical="top" wrapText="1"/>
    </xf>
    <xf numFmtId="0" fontId="28" fillId="0" borderId="34" xfId="0" applyFont="1" applyFill="1" applyBorder="1" applyAlignment="1">
      <alignment vertical="top" wrapText="1"/>
    </xf>
    <xf numFmtId="0" fontId="28" fillId="0" borderId="71" xfId="0" applyFont="1" applyBorder="1" applyAlignment="1">
      <alignment vertical="top" wrapText="1"/>
    </xf>
    <xf numFmtId="0" fontId="28" fillId="0" borderId="71" xfId="0" applyFont="1" applyFill="1" applyBorder="1" applyAlignment="1">
      <alignment vertical="top" wrapText="1"/>
    </xf>
    <xf numFmtId="1" fontId="28" fillId="0" borderId="41" xfId="0" applyNumberFormat="1" applyFont="1" applyBorder="1" applyAlignment="1">
      <alignment vertical="top" wrapText="1"/>
    </xf>
    <xf numFmtId="1" fontId="28" fillId="0" borderId="12" xfId="0" applyNumberFormat="1" applyFont="1" applyBorder="1" applyAlignment="1">
      <alignment vertical="top" wrapText="1"/>
    </xf>
    <xf numFmtId="1" fontId="28" fillId="0" borderId="6" xfId="0" applyNumberFormat="1" applyFont="1" applyBorder="1" applyAlignment="1">
      <alignment vertical="top" wrapText="1"/>
    </xf>
    <xf numFmtId="1" fontId="28" fillId="0" borderId="50" xfId="0" applyNumberFormat="1" applyFont="1" applyBorder="1" applyAlignment="1">
      <alignment vertical="top" wrapText="1"/>
    </xf>
    <xf numFmtId="1" fontId="28" fillId="0" borderId="71" xfId="0" applyNumberFormat="1" applyFont="1" applyFill="1" applyBorder="1" applyAlignment="1">
      <alignment vertical="top" wrapText="1"/>
    </xf>
    <xf numFmtId="1" fontId="28" fillId="0" borderId="12" xfId="0" applyNumberFormat="1" applyFont="1" applyFill="1" applyBorder="1" applyAlignment="1">
      <alignment vertical="top" wrapText="1"/>
    </xf>
    <xf numFmtId="1" fontId="28" fillId="0" borderId="6" xfId="0" applyNumberFormat="1" applyFont="1" applyFill="1" applyBorder="1" applyAlignment="1">
      <alignment vertical="top" wrapText="1"/>
    </xf>
    <xf numFmtId="1" fontId="28" fillId="0" borderId="50" xfId="0" applyNumberFormat="1" applyFont="1" applyFill="1" applyBorder="1" applyAlignment="1">
      <alignment vertical="top" wrapText="1"/>
    </xf>
    <xf numFmtId="0" fontId="28" fillId="0" borderId="36" xfId="0" applyFont="1" applyFill="1" applyBorder="1" applyAlignment="1">
      <alignment vertical="top" wrapText="1"/>
    </xf>
    <xf numFmtId="1" fontId="28" fillId="0" borderId="53" xfId="0" applyNumberFormat="1" applyFont="1" applyFill="1" applyBorder="1" applyAlignment="1">
      <alignment horizontal="left" vertical="top" wrapText="1"/>
    </xf>
    <xf numFmtId="1" fontId="28" fillId="0" borderId="5" xfId="0" applyNumberFormat="1" applyFont="1" applyFill="1" applyBorder="1" applyAlignment="1">
      <alignment horizontal="left" vertical="top" wrapText="1"/>
    </xf>
    <xf numFmtId="2" fontId="28" fillId="5" borderId="34" xfId="0" applyNumberFormat="1" applyFont="1" applyFill="1" applyBorder="1" applyAlignment="1">
      <alignment horizontal="center" vertical="top"/>
    </xf>
    <xf numFmtId="2" fontId="28" fillId="7" borderId="34" xfId="0" applyNumberFormat="1" applyFont="1" applyFill="1" applyBorder="1" applyAlignment="1">
      <alignment horizontal="center" vertical="top" wrapText="1"/>
    </xf>
    <xf numFmtId="0" fontId="28" fillId="2" borderId="39" xfId="0" applyFont="1" applyFill="1" applyBorder="1" applyAlignment="1">
      <alignment horizontal="center" vertical="top" wrapText="1"/>
    </xf>
    <xf numFmtId="2" fontId="28" fillId="5" borderId="34" xfId="0" applyNumberFormat="1" applyFont="1" applyFill="1" applyBorder="1" applyAlignment="1">
      <alignment horizontal="center" vertical="top" wrapText="1"/>
    </xf>
    <xf numFmtId="2" fontId="28" fillId="2" borderId="8" xfId="0" applyNumberFormat="1" applyFont="1" applyFill="1" applyBorder="1" applyAlignment="1">
      <alignment horizontal="center" vertical="top" wrapText="1"/>
    </xf>
    <xf numFmtId="2" fontId="28" fillId="2" borderId="2" xfId="0" applyNumberFormat="1" applyFont="1" applyFill="1" applyBorder="1" applyAlignment="1">
      <alignment horizontal="center" vertical="top" wrapText="1"/>
    </xf>
    <xf numFmtId="1" fontId="28" fillId="2" borderId="47" xfId="0" applyNumberFormat="1" applyFont="1" applyFill="1" applyBorder="1" applyAlignment="1">
      <alignment horizontal="center" vertical="top" wrapText="1"/>
    </xf>
    <xf numFmtId="2" fontId="28" fillId="2" borderId="48" xfId="0" applyNumberFormat="1" applyFont="1" applyFill="1" applyBorder="1" applyAlignment="1">
      <alignment horizontal="center" vertical="top" wrapText="1"/>
    </xf>
    <xf numFmtId="1" fontId="28" fillId="2" borderId="35" xfId="0" applyNumberFormat="1" applyFont="1" applyFill="1" applyBorder="1" applyAlignment="1">
      <alignment horizontal="center" vertical="top" wrapText="1"/>
    </xf>
    <xf numFmtId="2" fontId="28" fillId="5" borderId="22" xfId="0" applyNumberFormat="1" applyFont="1" applyFill="1" applyBorder="1" applyAlignment="1">
      <alignment horizontal="center" vertical="top" wrapText="1"/>
    </xf>
    <xf numFmtId="2" fontId="28" fillId="2" borderId="9" xfId="0" applyNumberFormat="1" applyFont="1" applyFill="1" applyBorder="1" applyAlignment="1">
      <alignment horizontal="center" vertical="top" wrapText="1"/>
    </xf>
    <xf numFmtId="0" fontId="42" fillId="2" borderId="39" xfId="0" applyFont="1" applyFill="1" applyBorder="1" applyAlignment="1">
      <alignment horizontal="center" vertical="top" wrapText="1"/>
    </xf>
    <xf numFmtId="1" fontId="28" fillId="2" borderId="39" xfId="0" applyNumberFormat="1" applyFont="1" applyFill="1" applyBorder="1" applyAlignment="1">
      <alignment horizontal="center" vertical="top" wrapText="1"/>
    </xf>
    <xf numFmtId="1" fontId="28" fillId="2" borderId="4" xfId="0" applyNumberFormat="1" applyFont="1" applyFill="1" applyBorder="1" applyAlignment="1">
      <alignment horizontal="center" vertical="top" wrapText="1"/>
    </xf>
    <xf numFmtId="2" fontId="28" fillId="5" borderId="22" xfId="0" applyNumberFormat="1" applyFont="1" applyFill="1" applyBorder="1" applyAlignment="1">
      <alignment horizontal="center" vertical="top"/>
    </xf>
    <xf numFmtId="1" fontId="28" fillId="2" borderId="44" xfId="0" applyNumberFormat="1" applyFont="1" applyFill="1" applyBorder="1" applyAlignment="1">
      <alignment horizontal="center" vertical="top" wrapText="1"/>
    </xf>
    <xf numFmtId="1" fontId="28" fillId="2" borderId="6" xfId="0" applyNumberFormat="1" applyFont="1" applyFill="1" applyBorder="1" applyAlignment="1">
      <alignment horizontal="center" vertical="top" wrapText="1"/>
    </xf>
    <xf numFmtId="1" fontId="28" fillId="2" borderId="50" xfId="0" applyNumberFormat="1" applyFont="1" applyFill="1" applyBorder="1" applyAlignment="1">
      <alignment horizontal="center" vertical="top" wrapText="1"/>
    </xf>
    <xf numFmtId="2" fontId="28" fillId="2" borderId="13" xfId="0" applyNumberFormat="1" applyFont="1" applyFill="1" applyBorder="1" applyAlignment="1">
      <alignment horizontal="center" vertical="top" wrapText="1"/>
    </xf>
    <xf numFmtId="2" fontId="28" fillId="7" borderId="22" xfId="0" applyNumberFormat="1" applyFont="1" applyFill="1" applyBorder="1" applyAlignment="1">
      <alignment horizontal="center" vertical="top" wrapText="1"/>
    </xf>
    <xf numFmtId="1" fontId="28" fillId="2" borderId="2" xfId="0" applyNumberFormat="1" applyFont="1" applyFill="1" applyBorder="1" applyAlignment="1">
      <alignment horizontal="center" vertical="top" wrapText="1"/>
    </xf>
    <xf numFmtId="1" fontId="28" fillId="2" borderId="48" xfId="0" applyNumberFormat="1" applyFont="1" applyFill="1" applyBorder="1" applyAlignment="1">
      <alignment horizontal="center" vertical="top" wrapText="1"/>
    </xf>
    <xf numFmtId="1" fontId="28" fillId="2" borderId="51" xfId="0" applyNumberFormat="1" applyFont="1" applyFill="1" applyBorder="1" applyAlignment="1">
      <alignment horizontal="center" vertical="top" wrapText="1"/>
    </xf>
    <xf numFmtId="2" fontId="28" fillId="0" borderId="44" xfId="0" applyNumberFormat="1" applyFont="1" applyFill="1" applyBorder="1" applyAlignment="1">
      <alignment horizontal="center" vertical="top" wrapText="1"/>
    </xf>
    <xf numFmtId="1" fontId="28" fillId="2" borderId="11" xfId="0" applyNumberFormat="1" applyFont="1" applyFill="1" applyBorder="1" applyAlignment="1">
      <alignment horizontal="center" vertical="top" wrapText="1"/>
    </xf>
    <xf numFmtId="1" fontId="28" fillId="2" borderId="7" xfId="0" applyNumberFormat="1" applyFont="1" applyFill="1" applyBorder="1" applyAlignment="1">
      <alignment horizontal="center" vertical="top" wrapText="1"/>
    </xf>
    <xf numFmtId="0" fontId="28" fillId="2" borderId="1" xfId="0" applyNumberFormat="1" applyFont="1" applyFill="1" applyBorder="1" applyAlignment="1">
      <alignment horizontal="center" vertical="top" wrapText="1"/>
    </xf>
    <xf numFmtId="1" fontId="28" fillId="2" borderId="13" xfId="0" applyNumberFormat="1" applyFont="1" applyFill="1" applyBorder="1" applyAlignment="1">
      <alignment horizontal="center" vertical="top" wrapText="1"/>
    </xf>
    <xf numFmtId="2" fontId="28" fillId="14" borderId="2" xfId="0" applyNumberFormat="1" applyFont="1" applyFill="1" applyBorder="1" applyAlignment="1">
      <alignment horizontal="center" vertical="top" wrapText="1"/>
    </xf>
    <xf numFmtId="2" fontId="28" fillId="14" borderId="48" xfId="0" applyNumberFormat="1" applyFont="1" applyFill="1" applyBorder="1" applyAlignment="1">
      <alignment horizontal="center" vertical="top" wrapText="1"/>
    </xf>
    <xf numFmtId="1" fontId="28" fillId="14" borderId="1" xfId="0" applyNumberFormat="1" applyFont="1" applyFill="1" applyBorder="1" applyAlignment="1">
      <alignment horizontal="center" vertical="top" wrapText="1"/>
    </xf>
    <xf numFmtId="1" fontId="28" fillId="14" borderId="47" xfId="0" applyNumberFormat="1" applyFont="1" applyFill="1" applyBorder="1" applyAlignment="1">
      <alignment horizontal="center" vertical="top" wrapText="1"/>
    </xf>
    <xf numFmtId="1" fontId="28" fillId="0" borderId="0" xfId="0" applyNumberFormat="1" applyFont="1" applyAlignment="1">
      <alignment horizontal="center" vertical="top" wrapText="1"/>
    </xf>
    <xf numFmtId="2" fontId="28" fillId="0" borderId="0" xfId="0" applyNumberFormat="1" applyFont="1" applyAlignment="1">
      <alignment horizontal="center" vertical="top" wrapText="1"/>
    </xf>
    <xf numFmtId="1" fontId="28" fillId="14" borderId="4" xfId="0" applyNumberFormat="1" applyFont="1" applyFill="1" applyBorder="1" applyAlignment="1">
      <alignment horizontal="center" vertical="top" wrapText="1"/>
    </xf>
    <xf numFmtId="1" fontId="28" fillId="0" borderId="34" xfId="0" applyNumberFormat="1" applyFont="1" applyBorder="1" applyAlignment="1">
      <alignment vertical="top" wrapText="1"/>
    </xf>
    <xf numFmtId="0" fontId="28" fillId="0" borderId="34" xfId="0" applyFont="1" applyBorder="1" applyAlignment="1">
      <alignment vertical="top" wrapText="1"/>
    </xf>
    <xf numFmtId="0" fontId="28" fillId="0" borderId="71" xfId="0" applyFont="1" applyBorder="1" applyAlignment="1">
      <alignment horizontal="left" vertical="top" wrapText="1"/>
    </xf>
    <xf numFmtId="0" fontId="28" fillId="0" borderId="17" xfId="0" applyFont="1" applyBorder="1" applyAlignment="1">
      <alignment horizontal="left" vertical="top" wrapText="1"/>
    </xf>
    <xf numFmtId="1" fontId="28" fillId="0" borderId="71" xfId="0" applyNumberFormat="1" applyFont="1" applyBorder="1" applyAlignment="1">
      <alignment vertical="top" wrapText="1"/>
    </xf>
    <xf numFmtId="1" fontId="28" fillId="0" borderId="53" xfId="0" applyNumberFormat="1" applyFont="1" applyBorder="1" applyAlignment="1">
      <alignment vertical="top" wrapText="1"/>
    </xf>
    <xf numFmtId="1" fontId="28" fillId="0" borderId="17" xfId="0" applyNumberFormat="1" applyFont="1" applyBorder="1" applyAlignment="1">
      <alignment vertical="top" wrapText="1"/>
    </xf>
    <xf numFmtId="2" fontId="28" fillId="2" borderId="39" xfId="0" applyNumberFormat="1" applyFont="1" applyFill="1" applyBorder="1" applyAlignment="1">
      <alignment horizontal="center" vertical="top" wrapText="1"/>
    </xf>
    <xf numFmtId="2" fontId="28" fillId="2" borderId="35" xfId="0" applyNumberFormat="1" applyFont="1" applyFill="1" applyBorder="1" applyAlignment="1">
      <alignment horizontal="center" vertical="top" wrapText="1"/>
    </xf>
    <xf numFmtId="0" fontId="28" fillId="2" borderId="57" xfId="0" applyFont="1" applyFill="1" applyBorder="1" applyAlignment="1">
      <alignment horizontal="center" vertical="top" wrapText="1"/>
    </xf>
    <xf numFmtId="0" fontId="28" fillId="2" borderId="12" xfId="0" applyFont="1" applyFill="1" applyBorder="1" applyAlignment="1">
      <alignment horizontal="center" vertical="top" wrapText="1"/>
    </xf>
    <xf numFmtId="0" fontId="5" fillId="0" borderId="14" xfId="0" applyFont="1" applyFill="1" applyBorder="1" applyAlignment="1">
      <alignment vertical="top" wrapText="1"/>
    </xf>
    <xf numFmtId="0" fontId="5" fillId="0" borderId="56" xfId="0" applyFont="1" applyBorder="1" applyAlignment="1">
      <alignment vertical="top" wrapText="1"/>
    </xf>
    <xf numFmtId="1" fontId="5" fillId="0" borderId="45" xfId="0" applyNumberFormat="1" applyFont="1" applyBorder="1" applyAlignment="1">
      <alignment vertical="top" wrapText="1"/>
    </xf>
    <xf numFmtId="2" fontId="5" fillId="2" borderId="8" xfId="0" applyNumberFormat="1" applyFont="1" applyFill="1" applyBorder="1" applyAlignment="1">
      <alignment horizontal="center" vertical="top" wrapText="1"/>
    </xf>
    <xf numFmtId="2" fontId="5" fillId="2" borderId="2" xfId="0" applyNumberFormat="1" applyFont="1" applyFill="1" applyBorder="1" applyAlignment="1">
      <alignment horizontal="center" vertical="top" wrapText="1"/>
    </xf>
    <xf numFmtId="2" fontId="5" fillId="2" borderId="48" xfId="0" applyNumberFormat="1" applyFont="1" applyFill="1" applyBorder="1" applyAlignment="1">
      <alignment horizontal="center" vertical="top" wrapText="1"/>
    </xf>
    <xf numFmtId="1" fontId="43" fillId="2" borderId="39" xfId="0" applyNumberFormat="1" applyFont="1" applyFill="1" applyBorder="1" applyAlignment="1">
      <alignment horizontal="center" vertical="top" wrapText="1"/>
    </xf>
    <xf numFmtId="1" fontId="5" fillId="14" borderId="4" xfId="0" applyNumberFormat="1" applyFont="1" applyFill="1" applyBorder="1" applyAlignment="1">
      <alignment horizontal="center" vertical="top" wrapText="1"/>
    </xf>
    <xf numFmtId="1" fontId="5" fillId="14" borderId="8" xfId="0" applyNumberFormat="1" applyFont="1" applyFill="1" applyBorder="1" applyAlignment="1">
      <alignment horizontal="center" vertical="top" wrapText="1"/>
    </xf>
    <xf numFmtId="1" fontId="5" fillId="14" borderId="1" xfId="0" applyNumberFormat="1" applyFont="1" applyFill="1" applyBorder="1" applyAlignment="1">
      <alignment horizontal="center" vertical="top" wrapText="1"/>
    </xf>
    <xf numFmtId="1" fontId="5" fillId="2" borderId="57" xfId="0" applyNumberFormat="1" applyFont="1" applyFill="1" applyBorder="1" applyAlignment="1">
      <alignment horizontal="center" vertical="top" wrapText="1"/>
    </xf>
    <xf numFmtId="0" fontId="5" fillId="2" borderId="1" xfId="0" applyNumberFormat="1" applyFont="1" applyFill="1" applyBorder="1" applyAlignment="1">
      <alignment horizontal="center" vertical="top" wrapText="1"/>
    </xf>
    <xf numFmtId="0" fontId="5" fillId="2" borderId="3" xfId="0" applyNumberFormat="1" applyFont="1" applyFill="1" applyBorder="1" applyAlignment="1">
      <alignment horizontal="center" vertical="top" wrapText="1"/>
    </xf>
    <xf numFmtId="2" fontId="5" fillId="2" borderId="9" xfId="0" applyNumberFormat="1" applyFont="1" applyFill="1" applyBorder="1" applyAlignment="1">
      <alignment horizontal="center" vertical="top" wrapText="1"/>
    </xf>
    <xf numFmtId="0" fontId="5" fillId="2" borderId="47" xfId="0" applyNumberFormat="1" applyFont="1" applyFill="1" applyBorder="1" applyAlignment="1">
      <alignment horizontal="center" vertical="top" wrapText="1"/>
    </xf>
    <xf numFmtId="0" fontId="5" fillId="2" borderId="4" xfId="0" applyNumberFormat="1" applyFont="1" applyFill="1" applyBorder="1" applyAlignment="1">
      <alignment horizontal="center" vertical="top" wrapText="1"/>
    </xf>
    <xf numFmtId="2" fontId="5" fillId="2" borderId="13" xfId="0" applyNumberFormat="1" applyFont="1" applyFill="1" applyBorder="1" applyAlignment="1">
      <alignment horizontal="center" vertical="top" wrapText="1"/>
    </xf>
    <xf numFmtId="1" fontId="5" fillId="2" borderId="49" xfId="0" applyNumberFormat="1" applyFont="1" applyFill="1" applyBorder="1" applyAlignment="1">
      <alignment horizontal="center" vertical="top" wrapText="1"/>
    </xf>
    <xf numFmtId="2" fontId="5" fillId="2" borderId="35" xfId="0" applyNumberFormat="1" applyFont="1" applyFill="1" applyBorder="1" applyAlignment="1">
      <alignment horizontal="center" vertical="top" wrapText="1"/>
    </xf>
    <xf numFmtId="1" fontId="5" fillId="0" borderId="0" xfId="0" applyNumberFormat="1" applyFont="1" applyAlignment="1">
      <alignment horizontal="center" vertical="top" wrapText="1"/>
    </xf>
    <xf numFmtId="2" fontId="5" fillId="0" borderId="0" xfId="0" applyNumberFormat="1" applyFont="1" applyAlignment="1">
      <alignment horizontal="center" vertical="top" wrapText="1"/>
    </xf>
    <xf numFmtId="0" fontId="5" fillId="0" borderId="12" xfId="0" applyFont="1" applyBorder="1" applyAlignment="1">
      <alignment horizontal="center" vertical="top" wrapText="1"/>
    </xf>
    <xf numFmtId="0" fontId="5" fillId="0" borderId="6" xfId="0" applyFont="1" applyBorder="1" applyAlignment="1">
      <alignment horizontal="center" vertical="top" wrapText="1"/>
    </xf>
    <xf numFmtId="0" fontId="5" fillId="0" borderId="6" xfId="0" applyFont="1" applyBorder="1" applyAlignment="1">
      <alignment vertical="top" wrapText="1"/>
    </xf>
    <xf numFmtId="0" fontId="5" fillId="0" borderId="46" xfId="0" applyFont="1" applyBorder="1" applyAlignment="1">
      <alignment vertical="top" wrapText="1"/>
    </xf>
    <xf numFmtId="0" fontId="5" fillId="0" borderId="64" xfId="0" applyFont="1" applyBorder="1" applyAlignment="1">
      <alignment vertical="top" wrapText="1"/>
    </xf>
    <xf numFmtId="0" fontId="5" fillId="0" borderId="7" xfId="0" applyFont="1" applyBorder="1" applyAlignment="1">
      <alignment horizontal="center" vertical="top" wrapText="1"/>
    </xf>
    <xf numFmtId="0" fontId="5" fillId="0" borderId="52" xfId="0" applyFont="1" applyBorder="1" applyAlignment="1">
      <alignment horizontal="center" vertical="top" wrapText="1"/>
    </xf>
    <xf numFmtId="0" fontId="5" fillId="0" borderId="11" xfId="0" applyFont="1" applyFill="1" applyBorder="1" applyAlignment="1">
      <alignment vertical="top" wrapText="1"/>
    </xf>
    <xf numFmtId="0" fontId="5" fillId="0" borderId="11" xfId="0" applyFont="1" applyBorder="1" applyAlignment="1">
      <alignment horizontal="left" vertical="top" wrapText="1"/>
    </xf>
    <xf numFmtId="0" fontId="5" fillId="0" borderId="71" xfId="0" applyFont="1" applyFill="1" applyBorder="1" applyAlignment="1">
      <alignment vertical="top" wrapText="1"/>
    </xf>
    <xf numFmtId="0" fontId="5" fillId="0" borderId="17" xfId="0" applyFont="1" applyFill="1" applyBorder="1" applyAlignment="1">
      <alignment horizontal="left" vertical="top" wrapText="1"/>
    </xf>
    <xf numFmtId="0" fontId="5" fillId="0" borderId="12" xfId="0" applyFont="1" applyFill="1" applyBorder="1" applyAlignment="1">
      <alignment horizontal="left" vertical="top" wrapText="1"/>
    </xf>
    <xf numFmtId="0" fontId="23" fillId="0" borderId="11" xfId="0" applyFont="1" applyFill="1" applyBorder="1" applyAlignment="1">
      <alignment vertical="top" wrapText="1"/>
    </xf>
    <xf numFmtId="0" fontId="5" fillId="0" borderId="26" xfId="0" applyFont="1" applyFill="1" applyBorder="1" applyAlignment="1">
      <alignment vertical="top" wrapText="1"/>
    </xf>
    <xf numFmtId="0" fontId="5" fillId="0" borderId="20" xfId="0" applyFont="1" applyFill="1" applyBorder="1" applyAlignment="1">
      <alignment vertical="top" wrapText="1"/>
    </xf>
    <xf numFmtId="2" fontId="5" fillId="5" borderId="5" xfId="0" applyNumberFormat="1" applyFont="1" applyFill="1" applyBorder="1" applyAlignment="1">
      <alignment horizontal="center" vertical="top" wrapText="1"/>
    </xf>
    <xf numFmtId="0" fontId="5" fillId="0" borderId="71" xfId="0" applyNumberFormat="1" applyFont="1" applyFill="1" applyBorder="1" applyAlignment="1">
      <alignment vertical="top" wrapText="1"/>
    </xf>
    <xf numFmtId="0" fontId="5" fillId="0" borderId="34" xfId="0" applyNumberFormat="1" applyFont="1" applyBorder="1" applyAlignment="1">
      <alignment horizontal="left" vertical="top" wrapText="1"/>
    </xf>
    <xf numFmtId="1" fontId="5" fillId="0" borderId="50" xfId="0" applyNumberFormat="1" applyFont="1" applyFill="1" applyBorder="1" applyAlignment="1">
      <alignment horizontal="left" vertical="top" wrapText="1"/>
    </xf>
    <xf numFmtId="1" fontId="5" fillId="0" borderId="41" xfId="0" applyNumberFormat="1" applyFont="1" applyFill="1" applyBorder="1" applyAlignment="1">
      <alignment vertical="top" wrapText="1"/>
    </xf>
    <xf numFmtId="1" fontId="5" fillId="0" borderId="11" xfId="0" applyNumberFormat="1" applyFont="1" applyFill="1" applyBorder="1" applyAlignment="1">
      <alignment horizontal="left" vertical="top" wrapText="1"/>
    </xf>
    <xf numFmtId="1" fontId="5" fillId="0" borderId="56" xfId="0" applyNumberFormat="1" applyFont="1" applyFill="1" applyBorder="1" applyAlignment="1">
      <alignment vertical="top" wrapText="1"/>
    </xf>
    <xf numFmtId="0" fontId="5" fillId="0" borderId="5" xfId="0" applyNumberFormat="1" applyFont="1" applyBorder="1" applyAlignment="1">
      <alignment horizontal="left" vertical="top" wrapText="1"/>
    </xf>
    <xf numFmtId="1" fontId="5" fillId="0" borderId="0" xfId="0" applyNumberFormat="1" applyFont="1" applyFill="1" applyBorder="1" applyAlignment="1">
      <alignment horizontal="center" vertical="top" wrapText="1"/>
    </xf>
    <xf numFmtId="2" fontId="5" fillId="2" borderId="1" xfId="0" applyNumberFormat="1" applyFont="1" applyFill="1" applyBorder="1" applyAlignment="1">
      <alignment horizontal="center" vertical="top" wrapText="1"/>
    </xf>
    <xf numFmtId="2" fontId="5" fillId="2" borderId="47" xfId="0" applyNumberFormat="1" applyFont="1" applyFill="1" applyBorder="1" applyAlignment="1">
      <alignment horizontal="center" vertical="top" wrapText="1"/>
    </xf>
    <xf numFmtId="0" fontId="5" fillId="2" borderId="45" xfId="0" applyNumberFormat="1" applyFont="1" applyFill="1" applyBorder="1" applyAlignment="1">
      <alignment horizontal="center" vertical="top" wrapText="1"/>
    </xf>
    <xf numFmtId="1" fontId="5" fillId="2" borderId="0" xfId="0" applyNumberFormat="1" applyFont="1" applyFill="1" applyBorder="1" applyAlignment="1">
      <alignment horizontal="center" vertical="top" wrapText="1"/>
    </xf>
    <xf numFmtId="2" fontId="5" fillId="16" borderId="22" xfId="0" applyNumberFormat="1" applyFont="1" applyFill="1" applyBorder="1" applyAlignment="1">
      <alignment horizontal="center" vertical="top" wrapText="1"/>
    </xf>
    <xf numFmtId="0" fontId="5" fillId="0" borderId="56" xfId="0" applyFont="1" applyFill="1" applyBorder="1" applyAlignment="1">
      <alignment horizontal="left" vertical="top" wrapText="1"/>
    </xf>
    <xf numFmtId="1" fontId="5" fillId="0" borderId="71" xfId="0" applyNumberFormat="1" applyFont="1" applyFill="1" applyBorder="1" applyAlignment="1">
      <alignment horizontal="left" vertical="top" wrapText="1"/>
    </xf>
    <xf numFmtId="1" fontId="5" fillId="0" borderId="11" xfId="0" applyNumberFormat="1" applyFont="1" applyFill="1" applyBorder="1" applyAlignment="1">
      <alignment vertical="top" wrapText="1"/>
    </xf>
    <xf numFmtId="0" fontId="5" fillId="0" borderId="41" xfId="0" applyNumberFormat="1" applyFont="1" applyFill="1" applyBorder="1" applyAlignment="1">
      <alignment horizontal="left" vertical="top" wrapText="1"/>
    </xf>
    <xf numFmtId="0" fontId="5" fillId="0" borderId="14" xfId="0" applyNumberFormat="1" applyFont="1" applyFill="1" applyBorder="1" applyAlignment="1">
      <alignment horizontal="left" vertical="top" wrapText="1"/>
    </xf>
    <xf numFmtId="0" fontId="5" fillId="0" borderId="15" xfId="0" applyNumberFormat="1" applyFont="1" applyFill="1" applyBorder="1" applyAlignment="1">
      <alignment horizontal="left" vertical="top" wrapText="1"/>
    </xf>
    <xf numFmtId="0" fontId="5" fillId="0" borderId="36" xfId="0" applyNumberFormat="1" applyFont="1" applyFill="1" applyBorder="1" applyAlignment="1">
      <alignment horizontal="left" vertical="top" wrapText="1"/>
    </xf>
    <xf numFmtId="0" fontId="5" fillId="0" borderId="16" xfId="0" applyNumberFormat="1" applyFont="1" applyFill="1" applyBorder="1" applyAlignment="1">
      <alignment horizontal="left" vertical="top" wrapText="1"/>
    </xf>
    <xf numFmtId="1" fontId="5" fillId="0" borderId="46" xfId="0" applyNumberFormat="1" applyFont="1" applyFill="1" applyBorder="1" applyAlignment="1">
      <alignment vertical="top" wrapText="1"/>
    </xf>
    <xf numFmtId="2" fontId="5" fillId="5" borderId="64" xfId="0" applyNumberFormat="1" applyFont="1" applyFill="1" applyBorder="1" applyAlignment="1">
      <alignment horizontal="center" vertical="top"/>
    </xf>
    <xf numFmtId="1" fontId="5" fillId="2" borderId="14" xfId="0" applyNumberFormat="1" applyFont="1" applyFill="1" applyBorder="1" applyAlignment="1">
      <alignment horizontal="center" vertical="top" wrapText="1"/>
    </xf>
    <xf numFmtId="1" fontId="5" fillId="2" borderId="15" xfId="0" applyNumberFormat="1" applyFont="1" applyFill="1" applyBorder="1" applyAlignment="1">
      <alignment horizontal="center" vertical="top" wrapText="1"/>
    </xf>
    <xf numFmtId="2" fontId="5" fillId="2" borderId="13" xfId="0" applyNumberFormat="1" applyFont="1" applyFill="1" applyBorder="1" applyAlignment="1">
      <alignment horizontal="center" vertical="top"/>
    </xf>
    <xf numFmtId="1" fontId="5" fillId="2" borderId="7" xfId="0" applyNumberFormat="1" applyFont="1" applyFill="1" applyBorder="1" applyAlignment="1">
      <alignment horizontal="center" vertical="top"/>
    </xf>
    <xf numFmtId="2" fontId="5" fillId="2" borderId="39" xfId="0" applyNumberFormat="1" applyFont="1" applyFill="1" applyBorder="1" applyAlignment="1">
      <alignment horizontal="center" vertical="top"/>
    </xf>
    <xf numFmtId="2" fontId="5" fillId="2" borderId="4" xfId="0" applyNumberFormat="1" applyFont="1" applyFill="1" applyBorder="1" applyAlignment="1">
      <alignment horizontal="center" vertical="top"/>
    </xf>
    <xf numFmtId="1" fontId="5" fillId="2" borderId="45" xfId="0" applyNumberFormat="1" applyFont="1" applyFill="1" applyBorder="1" applyAlignment="1">
      <alignment horizontal="center" vertical="top"/>
    </xf>
    <xf numFmtId="1" fontId="5" fillId="2" borderId="13" xfId="0" applyNumberFormat="1" applyFont="1" applyFill="1" applyBorder="1" applyAlignment="1">
      <alignment horizontal="center" vertical="top"/>
    </xf>
    <xf numFmtId="0" fontId="5" fillId="0" borderId="34" xfId="0" applyFont="1" applyBorder="1" applyAlignment="1">
      <alignment vertical="top" wrapText="1"/>
    </xf>
    <xf numFmtId="0" fontId="5" fillId="0" borderId="53" xfId="0" applyFont="1" applyBorder="1" applyAlignment="1">
      <alignment horizontal="left" vertical="top" wrapText="1"/>
    </xf>
    <xf numFmtId="1" fontId="5" fillId="0" borderId="14" xfId="0" applyNumberFormat="1" applyFont="1" applyBorder="1" applyAlignment="1">
      <alignment horizontal="left" vertical="top" wrapText="1"/>
    </xf>
    <xf numFmtId="0" fontId="5" fillId="0" borderId="45" xfId="0" applyFont="1" applyBorder="1" applyAlignment="1">
      <alignment vertical="top"/>
    </xf>
    <xf numFmtId="1" fontId="5" fillId="0" borderId="41" xfId="0" applyNumberFormat="1" applyFont="1" applyBorder="1" applyAlignment="1">
      <alignment horizontal="left" vertical="top" wrapText="1"/>
    </xf>
    <xf numFmtId="1" fontId="5" fillId="2" borderId="12" xfId="0" applyNumberFormat="1" applyFont="1" applyFill="1" applyBorder="1" applyAlignment="1">
      <alignment horizontal="center" vertical="top"/>
    </xf>
    <xf numFmtId="2" fontId="5" fillId="2" borderId="14" xfId="0" applyNumberFormat="1" applyFont="1" applyFill="1" applyBorder="1" applyAlignment="1">
      <alignment horizontal="center" vertical="top" wrapText="1"/>
    </xf>
    <xf numFmtId="2" fontId="5" fillId="2" borderId="15" xfId="0" applyNumberFormat="1" applyFont="1" applyFill="1" applyBorder="1" applyAlignment="1">
      <alignment horizontal="center" vertical="top" wrapText="1"/>
    </xf>
    <xf numFmtId="2" fontId="5" fillId="2" borderId="58" xfId="0" applyNumberFormat="1" applyFont="1" applyFill="1" applyBorder="1" applyAlignment="1">
      <alignment horizontal="center" vertical="top" wrapText="1"/>
    </xf>
    <xf numFmtId="0" fontId="5" fillId="0" borderId="6" xfId="0" applyFont="1" applyBorder="1" applyAlignment="1">
      <alignment vertical="top" wrapText="1"/>
    </xf>
    <xf numFmtId="0" fontId="5" fillId="0" borderId="13" xfId="0" applyFont="1" applyBorder="1" applyAlignment="1">
      <alignment horizontal="left" vertical="top" wrapText="1"/>
    </xf>
    <xf numFmtId="0" fontId="5" fillId="0" borderId="46" xfId="0" applyFont="1" applyBorder="1" applyAlignment="1">
      <alignment horizontal="left" vertical="top" wrapText="1"/>
    </xf>
    <xf numFmtId="0" fontId="5" fillId="0" borderId="0" xfId="0" applyFont="1" applyAlignment="1">
      <alignment horizontal="center" vertical="top" wrapText="1"/>
    </xf>
    <xf numFmtId="0" fontId="5" fillId="0" borderId="23" xfId="0" applyFont="1" applyBorder="1" applyAlignment="1">
      <alignment vertical="top" wrapText="1"/>
    </xf>
    <xf numFmtId="0" fontId="5" fillId="0" borderId="68" xfId="0" applyFont="1" applyBorder="1" applyAlignment="1">
      <alignment horizontal="left" vertical="top" wrapText="1"/>
    </xf>
    <xf numFmtId="1" fontId="5" fillId="0" borderId="46" xfId="0" applyNumberFormat="1" applyFont="1" applyBorder="1" applyAlignment="1">
      <alignment horizontal="left" vertical="top" wrapText="1"/>
    </xf>
    <xf numFmtId="0" fontId="5" fillId="0" borderId="71" xfId="0" applyFont="1" applyBorder="1" applyAlignment="1">
      <alignment horizontal="left" vertical="top" wrapText="1"/>
    </xf>
    <xf numFmtId="1" fontId="5" fillId="0" borderId="0" xfId="0" applyNumberFormat="1" applyFont="1" applyFill="1" applyBorder="1" applyAlignment="1">
      <alignment horizontal="center" vertical="top" wrapText="1"/>
    </xf>
    <xf numFmtId="1" fontId="5" fillId="0" borderId="71" xfId="0" applyNumberFormat="1" applyFont="1" applyBorder="1" applyAlignment="1">
      <alignment horizontal="left" vertical="top" wrapText="1"/>
    </xf>
    <xf numFmtId="1" fontId="5" fillId="0" borderId="12" xfId="0" applyNumberFormat="1" applyFont="1" applyBorder="1" applyAlignment="1">
      <alignment horizontal="left" vertical="top" wrapText="1"/>
    </xf>
    <xf numFmtId="1" fontId="5" fillId="0" borderId="6" xfId="0" applyNumberFormat="1" applyFont="1" applyBorder="1" applyAlignment="1">
      <alignment horizontal="left" vertical="top" wrapText="1"/>
    </xf>
    <xf numFmtId="1" fontId="5" fillId="0" borderId="17" xfId="0" applyNumberFormat="1" applyFont="1" applyBorder="1" applyAlignment="1">
      <alignment horizontal="left" vertical="top" wrapText="1"/>
    </xf>
    <xf numFmtId="1" fontId="5" fillId="0" borderId="53" xfId="0" applyNumberFormat="1" applyFont="1" applyBorder="1" applyAlignment="1">
      <alignment vertical="top" wrapText="1"/>
    </xf>
    <xf numFmtId="49" fontId="5" fillId="0" borderId="12" xfId="0" applyNumberFormat="1" applyFont="1" applyBorder="1" applyAlignment="1">
      <alignment vertical="top" wrapText="1"/>
    </xf>
    <xf numFmtId="49" fontId="5" fillId="0" borderId="6" xfId="0" applyNumberFormat="1" applyFont="1" applyBorder="1" applyAlignment="1">
      <alignment vertical="top" wrapText="1"/>
    </xf>
    <xf numFmtId="49" fontId="5" fillId="0" borderId="6" xfId="0" applyNumberFormat="1" applyFont="1" applyBorder="1">
      <alignment vertical="top"/>
    </xf>
    <xf numFmtId="49" fontId="5" fillId="0" borderId="50" xfId="0" applyNumberFormat="1" applyFont="1" applyFill="1" applyBorder="1" applyAlignment="1">
      <alignment vertical="top" wrapText="1"/>
    </xf>
    <xf numFmtId="49" fontId="5" fillId="0" borderId="18" xfId="0" applyNumberFormat="1" applyFont="1" applyBorder="1" applyAlignment="1">
      <alignment vertical="top" wrapText="1"/>
    </xf>
    <xf numFmtId="49" fontId="5" fillId="0" borderId="21" xfId="0" applyNumberFormat="1" applyFont="1" applyBorder="1" applyAlignment="1">
      <alignment vertical="top" wrapText="1"/>
    </xf>
    <xf numFmtId="49" fontId="5" fillId="0" borderId="42" xfId="0" applyNumberFormat="1" applyFont="1" applyBorder="1" applyAlignment="1">
      <alignment vertical="top" wrapText="1"/>
    </xf>
    <xf numFmtId="1" fontId="5" fillId="2" borderId="56" xfId="0" applyNumberFormat="1" applyFont="1" applyFill="1" applyBorder="1" applyAlignment="1">
      <alignment horizontal="center" vertical="top" wrapText="1"/>
    </xf>
    <xf numFmtId="0" fontId="5" fillId="2" borderId="44" xfId="0" applyNumberFormat="1" applyFont="1" applyFill="1" applyBorder="1" applyAlignment="1">
      <alignment horizontal="center" vertical="top" wrapText="1"/>
    </xf>
    <xf numFmtId="0" fontId="5" fillId="0" borderId="14" xfId="0" applyFont="1" applyBorder="1" applyAlignment="1">
      <alignment vertical="top" wrapText="1"/>
    </xf>
    <xf numFmtId="0" fontId="5" fillId="2" borderId="2" xfId="0" applyFont="1" applyFill="1" applyBorder="1" applyAlignment="1">
      <alignment horizontal="center" vertical="top" wrapText="1"/>
    </xf>
    <xf numFmtId="0" fontId="5" fillId="2" borderId="48" xfId="0" applyFont="1" applyFill="1" applyBorder="1" applyAlignment="1">
      <alignment horizontal="center" vertical="top" wrapText="1"/>
    </xf>
    <xf numFmtId="1" fontId="5" fillId="2" borderId="27" xfId="0" applyNumberFormat="1" applyFont="1" applyFill="1" applyBorder="1" applyAlignment="1">
      <alignment horizontal="center" vertical="top" wrapText="1"/>
    </xf>
    <xf numFmtId="1" fontId="5" fillId="2" borderId="40" xfId="0" applyNumberFormat="1" applyFont="1" applyFill="1" applyBorder="1" applyAlignment="1">
      <alignment horizontal="center" vertical="top" wrapText="1"/>
    </xf>
    <xf numFmtId="2" fontId="5" fillId="7" borderId="42" xfId="0" applyNumberFormat="1" applyFont="1" applyFill="1" applyBorder="1" applyAlignment="1">
      <alignment horizontal="center" vertical="top" wrapText="1"/>
    </xf>
    <xf numFmtId="2" fontId="5" fillId="7" borderId="5" xfId="0" applyNumberFormat="1" applyFont="1" applyFill="1" applyBorder="1" applyAlignment="1">
      <alignment horizontal="center" vertical="top" wrapText="1"/>
    </xf>
    <xf numFmtId="2" fontId="5" fillId="0" borderId="0" xfId="0" applyNumberFormat="1" applyFont="1" applyFill="1" applyBorder="1" applyAlignment="1">
      <alignment horizontal="center" vertical="top" wrapText="1"/>
    </xf>
    <xf numFmtId="2" fontId="5" fillId="0" borderId="0" xfId="0" applyNumberFormat="1" applyFont="1" applyBorder="1" applyAlignment="1">
      <alignment horizontal="center" vertical="top" wrapText="1"/>
    </xf>
    <xf numFmtId="0" fontId="5" fillId="2" borderId="39" xfId="0" applyNumberFormat="1" applyFont="1" applyFill="1" applyBorder="1" applyAlignment="1">
      <alignment horizontal="center" vertical="top" wrapText="1"/>
    </xf>
    <xf numFmtId="0" fontId="5" fillId="2" borderId="52" xfId="0" applyNumberFormat="1" applyFont="1" applyFill="1" applyBorder="1" applyAlignment="1">
      <alignment horizontal="center" vertical="top" wrapText="1"/>
    </xf>
    <xf numFmtId="1" fontId="5" fillId="2" borderId="52" xfId="0" applyNumberFormat="1" applyFont="1" applyFill="1" applyBorder="1" applyAlignment="1">
      <alignment horizontal="center" vertical="top"/>
    </xf>
    <xf numFmtId="2" fontId="5" fillId="2" borderId="35" xfId="0" applyNumberFormat="1" applyFont="1" applyFill="1" applyBorder="1" applyAlignment="1">
      <alignment horizontal="center" vertical="top"/>
    </xf>
    <xf numFmtId="2" fontId="5" fillId="2" borderId="58" xfId="0" applyNumberFormat="1" applyFont="1" applyFill="1" applyBorder="1" applyAlignment="1">
      <alignment horizontal="center" vertical="top"/>
    </xf>
    <xf numFmtId="1" fontId="5" fillId="0" borderId="0" xfId="0" applyNumberFormat="1" applyFont="1" applyBorder="1" applyAlignment="1">
      <alignment horizontal="center" vertical="top" wrapText="1"/>
    </xf>
    <xf numFmtId="1" fontId="5" fillId="0" borderId="0" xfId="0" applyNumberFormat="1" applyFont="1" applyFill="1" applyBorder="1" applyAlignment="1">
      <alignment horizontal="center" vertical="top"/>
    </xf>
    <xf numFmtId="2" fontId="5" fillId="0" borderId="0" xfId="0" applyNumberFormat="1" applyFont="1" applyFill="1" applyBorder="1" applyAlignment="1">
      <alignment horizontal="center" vertical="top"/>
    </xf>
    <xf numFmtId="1" fontId="5" fillId="2" borderId="0" xfId="0" applyNumberFormat="1" applyFont="1" applyFill="1" applyBorder="1" applyAlignment="1">
      <alignment horizontal="center" vertical="top"/>
    </xf>
    <xf numFmtId="2" fontId="5" fillId="2" borderId="0" xfId="0" applyNumberFormat="1" applyFont="1" applyFill="1" applyBorder="1" applyAlignment="1">
      <alignment horizontal="center" vertical="top"/>
    </xf>
    <xf numFmtId="0" fontId="5" fillId="0" borderId="45" xfId="0" applyFont="1" applyFill="1" applyBorder="1" applyAlignment="1">
      <alignment horizontal="center" vertical="top" wrapText="1"/>
    </xf>
    <xf numFmtId="2" fontId="5" fillId="2" borderId="28" xfId="0" applyNumberFormat="1" applyFont="1" applyFill="1" applyBorder="1" applyAlignment="1">
      <alignment horizontal="center" vertical="top" wrapText="1"/>
    </xf>
    <xf numFmtId="2" fontId="5" fillId="2" borderId="27" xfId="0" applyNumberFormat="1" applyFont="1" applyFill="1" applyBorder="1" applyAlignment="1">
      <alignment horizontal="center" vertical="top" wrapText="1"/>
    </xf>
    <xf numFmtId="2" fontId="5" fillId="2" borderId="40" xfId="0" applyNumberFormat="1" applyFont="1" applyFill="1" applyBorder="1" applyAlignment="1">
      <alignment horizontal="center" vertical="top" wrapText="1"/>
    </xf>
    <xf numFmtId="0" fontId="5" fillId="2" borderId="6" xfId="0" applyFont="1" applyFill="1" applyBorder="1" applyAlignment="1">
      <alignment horizontal="center" vertical="top" wrapText="1"/>
    </xf>
    <xf numFmtId="0" fontId="26" fillId="2" borderId="1" xfId="0" applyNumberFormat="1" applyFont="1" applyFill="1" applyBorder="1" applyAlignment="1">
      <alignment horizontal="center" vertical="top" wrapText="1"/>
    </xf>
    <xf numFmtId="0" fontId="26" fillId="2" borderId="47" xfId="0" applyNumberFormat="1" applyFont="1" applyFill="1" applyBorder="1" applyAlignment="1">
      <alignment horizontal="center" vertical="top" wrapText="1"/>
    </xf>
    <xf numFmtId="1" fontId="5" fillId="2" borderId="2" xfId="0" applyNumberFormat="1" applyFont="1" applyFill="1" applyBorder="1" applyAlignment="1">
      <alignment horizontal="center" vertical="top"/>
    </xf>
    <xf numFmtId="1" fontId="5" fillId="2" borderId="48" xfId="0" applyNumberFormat="1" applyFont="1" applyFill="1" applyBorder="1" applyAlignment="1">
      <alignment horizontal="center" vertical="top"/>
    </xf>
    <xf numFmtId="2" fontId="5" fillId="13" borderId="34" xfId="0" applyNumberFormat="1" applyFont="1" applyFill="1" applyBorder="1" applyAlignment="1">
      <alignment horizontal="center" vertical="top"/>
    </xf>
    <xf numFmtId="1" fontId="5" fillId="2" borderId="14" xfId="0" applyNumberFormat="1" applyFont="1" applyFill="1" applyBorder="1" applyAlignment="1">
      <alignment horizontal="center" vertical="top"/>
    </xf>
    <xf numFmtId="2" fontId="26" fillId="0" borderId="34" xfId="0" applyNumberFormat="1" applyFont="1" applyFill="1" applyBorder="1" applyAlignment="1">
      <alignment vertical="top" wrapText="1"/>
    </xf>
    <xf numFmtId="2" fontId="26" fillId="0" borderId="41" xfId="0" applyNumberFormat="1" applyFont="1" applyBorder="1" applyAlignment="1">
      <alignment vertical="top" wrapText="1"/>
    </xf>
    <xf numFmtId="2" fontId="26" fillId="0" borderId="12" xfId="0" applyNumberFormat="1" applyFont="1" applyBorder="1" applyAlignment="1">
      <alignment vertical="top" wrapText="1"/>
    </xf>
    <xf numFmtId="2" fontId="26" fillId="0" borderId="6" xfId="0" applyNumberFormat="1" applyFont="1" applyBorder="1" applyAlignment="1">
      <alignment vertical="top" wrapText="1"/>
    </xf>
    <xf numFmtId="2" fontId="26" fillId="0" borderId="50" xfId="0" applyNumberFormat="1" applyFont="1" applyBorder="1" applyAlignment="1">
      <alignment vertical="top" wrapText="1"/>
    </xf>
    <xf numFmtId="2" fontId="26" fillId="0" borderId="71" xfId="0" applyNumberFormat="1" applyFont="1" applyBorder="1" applyAlignment="1">
      <alignment vertical="top" wrapText="1"/>
    </xf>
    <xf numFmtId="2" fontId="26" fillId="0" borderId="17" xfId="0" applyNumberFormat="1" applyFont="1" applyBorder="1" applyAlignment="1">
      <alignment vertical="top" wrapText="1"/>
    </xf>
    <xf numFmtId="0" fontId="26" fillId="0" borderId="41" xfId="0" applyFont="1" applyBorder="1" applyAlignment="1">
      <alignment vertical="top" wrapText="1"/>
    </xf>
    <xf numFmtId="0" fontId="26" fillId="0" borderId="6" xfId="0" applyFont="1" applyBorder="1" applyAlignment="1">
      <alignment vertical="top" wrapText="1"/>
    </xf>
    <xf numFmtId="0" fontId="26" fillId="0" borderId="50" xfId="0" applyFont="1" applyBorder="1" applyAlignment="1">
      <alignment vertical="top" wrapText="1"/>
    </xf>
    <xf numFmtId="1" fontId="26" fillId="0" borderId="41" xfId="0" applyNumberFormat="1" applyFont="1" applyBorder="1" applyAlignment="1">
      <alignment vertical="top" wrapText="1"/>
    </xf>
    <xf numFmtId="1" fontId="26" fillId="0" borderId="12" xfId="0" applyNumberFormat="1" applyFont="1" applyBorder="1" applyAlignment="1">
      <alignment vertical="top" wrapText="1"/>
    </xf>
    <xf numFmtId="1" fontId="26" fillId="0" borderId="6" xfId="0" applyNumberFormat="1" applyFont="1" applyBorder="1" applyAlignment="1">
      <alignment vertical="top" wrapText="1"/>
    </xf>
    <xf numFmtId="1" fontId="26" fillId="0" borderId="41" xfId="0" applyNumberFormat="1" applyFont="1" applyBorder="1" applyAlignment="1">
      <alignment horizontal="left" vertical="top" wrapText="1"/>
    </xf>
    <xf numFmtId="0" fontId="26" fillId="0" borderId="71" xfId="0" applyFont="1" applyFill="1" applyBorder="1" applyAlignment="1">
      <alignment vertical="top" wrapText="1"/>
    </xf>
    <xf numFmtId="0" fontId="26" fillId="0" borderId="17" xfId="0" applyFont="1" applyFill="1" applyBorder="1" applyAlignment="1">
      <alignment vertical="top" wrapText="1"/>
    </xf>
    <xf numFmtId="2" fontId="26" fillId="0" borderId="41" xfId="0" applyNumberFormat="1" applyFont="1" applyFill="1" applyBorder="1" applyAlignment="1">
      <alignment vertical="top" wrapText="1"/>
    </xf>
    <xf numFmtId="2" fontId="26" fillId="0" borderId="11" xfId="0" applyNumberFormat="1" applyFont="1" applyFill="1" applyBorder="1" applyAlignment="1">
      <alignment vertical="top" wrapText="1"/>
    </xf>
    <xf numFmtId="2" fontId="26" fillId="0" borderId="17" xfId="0" applyNumberFormat="1" applyFont="1" applyFill="1" applyBorder="1" applyAlignment="1">
      <alignment vertical="top" wrapText="1"/>
    </xf>
    <xf numFmtId="2" fontId="26" fillId="0" borderId="50" xfId="0" applyNumberFormat="1" applyFont="1" applyFill="1" applyBorder="1" applyAlignment="1">
      <alignment vertical="top" wrapText="1"/>
    </xf>
    <xf numFmtId="1" fontId="26" fillId="0" borderId="14" xfId="0" applyNumberFormat="1" applyFont="1" applyBorder="1" applyAlignment="1">
      <alignment horizontal="left" vertical="top" wrapText="1"/>
    </xf>
    <xf numFmtId="1" fontId="26" fillId="0" borderId="17" xfId="0" applyNumberFormat="1" applyFont="1" applyFill="1" applyBorder="1" applyAlignment="1">
      <alignment vertical="top" wrapText="1"/>
    </xf>
    <xf numFmtId="1" fontId="26" fillId="0" borderId="50" xfId="0" applyNumberFormat="1" applyFont="1" applyFill="1" applyBorder="1" applyAlignment="1">
      <alignment vertical="top" wrapText="1"/>
    </xf>
    <xf numFmtId="1" fontId="26" fillId="0" borderId="50" xfId="0" applyNumberFormat="1" applyFont="1" applyBorder="1" applyAlignment="1">
      <alignment vertical="top" wrapText="1"/>
    </xf>
    <xf numFmtId="2" fontId="26" fillId="0" borderId="71" xfId="0" applyNumberFormat="1" applyFont="1" applyFill="1" applyBorder="1" applyAlignment="1">
      <alignment vertical="top" wrapText="1"/>
    </xf>
    <xf numFmtId="2" fontId="26" fillId="0" borderId="12" xfId="0" applyNumberFormat="1" applyFont="1" applyFill="1" applyBorder="1" applyAlignment="1">
      <alignment vertical="top" wrapText="1"/>
    </xf>
    <xf numFmtId="2" fontId="26" fillId="0" borderId="6" xfId="0" applyNumberFormat="1" applyFont="1" applyFill="1" applyBorder="1" applyAlignment="1">
      <alignment vertical="top" wrapText="1"/>
    </xf>
    <xf numFmtId="2" fontId="26" fillId="0" borderId="53" xfId="0" applyNumberFormat="1" applyFont="1" applyFill="1" applyBorder="1" applyAlignment="1">
      <alignment vertical="top" wrapText="1"/>
    </xf>
    <xf numFmtId="0" fontId="26" fillId="0" borderId="45" xfId="0" applyFont="1" applyBorder="1" applyAlignment="1">
      <alignment vertical="top" wrapText="1"/>
    </xf>
    <xf numFmtId="2" fontId="26" fillId="0" borderId="56" xfId="0" applyNumberFormat="1" applyFont="1" applyBorder="1" applyAlignment="1">
      <alignment vertical="top" wrapText="1"/>
    </xf>
    <xf numFmtId="1" fontId="26" fillId="0" borderId="52" xfId="0" applyNumberFormat="1" applyFont="1" applyBorder="1" applyAlignment="1">
      <alignment horizontal="center" vertical="top" wrapText="1"/>
    </xf>
    <xf numFmtId="2" fontId="26" fillId="5" borderId="34" xfId="0" applyNumberFormat="1" applyFont="1" applyFill="1" applyBorder="1" applyAlignment="1">
      <alignment horizontal="center" vertical="top"/>
    </xf>
    <xf numFmtId="2" fontId="26" fillId="2" borderId="8" xfId="0" applyNumberFormat="1" applyFont="1" applyFill="1" applyBorder="1" applyAlignment="1">
      <alignment horizontal="center" vertical="top"/>
    </xf>
    <xf numFmtId="2" fontId="26" fillId="2" borderId="2" xfId="0" applyNumberFormat="1" applyFont="1" applyFill="1" applyBorder="1" applyAlignment="1">
      <alignment horizontal="center" vertical="top"/>
    </xf>
    <xf numFmtId="2" fontId="26" fillId="2" borderId="48" xfId="0" applyNumberFormat="1" applyFont="1" applyFill="1" applyBorder="1" applyAlignment="1">
      <alignment horizontal="center" vertical="top"/>
    </xf>
    <xf numFmtId="1" fontId="26" fillId="2" borderId="4" xfId="0" applyNumberFormat="1" applyFont="1" applyFill="1" applyBorder="1" applyAlignment="1">
      <alignment horizontal="center" vertical="top" wrapText="1"/>
    </xf>
    <xf numFmtId="2" fontId="26" fillId="5" borderId="22" xfId="0" applyNumberFormat="1" applyFont="1" applyFill="1" applyBorder="1" applyAlignment="1">
      <alignment horizontal="center" vertical="top" wrapText="1"/>
    </xf>
    <xf numFmtId="1" fontId="26" fillId="2" borderId="3" xfId="0" applyNumberFormat="1" applyFont="1" applyFill="1" applyBorder="1" applyAlignment="1">
      <alignment horizontal="center" vertical="top" wrapText="1"/>
    </xf>
    <xf numFmtId="2" fontId="26" fillId="2" borderId="9" xfId="0" applyNumberFormat="1" applyFont="1" applyFill="1" applyBorder="1" applyAlignment="1">
      <alignment horizontal="center" vertical="top"/>
    </xf>
    <xf numFmtId="1" fontId="26" fillId="2" borderId="35" xfId="0" applyNumberFormat="1" applyFont="1" applyFill="1" applyBorder="1" applyAlignment="1">
      <alignment horizontal="center" vertical="top"/>
    </xf>
    <xf numFmtId="1" fontId="26" fillId="2" borderId="8" xfId="0" applyNumberFormat="1" applyFont="1" applyFill="1" applyBorder="1" applyAlignment="1">
      <alignment horizontal="center" vertical="top"/>
    </xf>
    <xf numFmtId="2" fontId="26" fillId="5" borderId="22" xfId="0" applyNumberFormat="1" applyFont="1" applyFill="1" applyBorder="1" applyAlignment="1">
      <alignment horizontal="center" vertical="top"/>
    </xf>
    <xf numFmtId="2" fontId="26" fillId="16" borderId="34" xfId="0" applyNumberFormat="1" applyFont="1" applyFill="1" applyBorder="1" applyAlignment="1">
      <alignment horizontal="center" vertical="top"/>
    </xf>
    <xf numFmtId="2" fontId="26" fillId="2" borderId="27" xfId="0" applyNumberFormat="1" applyFont="1" applyFill="1" applyBorder="1" applyAlignment="1">
      <alignment horizontal="center" vertical="top"/>
    </xf>
    <xf numFmtId="2" fontId="26" fillId="2" borderId="40" xfId="0" applyNumberFormat="1" applyFont="1" applyFill="1" applyBorder="1" applyAlignment="1">
      <alignment horizontal="center" vertical="top"/>
    </xf>
    <xf numFmtId="1" fontId="26" fillId="2" borderId="50" xfId="0" applyNumberFormat="1" applyFont="1" applyFill="1" applyBorder="1" applyAlignment="1">
      <alignment horizontal="center" vertical="top" wrapText="1"/>
    </xf>
    <xf numFmtId="2" fontId="26" fillId="2" borderId="47" xfId="0" applyNumberFormat="1" applyFont="1" applyFill="1" applyBorder="1" applyAlignment="1">
      <alignment horizontal="center" vertical="top" wrapText="1"/>
    </xf>
    <xf numFmtId="2" fontId="26" fillId="2" borderId="48" xfId="0" applyNumberFormat="1" applyFont="1" applyFill="1" applyBorder="1" applyAlignment="1">
      <alignment horizontal="center" vertical="top" wrapText="1"/>
    </xf>
    <xf numFmtId="1" fontId="26" fillId="2" borderId="12" xfId="0" applyNumberFormat="1" applyFont="1" applyFill="1" applyBorder="1" applyAlignment="1">
      <alignment horizontal="center" vertical="top" wrapText="1"/>
    </xf>
    <xf numFmtId="2" fontId="26" fillId="2" borderId="9" xfId="0" applyNumberFormat="1" applyFont="1" applyFill="1" applyBorder="1" applyAlignment="1">
      <alignment horizontal="center" vertical="top" wrapText="1"/>
    </xf>
    <xf numFmtId="2" fontId="26" fillId="5" borderId="34" xfId="0" applyNumberFormat="1" applyFont="1" applyFill="1" applyBorder="1" applyAlignment="1">
      <alignment horizontal="center" vertical="top" wrapText="1"/>
    </xf>
    <xf numFmtId="1" fontId="26" fillId="2" borderId="66" xfId="0" applyNumberFormat="1" applyFont="1" applyFill="1" applyBorder="1" applyAlignment="1">
      <alignment horizontal="center" vertical="top" wrapText="1"/>
    </xf>
    <xf numFmtId="1" fontId="26" fillId="2" borderId="13" xfId="0" applyNumberFormat="1" applyFont="1" applyFill="1" applyBorder="1" applyAlignment="1">
      <alignment horizontal="center" vertical="top"/>
    </xf>
    <xf numFmtId="1" fontId="26" fillId="2" borderId="44" xfId="0" applyNumberFormat="1" applyFont="1" applyFill="1" applyBorder="1" applyAlignment="1">
      <alignment horizontal="center" vertical="top" wrapText="1"/>
    </xf>
    <xf numFmtId="2" fontId="26" fillId="7" borderId="34" xfId="0" applyNumberFormat="1" applyFont="1" applyFill="1" applyBorder="1" applyAlignment="1">
      <alignment horizontal="center" vertical="top"/>
    </xf>
    <xf numFmtId="1" fontId="26" fillId="0" borderId="0" xfId="0" applyNumberFormat="1" applyFont="1" applyBorder="1" applyAlignment="1">
      <alignment horizontal="center" vertical="top"/>
    </xf>
    <xf numFmtId="1" fontId="26" fillId="0" borderId="0" xfId="0" applyNumberFormat="1" applyFont="1" applyAlignment="1">
      <alignment horizontal="center" vertical="top"/>
    </xf>
    <xf numFmtId="2" fontId="26" fillId="0" borderId="0" xfId="0" applyNumberFormat="1" applyFont="1" applyAlignment="1">
      <alignment horizontal="center" vertical="top"/>
    </xf>
    <xf numFmtId="1" fontId="26" fillId="0" borderId="0" xfId="0" applyNumberFormat="1" applyFont="1" applyBorder="1" applyAlignment="1">
      <alignment horizontal="center" vertical="top" wrapText="1"/>
    </xf>
    <xf numFmtId="2" fontId="26" fillId="0" borderId="0" xfId="0" applyNumberFormat="1" applyFont="1" applyBorder="1" applyAlignment="1">
      <alignment horizontal="center" vertical="top"/>
    </xf>
    <xf numFmtId="1" fontId="23" fillId="0" borderId="13" xfId="0" applyNumberFormat="1" applyFont="1" applyBorder="1" applyAlignment="1">
      <alignment vertical="top" wrapText="1"/>
    </xf>
    <xf numFmtId="1" fontId="23" fillId="0" borderId="41" xfId="0" applyNumberFormat="1" applyFont="1" applyBorder="1" applyAlignment="1">
      <alignment vertical="top" wrapText="1"/>
    </xf>
    <xf numFmtId="1" fontId="23" fillId="0" borderId="11" xfId="0" applyNumberFormat="1" applyFont="1" applyBorder="1" applyAlignment="1">
      <alignment vertical="top" wrapText="1"/>
    </xf>
    <xf numFmtId="1" fontId="23" fillId="0" borderId="17" xfId="0" applyNumberFormat="1" applyFont="1" applyBorder="1" applyAlignment="1">
      <alignment vertical="top" wrapText="1"/>
    </xf>
    <xf numFmtId="1" fontId="23" fillId="0" borderId="50" xfId="0" applyNumberFormat="1" applyFont="1" applyBorder="1" applyAlignment="1">
      <alignment vertical="top" wrapText="1"/>
    </xf>
    <xf numFmtId="0" fontId="23" fillId="0" borderId="41" xfId="0" applyFont="1" applyFill="1" applyBorder="1" applyAlignment="1">
      <alignment vertical="top" wrapText="1"/>
    </xf>
    <xf numFmtId="0" fontId="23" fillId="0" borderId="12" xfId="0" applyFont="1" applyFill="1" applyBorder="1" applyAlignment="1">
      <alignment vertical="top" wrapText="1"/>
    </xf>
    <xf numFmtId="0" fontId="23" fillId="0" borderId="6" xfId="0" applyFont="1" applyFill="1" applyBorder="1" applyAlignment="1">
      <alignment vertical="top" wrapText="1"/>
    </xf>
    <xf numFmtId="0" fontId="23" fillId="0" borderId="50" xfId="0" applyFont="1" applyFill="1" applyBorder="1" applyAlignment="1">
      <alignment vertical="top" wrapText="1"/>
    </xf>
    <xf numFmtId="0" fontId="23" fillId="0" borderId="71" xfId="0" applyFont="1" applyBorder="1" applyAlignment="1">
      <alignment vertical="top" wrapText="1"/>
    </xf>
    <xf numFmtId="0" fontId="23" fillId="0" borderId="17" xfId="0" applyFont="1" applyBorder="1" applyAlignment="1">
      <alignment vertical="top" wrapText="1"/>
    </xf>
    <xf numFmtId="0" fontId="23" fillId="0" borderId="17" xfId="0" applyFont="1" applyFill="1" applyBorder="1" applyAlignment="1">
      <alignment vertical="top" wrapText="1"/>
    </xf>
    <xf numFmtId="0" fontId="23" fillId="0" borderId="41" xfId="0" applyFont="1" applyBorder="1" applyAlignment="1">
      <alignment vertical="top" wrapText="1"/>
    </xf>
    <xf numFmtId="0" fontId="23" fillId="0" borderId="50" xfId="0" applyFont="1" applyBorder="1" applyAlignment="1">
      <alignment vertical="top" wrapText="1"/>
    </xf>
    <xf numFmtId="0" fontId="23" fillId="0" borderId="53" xfId="0" applyFont="1" applyFill="1" applyBorder="1" applyAlignment="1">
      <alignment vertical="top" wrapText="1"/>
    </xf>
    <xf numFmtId="0" fontId="23" fillId="0" borderId="12" xfId="0" applyFont="1" applyBorder="1" applyAlignment="1">
      <alignment vertical="top" wrapText="1"/>
    </xf>
    <xf numFmtId="0" fontId="23" fillId="0" borderId="6" xfId="0" applyFont="1" applyBorder="1" applyAlignment="1">
      <alignment vertical="top" wrapText="1"/>
    </xf>
    <xf numFmtId="0" fontId="23" fillId="0" borderId="56" xfId="0" applyFont="1" applyBorder="1" applyAlignment="1">
      <alignment vertical="top" wrapText="1"/>
    </xf>
    <xf numFmtId="0" fontId="23" fillId="0" borderId="14" xfId="0" applyFont="1" applyBorder="1" applyAlignment="1">
      <alignment vertical="top" wrapText="1"/>
    </xf>
    <xf numFmtId="0" fontId="23" fillId="0" borderId="16" xfId="0" applyFont="1" applyBorder="1" applyAlignment="1">
      <alignment vertical="top" wrapText="1"/>
    </xf>
    <xf numFmtId="1" fontId="23" fillId="0" borderId="46" xfId="0" applyNumberFormat="1" applyFont="1" applyBorder="1" applyAlignment="1">
      <alignment vertical="top" wrapText="1"/>
    </xf>
    <xf numFmtId="1" fontId="23" fillId="2" borderId="39" xfId="0" applyNumberFormat="1" applyFont="1" applyFill="1" applyBorder="1" applyAlignment="1">
      <alignment horizontal="center" vertical="top" wrapText="1"/>
    </xf>
    <xf numFmtId="1" fontId="23" fillId="2" borderId="49" xfId="0" applyNumberFormat="1" applyFont="1" applyFill="1" applyBorder="1" applyAlignment="1">
      <alignment horizontal="center" vertical="top" wrapText="1"/>
    </xf>
    <xf numFmtId="1" fontId="23" fillId="2" borderId="1" xfId="0" applyNumberFormat="1" applyFont="1" applyFill="1" applyBorder="1" applyAlignment="1">
      <alignment horizontal="center" vertical="top" wrapText="1"/>
    </xf>
    <xf numFmtId="1" fontId="23" fillId="2" borderId="2" xfId="0" applyNumberFormat="1" applyFont="1" applyFill="1" applyBorder="1" applyAlignment="1">
      <alignment horizontal="center" vertical="top" wrapText="1"/>
    </xf>
    <xf numFmtId="1" fontId="23" fillId="2" borderId="47" xfId="0" applyNumberFormat="1" applyFont="1" applyFill="1" applyBorder="1" applyAlignment="1">
      <alignment horizontal="center" vertical="top" wrapText="1"/>
    </xf>
    <xf numFmtId="1" fontId="23" fillId="2" borderId="48" xfId="0" applyNumberFormat="1" applyFont="1" applyFill="1" applyBorder="1" applyAlignment="1">
      <alignment horizontal="center" vertical="top" wrapText="1"/>
    </xf>
    <xf numFmtId="1" fontId="23" fillId="2" borderId="7" xfId="0" applyNumberFormat="1" applyFont="1" applyFill="1" applyBorder="1" applyAlignment="1">
      <alignment horizontal="center" vertical="top" wrapText="1"/>
    </xf>
    <xf numFmtId="1" fontId="23" fillId="2" borderId="13" xfId="0" applyNumberFormat="1" applyFont="1" applyFill="1" applyBorder="1" applyAlignment="1">
      <alignment horizontal="center" vertical="top" wrapText="1"/>
    </xf>
    <xf numFmtId="1" fontId="23" fillId="2" borderId="4" xfId="0" applyNumberFormat="1" applyFont="1" applyFill="1" applyBorder="1" applyAlignment="1">
      <alignment horizontal="center" vertical="top" wrapText="1"/>
    </xf>
    <xf numFmtId="1" fontId="23" fillId="2" borderId="8" xfId="0" applyNumberFormat="1" applyFont="1" applyFill="1" applyBorder="1" applyAlignment="1">
      <alignment horizontal="center" vertical="top" wrapText="1"/>
    </xf>
    <xf numFmtId="1" fontId="23" fillId="2" borderId="3" xfId="0" applyNumberFormat="1" applyFont="1" applyFill="1" applyBorder="1" applyAlignment="1">
      <alignment horizontal="center" vertical="top" wrapText="1"/>
    </xf>
    <xf numFmtId="1" fontId="23" fillId="2" borderId="35" xfId="0" applyNumberFormat="1" applyFont="1" applyFill="1" applyBorder="1" applyAlignment="1">
      <alignment horizontal="center" vertical="top" wrapText="1"/>
    </xf>
    <xf numFmtId="1" fontId="23" fillId="2" borderId="66" xfId="0" applyNumberFormat="1" applyFont="1" applyFill="1" applyBorder="1" applyAlignment="1">
      <alignment horizontal="center" vertical="top" wrapText="1"/>
    </xf>
    <xf numFmtId="1" fontId="23" fillId="2" borderId="12" xfId="0" applyNumberFormat="1" applyFont="1" applyFill="1" applyBorder="1" applyAlignment="1">
      <alignment horizontal="center" vertical="top" wrapText="1"/>
    </xf>
    <xf numFmtId="1" fontId="23" fillId="2" borderId="44" xfId="0" applyNumberFormat="1" applyFont="1" applyFill="1" applyBorder="1" applyAlignment="1">
      <alignment horizontal="center" vertical="top"/>
    </xf>
    <xf numFmtId="2" fontId="23" fillId="2" borderId="8" xfId="0" applyNumberFormat="1" applyFont="1" applyFill="1" applyBorder="1" applyAlignment="1">
      <alignment horizontal="center" vertical="top" wrapText="1"/>
    </xf>
    <xf numFmtId="2" fontId="23" fillId="2" borderId="2" xfId="0" applyNumberFormat="1" applyFont="1" applyFill="1" applyBorder="1" applyAlignment="1">
      <alignment horizontal="center" vertical="top" wrapText="1"/>
    </xf>
    <xf numFmtId="1" fontId="23" fillId="2" borderId="44" xfId="0" applyNumberFormat="1" applyFont="1" applyFill="1" applyBorder="1" applyAlignment="1">
      <alignment horizontal="center" vertical="top" wrapText="1"/>
    </xf>
    <xf numFmtId="1" fontId="23" fillId="2" borderId="50" xfId="0" applyNumberFormat="1" applyFont="1" applyFill="1" applyBorder="1" applyAlignment="1">
      <alignment horizontal="center" vertical="top" wrapText="1"/>
    </xf>
    <xf numFmtId="2" fontId="23" fillId="5" borderId="22" xfId="0" applyNumberFormat="1" applyFont="1" applyFill="1" applyBorder="1" applyAlignment="1">
      <alignment horizontal="center" vertical="top" wrapText="1"/>
    </xf>
    <xf numFmtId="1" fontId="23" fillId="2" borderId="6" xfId="0" applyNumberFormat="1" applyFont="1" applyFill="1" applyBorder="1" applyAlignment="1">
      <alignment horizontal="center" vertical="top" wrapText="1"/>
    </xf>
    <xf numFmtId="2" fontId="23" fillId="2" borderId="0" xfId="0" applyNumberFormat="1" applyFont="1" applyFill="1" applyAlignment="1">
      <alignment horizontal="center" vertical="top" wrapText="1"/>
    </xf>
    <xf numFmtId="1" fontId="23" fillId="2" borderId="17" xfId="0" applyNumberFormat="1" applyFont="1" applyFill="1" applyBorder="1" applyAlignment="1">
      <alignment horizontal="center" vertical="top" wrapText="1"/>
    </xf>
    <xf numFmtId="2" fontId="23" fillId="2" borderId="9" xfId="0" applyNumberFormat="1" applyFont="1" applyFill="1" applyBorder="1" applyAlignment="1">
      <alignment horizontal="center" vertical="top" wrapText="1"/>
    </xf>
    <xf numFmtId="2" fontId="23" fillId="5" borderId="34" xfId="0" applyNumberFormat="1" applyFont="1" applyFill="1" applyBorder="1" applyAlignment="1">
      <alignment horizontal="center" vertical="top" wrapText="1"/>
    </xf>
    <xf numFmtId="2" fontId="23" fillId="2" borderId="39" xfId="0" applyNumberFormat="1" applyFont="1" applyFill="1" applyBorder="1" applyAlignment="1">
      <alignment horizontal="center" vertical="top" wrapText="1"/>
    </xf>
    <xf numFmtId="2" fontId="23" fillId="2" borderId="35" xfId="0" applyNumberFormat="1" applyFont="1" applyFill="1" applyBorder="1" applyAlignment="1">
      <alignment horizontal="center" vertical="top" wrapText="1"/>
    </xf>
    <xf numFmtId="1" fontId="23" fillId="2" borderId="51" xfId="0" applyNumberFormat="1" applyFont="1" applyFill="1" applyBorder="1" applyAlignment="1">
      <alignment horizontal="center" vertical="top" wrapText="1"/>
    </xf>
    <xf numFmtId="1" fontId="23" fillId="0" borderId="0" xfId="0" applyNumberFormat="1" applyFont="1" applyBorder="1" applyAlignment="1">
      <alignment horizontal="center" vertical="top" wrapText="1"/>
    </xf>
    <xf numFmtId="2" fontId="23" fillId="0" borderId="0" xfId="0" applyNumberFormat="1" applyFont="1" applyBorder="1" applyAlignment="1">
      <alignment horizontal="center" vertical="top" wrapText="1"/>
    </xf>
    <xf numFmtId="1" fontId="23" fillId="0" borderId="0" xfId="0" applyNumberFormat="1" applyFont="1" applyAlignment="1">
      <alignment horizontal="center" vertical="top" wrapText="1"/>
    </xf>
    <xf numFmtId="2" fontId="23" fillId="0" borderId="0" xfId="0" applyNumberFormat="1" applyFont="1" applyAlignment="1">
      <alignment horizontal="center" vertical="top" wrapText="1"/>
    </xf>
    <xf numFmtId="0" fontId="26" fillId="0" borderId="6" xfId="0" applyFont="1" applyFill="1" applyBorder="1" applyAlignment="1">
      <alignment vertical="top" wrapText="1"/>
    </xf>
    <xf numFmtId="0" fontId="26" fillId="0" borderId="50" xfId="0" applyFont="1" applyFill="1" applyBorder="1" applyAlignment="1">
      <alignment vertical="top" wrapText="1"/>
    </xf>
    <xf numFmtId="0" fontId="26" fillId="0" borderId="71" xfId="0" applyFont="1" applyBorder="1" applyAlignment="1">
      <alignment vertical="top" wrapText="1"/>
    </xf>
    <xf numFmtId="0" fontId="26" fillId="0" borderId="17" xfId="0" applyFont="1" applyBorder="1" applyAlignment="1">
      <alignment vertical="top" wrapText="1"/>
    </xf>
    <xf numFmtId="0" fontId="26" fillId="0" borderId="41" xfId="0" applyFont="1" applyFill="1" applyBorder="1" applyAlignment="1">
      <alignment vertical="top" wrapText="1"/>
    </xf>
    <xf numFmtId="0" fontId="26" fillId="0" borderId="12" xfId="0" applyFont="1" applyFill="1" applyBorder="1" applyAlignment="1">
      <alignment vertical="top" wrapText="1"/>
    </xf>
    <xf numFmtId="2" fontId="26" fillId="5" borderId="5" xfId="0" applyNumberFormat="1" applyFont="1" applyFill="1" applyBorder="1" applyAlignment="1">
      <alignment horizontal="center" vertical="top" wrapText="1"/>
    </xf>
    <xf numFmtId="2" fontId="26" fillId="7" borderId="5" xfId="0" applyNumberFormat="1" applyFont="1" applyFill="1" applyBorder="1" applyAlignment="1">
      <alignment horizontal="center" vertical="top" wrapText="1"/>
    </xf>
    <xf numFmtId="2" fontId="26" fillId="2" borderId="1" xfId="0" applyNumberFormat="1" applyFont="1" applyFill="1" applyBorder="1" applyAlignment="1">
      <alignment horizontal="center" vertical="top" wrapText="1"/>
    </xf>
    <xf numFmtId="2" fontId="26" fillId="2" borderId="15" xfId="0" applyNumberFormat="1" applyFont="1" applyFill="1" applyBorder="1" applyAlignment="1">
      <alignment horizontal="center" vertical="top" wrapText="1"/>
    </xf>
    <xf numFmtId="2" fontId="26" fillId="2" borderId="36" xfId="0" applyNumberFormat="1" applyFont="1" applyFill="1" applyBorder="1" applyAlignment="1">
      <alignment horizontal="center" vertical="top" wrapText="1"/>
    </xf>
    <xf numFmtId="2" fontId="26" fillId="2" borderId="8" xfId="0" applyNumberFormat="1" applyFont="1" applyFill="1" applyBorder="1" applyAlignment="1">
      <alignment horizontal="center" vertical="top" wrapText="1"/>
    </xf>
    <xf numFmtId="2" fontId="26" fillId="2" borderId="2" xfId="0" applyNumberFormat="1" applyFont="1" applyFill="1" applyBorder="1" applyAlignment="1">
      <alignment horizontal="center" vertical="top" wrapText="1"/>
    </xf>
    <xf numFmtId="2" fontId="26" fillId="2" borderId="14" xfId="0" applyNumberFormat="1" applyFont="1" applyFill="1" applyBorder="1" applyAlignment="1">
      <alignment horizontal="center" vertical="top" wrapText="1"/>
    </xf>
    <xf numFmtId="2" fontId="26" fillId="2" borderId="16" xfId="0" applyNumberFormat="1" applyFont="1" applyFill="1" applyBorder="1" applyAlignment="1">
      <alignment horizontal="center" vertical="top" wrapText="1"/>
    </xf>
    <xf numFmtId="2" fontId="26" fillId="2" borderId="0" xfId="0" applyNumberFormat="1" applyFont="1" applyFill="1" applyBorder="1" applyAlignment="1">
      <alignment horizontal="center" vertical="top" wrapText="1"/>
    </xf>
    <xf numFmtId="2" fontId="26" fillId="2" borderId="28" xfId="0" applyNumberFormat="1" applyFont="1" applyFill="1" applyBorder="1" applyAlignment="1">
      <alignment horizontal="center" vertical="top" wrapText="1"/>
    </xf>
    <xf numFmtId="2" fontId="26" fillId="2" borderId="27" xfId="0" applyNumberFormat="1" applyFont="1" applyFill="1" applyBorder="1" applyAlignment="1">
      <alignment horizontal="center" vertical="top" wrapText="1"/>
    </xf>
    <xf numFmtId="2" fontId="26" fillId="7" borderId="34" xfId="0" applyNumberFormat="1" applyFont="1" applyFill="1" applyBorder="1" applyAlignment="1">
      <alignment horizontal="center" vertical="top" wrapText="1"/>
    </xf>
    <xf numFmtId="2" fontId="26" fillId="0" borderId="0" xfId="0" applyNumberFormat="1" applyFont="1" applyAlignment="1">
      <alignment horizontal="center" vertical="top" wrapText="1"/>
    </xf>
    <xf numFmtId="49" fontId="26" fillId="0" borderId="22" xfId="0" applyNumberFormat="1" applyFont="1" applyFill="1" applyBorder="1" applyAlignment="1">
      <alignment vertical="top" wrapText="1"/>
    </xf>
    <xf numFmtId="0" fontId="26" fillId="0" borderId="53" xfId="0" applyFont="1" applyFill="1" applyBorder="1" applyAlignment="1">
      <alignment vertical="top" wrapText="1"/>
    </xf>
    <xf numFmtId="0" fontId="26" fillId="0" borderId="14" xfId="0" applyFont="1" applyFill="1" applyBorder="1" applyAlignment="1">
      <alignment vertical="top" wrapText="1"/>
    </xf>
    <xf numFmtId="0" fontId="26" fillId="0" borderId="16" xfId="0" applyFont="1" applyFill="1" applyBorder="1" applyAlignment="1">
      <alignment vertical="top" wrapText="1"/>
    </xf>
    <xf numFmtId="0" fontId="26" fillId="0" borderId="56" xfId="0" applyNumberFormat="1" applyFont="1" applyBorder="1">
      <alignment vertical="top"/>
    </xf>
    <xf numFmtId="49" fontId="5" fillId="0" borderId="42" xfId="0" applyNumberFormat="1" applyFont="1" applyFill="1" applyBorder="1" applyAlignment="1">
      <alignment vertical="top" wrapText="1"/>
    </xf>
    <xf numFmtId="0" fontId="25" fillId="0" borderId="0" xfId="0" applyFont="1" applyAlignment="1">
      <alignment horizontal="center" vertical="top"/>
    </xf>
    <xf numFmtId="0" fontId="26" fillId="0" borderId="0" xfId="0" applyFont="1" applyAlignment="1">
      <alignment horizontal="center" vertical="top"/>
    </xf>
    <xf numFmtId="1" fontId="26" fillId="2" borderId="52" xfId="0" applyNumberFormat="1" applyFont="1" applyFill="1" applyBorder="1" applyAlignment="1">
      <alignment horizontal="center" vertical="top" wrapText="1"/>
    </xf>
    <xf numFmtId="2" fontId="26" fillId="2" borderId="51" xfId="0" applyNumberFormat="1" applyFont="1" applyFill="1" applyBorder="1" applyAlignment="1">
      <alignment horizontal="center" vertical="top" wrapText="1"/>
    </xf>
    <xf numFmtId="2" fontId="26" fillId="2" borderId="57" xfId="0" applyNumberFormat="1" applyFont="1" applyFill="1" applyBorder="1" applyAlignment="1">
      <alignment horizontal="center" vertical="top" wrapText="1"/>
    </xf>
    <xf numFmtId="2" fontId="26" fillId="2" borderId="35" xfId="0" applyNumberFormat="1" applyFont="1" applyFill="1" applyBorder="1" applyAlignment="1">
      <alignment horizontal="center" vertical="top" wrapText="1"/>
    </xf>
    <xf numFmtId="1" fontId="26" fillId="2" borderId="6" xfId="0" applyNumberFormat="1" applyFont="1" applyFill="1" applyBorder="1" applyAlignment="1">
      <alignment horizontal="center" vertical="top" wrapText="1"/>
    </xf>
    <xf numFmtId="1" fontId="26" fillId="2" borderId="17" xfId="0" applyNumberFormat="1" applyFont="1" applyFill="1" applyBorder="1" applyAlignment="1">
      <alignment horizontal="center" vertical="top" wrapText="1"/>
    </xf>
    <xf numFmtId="0" fontId="26" fillId="2" borderId="44" xfId="0" applyFont="1" applyFill="1" applyBorder="1" applyAlignment="1">
      <alignment horizontal="center" vertical="top" wrapText="1"/>
    </xf>
    <xf numFmtId="2" fontId="26" fillId="2" borderId="13" xfId="0" applyNumberFormat="1" applyFont="1" applyFill="1" applyBorder="1" applyAlignment="1">
      <alignment horizontal="center" vertical="top" wrapText="1"/>
    </xf>
    <xf numFmtId="0" fontId="26" fillId="2" borderId="3" xfId="0" applyNumberFormat="1" applyFont="1" applyFill="1" applyBorder="1" applyAlignment="1">
      <alignment horizontal="center" vertical="top" wrapText="1"/>
    </xf>
    <xf numFmtId="0" fontId="26" fillId="2" borderId="39" xfId="0" applyNumberFormat="1" applyFont="1" applyFill="1" applyBorder="1" applyAlignment="1">
      <alignment horizontal="center" vertical="top" wrapText="1"/>
    </xf>
    <xf numFmtId="0" fontId="26" fillId="2" borderId="13" xfId="0" applyFont="1" applyFill="1" applyBorder="1" applyAlignment="1">
      <alignment horizontal="center" vertical="top" wrapText="1"/>
    </xf>
    <xf numFmtId="0" fontId="26" fillId="2" borderId="9" xfId="0" applyFont="1" applyFill="1" applyBorder="1" applyAlignment="1">
      <alignment horizontal="center" vertical="top" wrapText="1"/>
    </xf>
    <xf numFmtId="2" fontId="26" fillId="5" borderId="64" xfId="0" applyNumberFormat="1" applyFont="1" applyFill="1" applyBorder="1" applyAlignment="1">
      <alignment horizontal="center" vertical="top" wrapText="1"/>
    </xf>
    <xf numFmtId="0" fontId="26" fillId="2" borderId="52" xfId="0" applyNumberFormat="1" applyFont="1" applyFill="1" applyBorder="1" applyAlignment="1">
      <alignment horizontal="center" vertical="top" wrapText="1"/>
    </xf>
    <xf numFmtId="0" fontId="26" fillId="2" borderId="58" xfId="0" applyNumberFormat="1" applyFont="1" applyFill="1" applyBorder="1" applyAlignment="1">
      <alignment horizontal="center" vertical="top" wrapText="1"/>
    </xf>
    <xf numFmtId="2" fontId="5" fillId="7" borderId="64" xfId="0" applyNumberFormat="1" applyFont="1" applyFill="1" applyBorder="1" applyAlignment="1">
      <alignment horizontal="center" vertical="top" wrapText="1"/>
    </xf>
    <xf numFmtId="0" fontId="5" fillId="0" borderId="65" xfId="0" applyFont="1" applyBorder="1" applyAlignment="1">
      <alignment vertical="top" wrapText="1"/>
    </xf>
    <xf numFmtId="0" fontId="5" fillId="2" borderId="57" xfId="0" applyFont="1" applyFill="1" applyBorder="1" applyAlignment="1">
      <alignment horizontal="center" vertical="top" wrapText="1"/>
    </xf>
    <xf numFmtId="0" fontId="5" fillId="2" borderId="49" xfId="0" applyFont="1" applyFill="1" applyBorder="1" applyAlignment="1">
      <alignment horizontal="center" vertical="top" wrapText="1"/>
    </xf>
    <xf numFmtId="2" fontId="5" fillId="7" borderId="68" xfId="0" applyNumberFormat="1" applyFont="1" applyFill="1" applyBorder="1" applyAlignment="1">
      <alignment horizontal="center" vertical="top" wrapText="1"/>
    </xf>
    <xf numFmtId="2" fontId="5" fillId="0" borderId="0" xfId="0" applyNumberFormat="1" applyFont="1" applyAlignment="1">
      <alignment horizontal="center" vertical="top"/>
    </xf>
    <xf numFmtId="2" fontId="5" fillId="8" borderId="5" xfId="0" applyNumberFormat="1" applyFont="1" applyFill="1" applyBorder="1" applyAlignment="1">
      <alignment horizontal="center" vertical="top" wrapText="1"/>
    </xf>
    <xf numFmtId="2" fontId="5" fillId="8" borderId="46" xfId="0" applyNumberFormat="1" applyFont="1" applyFill="1" applyBorder="1" applyAlignment="1">
      <alignment horizontal="center" vertical="top" wrapText="1"/>
    </xf>
    <xf numFmtId="2" fontId="5" fillId="8" borderId="42" xfId="0" applyNumberFormat="1" applyFont="1" applyFill="1" applyBorder="1" applyAlignment="1">
      <alignment horizontal="center" vertical="top" wrapText="1"/>
    </xf>
    <xf numFmtId="2" fontId="5" fillId="2" borderId="62" xfId="0" applyNumberFormat="1" applyFont="1" applyFill="1" applyBorder="1" applyAlignment="1">
      <alignment horizontal="center" vertical="top" wrapText="1"/>
    </xf>
    <xf numFmtId="0" fontId="5" fillId="2" borderId="28" xfId="0" applyFont="1" applyFill="1" applyBorder="1" applyAlignment="1">
      <alignment horizontal="center" vertical="top" wrapText="1"/>
    </xf>
    <xf numFmtId="0" fontId="5" fillId="2" borderId="27" xfId="0" applyFont="1" applyFill="1" applyBorder="1" applyAlignment="1">
      <alignment horizontal="center" vertical="top" wrapText="1"/>
    </xf>
    <xf numFmtId="0" fontId="5" fillId="2" borderId="40" xfId="0" applyFont="1" applyFill="1" applyBorder="1" applyAlignment="1">
      <alignment horizontal="center" vertical="top" wrapText="1"/>
    </xf>
    <xf numFmtId="0" fontId="5" fillId="2" borderId="62" xfId="0" applyFont="1" applyFill="1" applyBorder="1" applyAlignment="1">
      <alignment horizontal="center" vertical="top" wrapText="1"/>
    </xf>
    <xf numFmtId="1" fontId="5" fillId="0" borderId="64" xfId="0" applyNumberFormat="1" applyFont="1" applyBorder="1" applyAlignment="1">
      <alignment vertical="top" wrapText="1"/>
    </xf>
    <xf numFmtId="1" fontId="5" fillId="0" borderId="50" xfId="0" applyNumberFormat="1" applyFont="1" applyBorder="1" applyAlignment="1">
      <alignment horizontal="left" vertical="top" wrapText="1"/>
    </xf>
    <xf numFmtId="0" fontId="10" fillId="0" borderId="0" xfId="1" applyFont="1" applyAlignment="1">
      <alignment horizontal="center" vertical="top"/>
    </xf>
    <xf numFmtId="0" fontId="5" fillId="0" borderId="0" xfId="0" applyFont="1" applyFill="1" applyBorder="1" applyAlignment="1">
      <alignment horizontal="center" vertical="top"/>
    </xf>
    <xf numFmtId="2" fontId="10" fillId="0" borderId="10" xfId="1" applyNumberFormat="1" applyFont="1" applyBorder="1" applyAlignment="1">
      <alignment vertical="center"/>
    </xf>
    <xf numFmtId="0" fontId="5" fillId="0" borderId="44" xfId="0" applyFont="1" applyBorder="1" applyAlignment="1">
      <alignment horizontal="center" vertical="top"/>
    </xf>
    <xf numFmtId="2" fontId="5" fillId="0" borderId="44" xfId="0" applyNumberFormat="1" applyFont="1" applyBorder="1" applyAlignment="1">
      <alignment horizontal="center" vertical="top" wrapText="1"/>
    </xf>
    <xf numFmtId="2" fontId="5" fillId="0" borderId="4" xfId="0" applyNumberFormat="1" applyFont="1" applyFill="1" applyBorder="1" applyAlignment="1">
      <alignment horizontal="center" vertical="top" wrapText="1"/>
    </xf>
    <xf numFmtId="0" fontId="10" fillId="0" borderId="0" xfId="1" applyFont="1" applyFill="1" applyAlignment="1">
      <alignment horizontal="center" vertical="center" textRotation="180"/>
    </xf>
    <xf numFmtId="1" fontId="28" fillId="0" borderId="59" xfId="0" applyNumberFormat="1" applyFont="1" applyBorder="1" applyAlignment="1">
      <alignment horizontal="left" vertical="top" wrapText="1"/>
    </xf>
    <xf numFmtId="1" fontId="28" fillId="0" borderId="10" xfId="0" applyNumberFormat="1" applyFont="1" applyBorder="1" applyAlignment="1">
      <alignment horizontal="left" vertical="top" wrapText="1"/>
    </xf>
    <xf numFmtId="2" fontId="26" fillId="0" borderId="42" xfId="0" applyNumberFormat="1" applyFont="1" applyFill="1" applyBorder="1" applyAlignment="1">
      <alignment vertical="top" wrapText="1"/>
    </xf>
    <xf numFmtId="2" fontId="26" fillId="0" borderId="22" xfId="0" applyNumberFormat="1" applyFont="1" applyFill="1" applyBorder="1" applyAlignment="1">
      <alignment vertical="top" wrapText="1"/>
    </xf>
    <xf numFmtId="0" fontId="5" fillId="18" borderId="0" xfId="0" applyFont="1" applyFill="1" applyAlignment="1">
      <alignment horizontal="left" vertical="top"/>
    </xf>
    <xf numFmtId="0" fontId="5" fillId="0" borderId="43" xfId="0" applyFont="1" applyBorder="1" applyAlignment="1">
      <alignment vertical="top" wrapText="1"/>
    </xf>
    <xf numFmtId="0" fontId="5" fillId="0" borderId="22" xfId="0" applyNumberFormat="1" applyFont="1" applyBorder="1" applyAlignment="1">
      <alignment horizontal="left" vertical="top" wrapText="1"/>
    </xf>
    <xf numFmtId="0" fontId="5" fillId="0" borderId="42" xfId="0" applyNumberFormat="1" applyFont="1" applyBorder="1" applyAlignment="1">
      <alignment horizontal="left" vertical="top" wrapText="1"/>
    </xf>
    <xf numFmtId="2" fontId="5" fillId="0" borderId="4" xfId="0" applyNumberFormat="1" applyFont="1" applyBorder="1" applyAlignment="1">
      <alignment horizontal="center" vertical="top" wrapText="1"/>
    </xf>
    <xf numFmtId="0" fontId="5" fillId="2" borderId="56" xfId="0" applyNumberFormat="1" applyFont="1" applyFill="1" applyBorder="1" applyAlignment="1">
      <alignment horizontal="center" vertical="top" wrapText="1"/>
    </xf>
    <xf numFmtId="0" fontId="5" fillId="0" borderId="10" xfId="0" applyNumberFormat="1" applyFont="1" applyBorder="1" applyAlignment="1">
      <alignment vertical="top" wrapText="1"/>
    </xf>
    <xf numFmtId="2" fontId="26" fillId="0" borderId="56" xfId="0" applyNumberFormat="1" applyFont="1" applyFill="1" applyBorder="1" applyAlignment="1">
      <alignment vertical="top" wrapText="1"/>
    </xf>
    <xf numFmtId="1" fontId="26" fillId="0" borderId="52" xfId="0" applyNumberFormat="1" applyFont="1" applyFill="1" applyBorder="1" applyAlignment="1">
      <alignment horizontal="center" vertical="top" wrapText="1"/>
    </xf>
    <xf numFmtId="1" fontId="26" fillId="2" borderId="58" xfId="0" applyNumberFormat="1" applyFont="1" applyFill="1" applyBorder="1" applyAlignment="1">
      <alignment horizontal="center" vertical="top" wrapText="1"/>
    </xf>
    <xf numFmtId="0" fontId="5" fillId="0" borderId="33" xfId="0" applyFont="1" applyFill="1" applyBorder="1" applyAlignment="1">
      <alignment vertical="top" wrapText="1"/>
    </xf>
    <xf numFmtId="0" fontId="5" fillId="0" borderId="53" xfId="0" applyFont="1" applyBorder="1" applyAlignment="1">
      <alignment horizontal="center" vertical="top" wrapText="1"/>
    </xf>
    <xf numFmtId="0" fontId="23" fillId="0" borderId="71" xfId="0" applyFont="1" applyFill="1" applyBorder="1" applyAlignment="1">
      <alignment vertical="top" wrapText="1"/>
    </xf>
    <xf numFmtId="0" fontId="5" fillId="0" borderId="12" xfId="0" applyFont="1" applyFill="1" applyBorder="1" applyAlignment="1">
      <alignment horizontal="left" vertical="top" wrapText="1"/>
    </xf>
    <xf numFmtId="0" fontId="5" fillId="0" borderId="6" xfId="0" applyFont="1" applyBorder="1" applyAlignment="1">
      <alignment vertical="top" wrapText="1"/>
    </xf>
    <xf numFmtId="0" fontId="5" fillId="0" borderId="13" xfId="0" applyFont="1" applyFill="1" applyBorder="1" applyAlignment="1">
      <alignment horizontal="center" vertical="top" wrapText="1"/>
    </xf>
    <xf numFmtId="0" fontId="26" fillId="0" borderId="0" xfId="0" applyFont="1" applyAlignment="1">
      <alignment horizontal="center" vertical="top" wrapText="1"/>
    </xf>
    <xf numFmtId="1" fontId="23" fillId="2" borderId="57" xfId="0" applyNumberFormat="1" applyFont="1" applyFill="1" applyBorder="1" applyAlignment="1">
      <alignment horizontal="center" vertical="top" wrapText="1"/>
    </xf>
    <xf numFmtId="1" fontId="5" fillId="0" borderId="33" xfId="0" applyNumberFormat="1" applyFont="1" applyFill="1" applyBorder="1" applyAlignment="1">
      <alignment horizontal="left" vertical="top" wrapText="1"/>
    </xf>
    <xf numFmtId="0" fontId="25" fillId="18" borderId="0" xfId="0" applyFont="1" applyFill="1" applyAlignment="1">
      <alignment horizontal="left" vertical="top" wrapText="1"/>
    </xf>
    <xf numFmtId="0" fontId="5" fillId="2" borderId="50" xfId="0" applyFont="1" applyFill="1" applyBorder="1" applyAlignment="1">
      <alignment horizontal="center" vertical="top" wrapText="1"/>
    </xf>
    <xf numFmtId="2" fontId="5" fillId="2" borderId="38" xfId="0" applyNumberFormat="1" applyFont="1" applyFill="1" applyBorder="1" applyAlignment="1">
      <alignment horizontal="center" vertical="top" wrapText="1"/>
    </xf>
    <xf numFmtId="0" fontId="28" fillId="2" borderId="7" xfId="0" applyFont="1" applyFill="1" applyBorder="1" applyAlignment="1">
      <alignment horizontal="center" vertical="top" wrapText="1"/>
    </xf>
    <xf numFmtId="0" fontId="5" fillId="0" borderId="1" xfId="0" applyNumberFormat="1" applyFont="1" applyBorder="1" applyAlignment="1">
      <alignment horizontal="center" vertical="top" wrapText="1"/>
    </xf>
    <xf numFmtId="49" fontId="2" fillId="0" borderId="1" xfId="1" applyNumberFormat="1" applyFont="1" applyFill="1" applyBorder="1" applyAlignment="1">
      <alignment horizontal="center" vertical="center" wrapText="1"/>
    </xf>
    <xf numFmtId="49" fontId="2" fillId="0" borderId="2" xfId="1" applyNumberFormat="1" applyFont="1" applyFill="1" applyBorder="1" applyAlignment="1">
      <alignment horizontal="center" vertical="center" wrapText="1"/>
    </xf>
    <xf numFmtId="49" fontId="2" fillId="0" borderId="4" xfId="1" applyNumberFormat="1" applyFont="1" applyFill="1" applyBorder="1" applyAlignment="1">
      <alignment horizontal="center" vertical="center" wrapText="1"/>
    </xf>
    <xf numFmtId="49" fontId="2" fillId="0" borderId="8" xfId="1" applyNumberFormat="1" applyFont="1" applyFill="1" applyBorder="1" applyAlignment="1">
      <alignment horizontal="center" vertical="center" wrapText="1"/>
    </xf>
    <xf numFmtId="2" fontId="47" fillId="0" borderId="34" xfId="1" applyNumberFormat="1" applyFont="1" applyFill="1" applyBorder="1" applyAlignment="1">
      <alignment horizontal="right" vertical="center" wrapText="1"/>
    </xf>
    <xf numFmtId="49" fontId="2" fillId="0" borderId="35" xfId="1" applyNumberFormat="1" applyFont="1" applyFill="1" applyBorder="1" applyAlignment="1">
      <alignment horizontal="center" vertical="center" wrapText="1"/>
    </xf>
    <xf numFmtId="49" fontId="2" fillId="0" borderId="6" xfId="1" applyNumberFormat="1" applyFont="1" applyFill="1" applyBorder="1" applyAlignment="1">
      <alignment horizontal="center" vertical="center" wrapText="1"/>
    </xf>
    <xf numFmtId="0" fontId="10" fillId="0" borderId="0" xfId="1" applyFont="1" applyFill="1" applyAlignment="1">
      <alignment vertical="top"/>
    </xf>
    <xf numFmtId="0" fontId="10" fillId="0" borderId="0" xfId="1" applyFont="1" applyFill="1" applyBorder="1" applyAlignment="1">
      <alignment vertical="top"/>
    </xf>
    <xf numFmtId="0" fontId="5" fillId="0" borderId="11" xfId="0" applyFont="1" applyFill="1" applyBorder="1" applyAlignment="1">
      <alignment vertical="top" wrapText="1"/>
    </xf>
    <xf numFmtId="0" fontId="26" fillId="0" borderId="45" xfId="0" applyFont="1" applyFill="1" applyBorder="1" applyAlignment="1">
      <alignment horizontal="center" vertical="top" wrapText="1"/>
    </xf>
    <xf numFmtId="0" fontId="28" fillId="0" borderId="23" xfId="0" applyFont="1" applyBorder="1" applyAlignment="1">
      <alignment horizontal="left" vertical="top" wrapText="1"/>
    </xf>
    <xf numFmtId="0" fontId="5" fillId="0" borderId="69" xfId="0" applyFont="1" applyFill="1" applyBorder="1" applyAlignment="1">
      <alignment vertical="top" wrapText="1"/>
    </xf>
    <xf numFmtId="0" fontId="5" fillId="0" borderId="71" xfId="0" applyFont="1" applyFill="1" applyBorder="1" applyAlignment="1">
      <alignment vertical="top" wrapText="1"/>
    </xf>
    <xf numFmtId="0" fontId="5" fillId="0" borderId="71" xfId="0" applyFont="1" applyFill="1" applyBorder="1" applyAlignment="1">
      <alignment horizontal="left" vertical="top" wrapText="1"/>
    </xf>
    <xf numFmtId="0" fontId="5" fillId="0" borderId="56" xfId="0" applyNumberFormat="1" applyFont="1" applyBorder="1" applyAlignment="1">
      <alignment vertical="top" wrapText="1"/>
    </xf>
    <xf numFmtId="2" fontId="5" fillId="2" borderId="52" xfId="0" applyNumberFormat="1" applyFont="1" applyFill="1" applyBorder="1" applyAlignment="1">
      <alignment horizontal="center" vertical="top"/>
    </xf>
    <xf numFmtId="2" fontId="5" fillId="7" borderId="58" xfId="0" applyNumberFormat="1" applyFont="1" applyFill="1" applyBorder="1" applyAlignment="1">
      <alignment horizontal="center" vertical="top" wrapText="1"/>
    </xf>
    <xf numFmtId="1" fontId="5" fillId="2" borderId="51" xfId="0" applyNumberFormat="1" applyFont="1" applyFill="1" applyBorder="1" applyAlignment="1">
      <alignment horizontal="center" vertical="top"/>
    </xf>
    <xf numFmtId="1" fontId="5" fillId="0" borderId="0" xfId="0" applyNumberFormat="1" applyFont="1" applyBorder="1" applyAlignment="1">
      <alignment vertical="top"/>
    </xf>
    <xf numFmtId="0" fontId="5" fillId="0" borderId="59" xfId="0" applyFont="1" applyBorder="1" applyAlignment="1">
      <alignment vertical="top"/>
    </xf>
    <xf numFmtId="0" fontId="5" fillId="0" borderId="10" xfId="0" applyFont="1" applyBorder="1" applyAlignment="1">
      <alignment vertical="top"/>
    </xf>
    <xf numFmtId="0" fontId="5" fillId="0" borderId="50" xfId="0" applyFont="1" applyBorder="1" applyAlignment="1">
      <alignment horizontal="center" vertical="top" wrapText="1"/>
    </xf>
    <xf numFmtId="2" fontId="26" fillId="2" borderId="28" xfId="0" applyNumberFormat="1" applyFont="1" applyFill="1" applyBorder="1" applyAlignment="1">
      <alignment horizontal="center" vertical="top"/>
    </xf>
    <xf numFmtId="2" fontId="26" fillId="2" borderId="62" xfId="0" applyNumberFormat="1" applyFont="1" applyFill="1" applyBorder="1" applyAlignment="1">
      <alignment horizontal="center" vertical="top"/>
    </xf>
    <xf numFmtId="0" fontId="39" fillId="0" borderId="5" xfId="0" applyFont="1" applyFill="1" applyBorder="1" applyAlignment="1">
      <alignment horizontal="left" vertical="top" wrapText="1"/>
    </xf>
    <xf numFmtId="0" fontId="39" fillId="0" borderId="1" xfId="0" applyFont="1" applyFill="1" applyBorder="1" applyAlignment="1">
      <alignment horizontal="center" vertical="top" wrapText="1"/>
    </xf>
    <xf numFmtId="2" fontId="26" fillId="5" borderId="42" xfId="0" applyNumberFormat="1" applyFont="1" applyFill="1" applyBorder="1" applyAlignment="1">
      <alignment horizontal="center" vertical="top"/>
    </xf>
    <xf numFmtId="1" fontId="23" fillId="2" borderId="52" xfId="0" applyNumberFormat="1" applyFont="1" applyFill="1" applyBorder="1" applyAlignment="1">
      <alignment horizontal="center" vertical="top" wrapText="1"/>
    </xf>
    <xf numFmtId="2" fontId="23" fillId="2" borderId="51" xfId="0" applyNumberFormat="1" applyFont="1" applyFill="1" applyBorder="1" applyAlignment="1">
      <alignment horizontal="center" vertical="top"/>
    </xf>
    <xf numFmtId="0" fontId="26" fillId="0" borderId="12" xfId="0" applyFont="1" applyFill="1" applyBorder="1" applyAlignment="1">
      <alignment horizontal="center" vertical="top" wrapText="1"/>
    </xf>
    <xf numFmtId="0" fontId="26" fillId="2" borderId="52" xfId="0" applyFont="1" applyFill="1" applyBorder="1" applyAlignment="1">
      <alignment horizontal="center" vertical="top" wrapText="1"/>
    </xf>
    <xf numFmtId="0" fontId="26" fillId="0" borderId="43" xfId="0" applyFont="1" applyFill="1" applyBorder="1" applyAlignment="1">
      <alignment vertical="top" wrapText="1"/>
    </xf>
    <xf numFmtId="0" fontId="26" fillId="0" borderId="45" xfId="0" applyFont="1" applyBorder="1" applyAlignment="1">
      <alignment horizontal="center" vertical="top" wrapText="1"/>
    </xf>
    <xf numFmtId="0" fontId="39" fillId="0" borderId="1" xfId="0" applyNumberFormat="1" applyFont="1" applyFill="1" applyBorder="1" applyAlignment="1">
      <alignment horizontal="center" vertical="top" wrapText="1"/>
    </xf>
    <xf numFmtId="2" fontId="26" fillId="2" borderId="62" xfId="0" applyNumberFormat="1" applyFont="1" applyFill="1" applyBorder="1" applyAlignment="1">
      <alignment horizontal="center" vertical="top" wrapText="1"/>
    </xf>
    <xf numFmtId="0" fontId="26" fillId="0" borderId="6" xfId="0" applyFont="1" applyBorder="1" applyAlignment="1">
      <alignment horizontal="left" vertical="top" wrapText="1"/>
    </xf>
    <xf numFmtId="0" fontId="26" fillId="0" borderId="50" xfId="0" applyFont="1" applyBorder="1" applyAlignment="1">
      <alignment horizontal="left" vertical="top" wrapText="1"/>
    </xf>
    <xf numFmtId="0" fontId="26" fillId="0" borderId="44" xfId="0" applyFont="1" applyFill="1" applyBorder="1" applyAlignment="1">
      <alignment horizontal="center" vertical="top" wrapText="1"/>
    </xf>
    <xf numFmtId="0" fontId="28" fillId="0" borderId="57" xfId="0" applyFont="1" applyBorder="1" applyAlignment="1">
      <alignment horizontal="center" vertical="top" wrapText="1"/>
    </xf>
    <xf numFmtId="1" fontId="28" fillId="2" borderId="57" xfId="0" applyNumberFormat="1" applyFont="1" applyFill="1" applyBorder="1" applyAlignment="1">
      <alignment horizontal="center" vertical="top" wrapText="1"/>
    </xf>
    <xf numFmtId="1" fontId="28" fillId="2" borderId="49" xfId="0" applyNumberFormat="1" applyFont="1" applyFill="1" applyBorder="1" applyAlignment="1">
      <alignment horizontal="center" vertical="top" wrapText="1"/>
    </xf>
    <xf numFmtId="2" fontId="28" fillId="5" borderId="68" xfId="0" applyNumberFormat="1" applyFont="1" applyFill="1" applyBorder="1" applyAlignment="1">
      <alignment horizontal="center" vertical="top" wrapText="1"/>
    </xf>
    <xf numFmtId="0" fontId="28" fillId="0" borderId="65" xfId="0" applyFont="1" applyBorder="1" applyAlignment="1">
      <alignment horizontal="left" vertical="top" wrapText="1"/>
    </xf>
    <xf numFmtId="1" fontId="5" fillId="2" borderId="62" xfId="0" applyNumberFormat="1" applyFont="1" applyFill="1" applyBorder="1" applyAlignment="1">
      <alignment horizontal="center" vertical="top" wrapText="1"/>
    </xf>
    <xf numFmtId="1" fontId="5" fillId="2" borderId="28" xfId="0" applyNumberFormat="1" applyFont="1" applyFill="1" applyBorder="1" applyAlignment="1">
      <alignment horizontal="center" vertical="top" wrapText="1"/>
    </xf>
    <xf numFmtId="0" fontId="5" fillId="0" borderId="14" xfId="0" applyFont="1" applyBorder="1" applyAlignment="1">
      <alignment horizontal="left" vertical="top" wrapText="1"/>
    </xf>
    <xf numFmtId="0" fontId="5" fillId="0" borderId="15" xfId="0" applyFont="1" applyBorder="1" applyAlignment="1">
      <alignment horizontal="left" vertical="top" wrapText="1"/>
    </xf>
    <xf numFmtId="0" fontId="5" fillId="0" borderId="1" xfId="0" applyNumberFormat="1" applyFont="1" applyFill="1" applyBorder="1" applyAlignment="1">
      <alignment horizontal="center" vertical="top" wrapText="1"/>
    </xf>
    <xf numFmtId="0" fontId="5" fillId="0" borderId="3" xfId="0" applyNumberFormat="1" applyFont="1" applyFill="1" applyBorder="1" applyAlignment="1">
      <alignment horizontal="center" vertical="top" wrapText="1"/>
    </xf>
    <xf numFmtId="1" fontId="5" fillId="2" borderId="6" xfId="0" applyNumberFormat="1" applyFont="1" applyFill="1" applyBorder="1" applyAlignment="1">
      <alignment horizontal="center" vertical="top"/>
    </xf>
    <xf numFmtId="0" fontId="28" fillId="0" borderId="16" xfId="0" applyFont="1" applyFill="1" applyBorder="1" applyAlignment="1">
      <alignment vertical="top" wrapText="1"/>
    </xf>
    <xf numFmtId="0" fontId="28" fillId="0" borderId="12" xfId="0" applyFont="1" applyFill="1" applyBorder="1" applyAlignment="1">
      <alignment horizontal="center" vertical="top" wrapText="1"/>
    </xf>
    <xf numFmtId="0" fontId="28" fillId="0" borderId="6" xfId="0" applyFont="1" applyFill="1" applyBorder="1" applyAlignment="1">
      <alignment horizontal="center" vertical="top" wrapText="1"/>
    </xf>
    <xf numFmtId="0" fontId="5" fillId="0" borderId="73" xfId="0" applyFont="1" applyFill="1" applyBorder="1" applyAlignment="1">
      <alignment vertical="top" wrapText="1"/>
    </xf>
    <xf numFmtId="0" fontId="5" fillId="0" borderId="60" xfId="0" applyFont="1" applyFill="1" applyBorder="1" applyAlignment="1">
      <alignment vertical="top" wrapText="1"/>
    </xf>
    <xf numFmtId="0" fontId="5" fillId="0" borderId="56" xfId="0" applyFont="1" applyFill="1" applyBorder="1" applyAlignment="1">
      <alignment vertical="top" wrapText="1"/>
    </xf>
    <xf numFmtId="1" fontId="5" fillId="0" borderId="10" xfId="0" applyNumberFormat="1" applyFont="1" applyFill="1" applyBorder="1" applyAlignment="1">
      <alignment horizontal="left" vertical="top" wrapText="1"/>
    </xf>
    <xf numFmtId="1" fontId="5" fillId="2" borderId="57" xfId="0" applyNumberFormat="1" applyFont="1" applyFill="1" applyBorder="1" applyAlignment="1">
      <alignment horizontal="center" vertical="top"/>
    </xf>
    <xf numFmtId="2" fontId="5" fillId="2" borderId="1" xfId="0" applyNumberFormat="1" applyFont="1" applyFill="1" applyBorder="1" applyAlignment="1">
      <alignment horizontal="center" vertical="top"/>
    </xf>
    <xf numFmtId="1" fontId="5" fillId="2" borderId="59" xfId="0" applyNumberFormat="1" applyFont="1" applyFill="1" applyBorder="1" applyAlignment="1">
      <alignment horizontal="center" vertical="top" wrapText="1"/>
    </xf>
    <xf numFmtId="2" fontId="23" fillId="2" borderId="48" xfId="0" applyNumberFormat="1" applyFont="1" applyFill="1" applyBorder="1" applyAlignment="1">
      <alignment horizontal="center" vertical="top" wrapText="1"/>
    </xf>
    <xf numFmtId="0" fontId="26" fillId="2" borderId="6" xfId="0" applyNumberFormat="1" applyFont="1" applyFill="1" applyBorder="1" applyAlignment="1">
      <alignment horizontal="center" vertical="top" wrapText="1"/>
    </xf>
    <xf numFmtId="0" fontId="26" fillId="2" borderId="50" xfId="0" applyNumberFormat="1" applyFont="1" applyFill="1" applyBorder="1" applyAlignment="1">
      <alignment horizontal="center" vertical="top" wrapText="1"/>
    </xf>
    <xf numFmtId="1" fontId="26" fillId="2" borderId="57" xfId="0" applyNumberFormat="1" applyFont="1" applyFill="1" applyBorder="1" applyAlignment="1">
      <alignment horizontal="center" vertical="top" wrapText="1"/>
    </xf>
    <xf numFmtId="1" fontId="26" fillId="0" borderId="44" xfId="0" applyNumberFormat="1" applyFont="1" applyFill="1" applyBorder="1" applyAlignment="1">
      <alignment horizontal="center" vertical="top" wrapText="1"/>
    </xf>
    <xf numFmtId="0" fontId="26" fillId="2" borderId="51" xfId="0" applyFont="1" applyFill="1" applyBorder="1" applyAlignment="1">
      <alignment horizontal="center" vertical="top" wrapText="1"/>
    </xf>
    <xf numFmtId="0" fontId="5" fillId="0" borderId="73" xfId="0" applyFont="1" applyBorder="1" applyAlignment="1">
      <alignment vertical="top" wrapText="1"/>
    </xf>
    <xf numFmtId="0" fontId="5" fillId="0" borderId="33" xfId="0" applyFont="1" applyBorder="1" applyAlignment="1">
      <alignment vertical="top" wrapText="1"/>
    </xf>
    <xf numFmtId="0" fontId="5" fillId="0" borderId="60" xfId="0" applyFont="1" applyBorder="1" applyAlignment="1">
      <alignment vertical="top" wrapText="1"/>
    </xf>
    <xf numFmtId="1" fontId="26" fillId="0" borderId="12" xfId="0" applyNumberFormat="1" applyFont="1" applyBorder="1" applyAlignment="1">
      <alignment horizontal="center" vertical="top" wrapText="1"/>
    </xf>
    <xf numFmtId="1" fontId="26" fillId="0" borderId="6" xfId="0" applyNumberFormat="1" applyFont="1" applyBorder="1" applyAlignment="1">
      <alignment horizontal="center" vertical="top" wrapText="1"/>
    </xf>
    <xf numFmtId="1" fontId="26" fillId="0" borderId="50" xfId="0" applyNumberFormat="1" applyFont="1" applyBorder="1" applyAlignment="1">
      <alignment horizontal="center" vertical="top" wrapText="1"/>
    </xf>
    <xf numFmtId="0" fontId="28" fillId="0" borderId="50" xfId="0" applyFont="1" applyFill="1" applyBorder="1" applyAlignment="1">
      <alignment horizontal="center" vertical="top" wrapText="1"/>
    </xf>
    <xf numFmtId="1" fontId="5" fillId="0" borderId="11" xfId="0" applyNumberFormat="1" applyFont="1" applyFill="1" applyBorder="1" applyAlignment="1">
      <alignment horizontal="center" vertical="top" wrapText="1"/>
    </xf>
    <xf numFmtId="1" fontId="5" fillId="0" borderId="17" xfId="0" applyNumberFormat="1" applyFont="1" applyFill="1" applyBorder="1" applyAlignment="1">
      <alignment horizontal="center" vertical="top" wrapText="1"/>
    </xf>
    <xf numFmtId="1" fontId="5" fillId="0" borderId="50" xfId="0" applyNumberFormat="1" applyFont="1" applyFill="1" applyBorder="1" applyAlignment="1">
      <alignment horizontal="center" vertical="top" wrapText="1"/>
    </xf>
    <xf numFmtId="2" fontId="5" fillId="14" borderId="3" xfId="0" applyNumberFormat="1" applyFont="1" applyFill="1" applyBorder="1" applyAlignment="1">
      <alignment horizontal="center" vertical="top" wrapText="1"/>
    </xf>
    <xf numFmtId="0" fontId="5" fillId="0" borderId="42" xfId="0" applyFont="1" applyFill="1" applyBorder="1" applyAlignment="1">
      <alignment horizontal="left" vertical="top" wrapText="1"/>
    </xf>
    <xf numFmtId="0" fontId="5" fillId="0" borderId="71" xfId="0" applyFont="1" applyFill="1" applyBorder="1" applyAlignment="1">
      <alignment vertical="top" wrapText="1"/>
    </xf>
    <xf numFmtId="0" fontId="5" fillId="0" borderId="69" xfId="0" applyFont="1" applyFill="1" applyBorder="1" applyAlignment="1">
      <alignment vertical="top" wrapText="1"/>
    </xf>
    <xf numFmtId="0" fontId="23" fillId="0" borderId="0" xfId="0" applyFont="1" applyFill="1" applyBorder="1" applyAlignment="1">
      <alignment horizontal="center" vertical="top" wrapText="1"/>
    </xf>
    <xf numFmtId="1" fontId="5" fillId="0" borderId="45" xfId="0" applyNumberFormat="1" applyFont="1" applyBorder="1" applyAlignment="1">
      <alignment horizontal="right" vertical="top" wrapText="1"/>
    </xf>
    <xf numFmtId="0" fontId="5" fillId="0" borderId="43" xfId="0" applyFont="1" applyFill="1" applyBorder="1" applyAlignment="1">
      <alignment vertical="top" wrapText="1"/>
    </xf>
    <xf numFmtId="2" fontId="5" fillId="2" borderId="47" xfId="0" applyNumberFormat="1" applyFont="1" applyFill="1" applyBorder="1" applyAlignment="1">
      <alignment horizontal="center" vertical="top"/>
    </xf>
    <xf numFmtId="0" fontId="5" fillId="0" borderId="0" xfId="0" applyFont="1" applyBorder="1" applyAlignment="1"/>
    <xf numFmtId="2" fontId="5" fillId="2" borderId="44" xfId="0" applyNumberFormat="1" applyFont="1" applyFill="1" applyBorder="1" applyAlignment="1">
      <alignment horizontal="center" vertical="top" wrapText="1"/>
    </xf>
    <xf numFmtId="2" fontId="26" fillId="5" borderId="42" xfId="0" applyNumberFormat="1" applyFont="1" applyFill="1" applyBorder="1" applyAlignment="1">
      <alignment horizontal="center" vertical="top" wrapText="1"/>
    </xf>
    <xf numFmtId="0" fontId="5" fillId="0" borderId="6" xfId="0" applyFont="1" applyFill="1" applyBorder="1" applyAlignment="1">
      <alignment vertical="top" wrapText="1"/>
    </xf>
    <xf numFmtId="0" fontId="5" fillId="0" borderId="46" xfId="0" applyFont="1" applyFill="1" applyBorder="1" applyAlignment="1">
      <alignment vertical="top" wrapText="1"/>
    </xf>
    <xf numFmtId="1" fontId="5" fillId="0" borderId="0" xfId="0" applyNumberFormat="1" applyFont="1" applyFill="1" applyBorder="1" applyAlignment="1">
      <alignment horizontal="center" vertical="top" wrapText="1"/>
    </xf>
    <xf numFmtId="0" fontId="28" fillId="0" borderId="10" xfId="0" applyFont="1" applyBorder="1" applyAlignment="1">
      <alignment vertical="top" wrapText="1"/>
    </xf>
    <xf numFmtId="0" fontId="28" fillId="0" borderId="0" xfId="0" applyNumberFormat="1" applyFont="1" applyBorder="1" applyAlignment="1">
      <alignment vertical="top" wrapText="1"/>
    </xf>
    <xf numFmtId="0" fontId="5" fillId="0" borderId="59" xfId="0" applyFont="1" applyBorder="1" applyAlignment="1">
      <alignment vertical="top" wrapText="1"/>
    </xf>
    <xf numFmtId="0" fontId="35" fillId="0" borderId="59" xfId="0" applyFont="1" applyBorder="1" applyAlignment="1">
      <alignment vertical="top" wrapText="1"/>
    </xf>
    <xf numFmtId="0" fontId="28" fillId="0" borderId="59" xfId="0" applyFont="1" applyBorder="1" applyAlignment="1">
      <alignment vertical="top" wrapText="1"/>
    </xf>
    <xf numFmtId="0" fontId="5" fillId="0" borderId="10" xfId="0" applyFont="1" applyBorder="1" applyAlignment="1">
      <alignment vertical="top" wrapText="1"/>
    </xf>
    <xf numFmtId="0" fontId="35" fillId="0" borderId="10" xfId="0" applyFont="1" applyBorder="1" applyAlignment="1">
      <alignment vertical="top" wrapText="1"/>
    </xf>
    <xf numFmtId="0" fontId="5" fillId="0" borderId="46" xfId="0" applyFont="1" applyBorder="1" applyAlignment="1">
      <alignment vertical="top" wrapText="1"/>
    </xf>
    <xf numFmtId="0" fontId="5" fillId="0" borderId="23" xfId="0" applyFont="1" applyBorder="1" applyAlignment="1">
      <alignment vertical="top" wrapText="1"/>
    </xf>
    <xf numFmtId="0" fontId="5" fillId="0" borderId="64" xfId="0" applyFont="1" applyBorder="1" applyAlignment="1">
      <alignment vertical="top" wrapText="1"/>
    </xf>
    <xf numFmtId="0" fontId="26" fillId="0" borderId="46" xfId="0" applyFont="1" applyBorder="1" applyAlignment="1">
      <alignment vertical="top" wrapText="1"/>
    </xf>
    <xf numFmtId="1" fontId="5" fillId="2" borderId="65" xfId="0" applyNumberFormat="1" applyFont="1" applyFill="1" applyBorder="1" applyAlignment="1">
      <alignment horizontal="center" vertical="top"/>
    </xf>
    <xf numFmtId="0" fontId="5" fillId="0" borderId="69" xfId="0" applyFont="1" applyBorder="1" applyAlignment="1">
      <alignment vertical="top"/>
    </xf>
    <xf numFmtId="0" fontId="5" fillId="0" borderId="69" xfId="0" applyNumberFormat="1" applyFont="1" applyFill="1" applyBorder="1" applyAlignment="1">
      <alignment vertical="top" wrapText="1"/>
    </xf>
    <xf numFmtId="1" fontId="5" fillId="2" borderId="50" xfId="0" applyNumberFormat="1" applyFont="1" applyFill="1" applyBorder="1" applyAlignment="1">
      <alignment horizontal="center" vertical="top"/>
    </xf>
    <xf numFmtId="0" fontId="5" fillId="0" borderId="42" xfId="0" applyFont="1" applyFill="1" applyBorder="1" applyAlignment="1">
      <alignment horizontal="left" vertical="top" wrapText="1"/>
    </xf>
    <xf numFmtId="0" fontId="5" fillId="0" borderId="23" xfId="0" applyFont="1" applyFill="1" applyBorder="1" applyAlignment="1">
      <alignment vertical="top" wrapText="1"/>
    </xf>
    <xf numFmtId="0" fontId="5" fillId="0" borderId="0" xfId="0" applyFont="1" applyAlignment="1">
      <alignment horizontal="center" vertical="top" wrapText="1"/>
    </xf>
    <xf numFmtId="0" fontId="5" fillId="0" borderId="0" xfId="0" applyFont="1" applyBorder="1" applyAlignment="1">
      <alignment horizontal="center" vertical="top" wrapText="1"/>
    </xf>
    <xf numFmtId="1" fontId="5" fillId="0" borderId="68" xfId="0" applyNumberFormat="1" applyFont="1" applyBorder="1" applyAlignment="1">
      <alignment horizontal="left" vertical="top" wrapText="1"/>
    </xf>
    <xf numFmtId="0" fontId="5" fillId="0" borderId="71" xfId="0" applyFont="1" applyFill="1" applyBorder="1" applyAlignment="1">
      <alignment vertical="top" wrapText="1"/>
    </xf>
    <xf numFmtId="0" fontId="5" fillId="0" borderId="11" xfId="0" applyFont="1" applyFill="1" applyBorder="1" applyAlignment="1">
      <alignment vertical="top" wrapText="1"/>
    </xf>
    <xf numFmtId="0" fontId="5" fillId="0" borderId="69" xfId="0" applyFont="1" applyFill="1" applyBorder="1" applyAlignment="1">
      <alignment vertical="top" wrapText="1"/>
    </xf>
    <xf numFmtId="0" fontId="5" fillId="0" borderId="59" xfId="0" applyFont="1" applyFill="1" applyBorder="1" applyAlignment="1">
      <alignment vertical="top" wrapText="1"/>
    </xf>
    <xf numFmtId="0" fontId="5" fillId="0" borderId="69" xfId="0" applyNumberFormat="1" applyFont="1" applyBorder="1" applyAlignment="1">
      <alignment vertical="top" wrapText="1"/>
    </xf>
    <xf numFmtId="2" fontId="26" fillId="0" borderId="45" xfId="0" applyNumberFormat="1" applyFont="1" applyFill="1" applyBorder="1" applyAlignment="1">
      <alignment vertical="top" wrapText="1"/>
    </xf>
    <xf numFmtId="0" fontId="26" fillId="0" borderId="34" xfId="0" applyFont="1" applyBorder="1" applyAlignment="1">
      <alignment vertical="top" wrapText="1"/>
    </xf>
    <xf numFmtId="1" fontId="26" fillId="0" borderId="44" xfId="0" applyNumberFormat="1" applyFont="1" applyBorder="1" applyAlignment="1">
      <alignment horizontal="center" vertical="top" wrapText="1"/>
    </xf>
    <xf numFmtId="1" fontId="26" fillId="2" borderId="44" xfId="0" applyNumberFormat="1" applyFont="1" applyFill="1" applyBorder="1" applyAlignment="1">
      <alignment horizontal="center" vertical="top"/>
    </xf>
    <xf numFmtId="2" fontId="26" fillId="2" borderId="51" xfId="0" applyNumberFormat="1" applyFont="1" applyFill="1" applyBorder="1" applyAlignment="1">
      <alignment horizontal="center" vertical="top"/>
    </xf>
    <xf numFmtId="1" fontId="5" fillId="2" borderId="17" xfId="0" applyNumberFormat="1" applyFont="1" applyFill="1" applyBorder="1" applyAlignment="1">
      <alignment horizontal="center" vertical="top"/>
    </xf>
    <xf numFmtId="2" fontId="26" fillId="0" borderId="76" xfId="0" applyNumberFormat="1" applyFont="1" applyBorder="1" applyAlignment="1">
      <alignment vertical="top" wrapText="1"/>
    </xf>
    <xf numFmtId="2" fontId="26" fillId="0" borderId="60" xfId="0" applyNumberFormat="1" applyFont="1" applyBorder="1" applyAlignment="1">
      <alignment vertical="top" wrapText="1"/>
    </xf>
    <xf numFmtId="2" fontId="26" fillId="0" borderId="33" xfId="0" applyNumberFormat="1" applyFont="1" applyBorder="1" applyAlignment="1">
      <alignment vertical="top" wrapText="1"/>
    </xf>
    <xf numFmtId="2" fontId="26" fillId="0" borderId="74" xfId="0" applyNumberFormat="1" applyFont="1" applyBorder="1" applyAlignment="1">
      <alignment vertical="top" wrapText="1"/>
    </xf>
    <xf numFmtId="2" fontId="26" fillId="0" borderId="53" xfId="0" applyNumberFormat="1" applyFont="1" applyBorder="1" applyAlignment="1">
      <alignment vertical="top" wrapText="1"/>
    </xf>
    <xf numFmtId="2" fontId="26" fillId="0" borderId="54" xfId="0" applyNumberFormat="1" applyFont="1" applyBorder="1" applyAlignment="1">
      <alignment vertical="top" wrapText="1"/>
    </xf>
    <xf numFmtId="2" fontId="26" fillId="0" borderId="77" xfId="0" applyNumberFormat="1" applyFont="1" applyBorder="1" applyAlignment="1">
      <alignment vertical="top" wrapText="1"/>
    </xf>
    <xf numFmtId="1" fontId="26" fillId="2" borderId="54" xfId="0" applyNumberFormat="1" applyFont="1" applyFill="1" applyBorder="1" applyAlignment="1">
      <alignment horizontal="center" vertical="top" wrapText="1"/>
    </xf>
    <xf numFmtId="0" fontId="23" fillId="0" borderId="53" xfId="0" applyFont="1" applyBorder="1" applyAlignment="1">
      <alignment vertical="top" wrapText="1"/>
    </xf>
    <xf numFmtId="0" fontId="23" fillId="0" borderId="51" xfId="0" applyFont="1" applyBorder="1" applyAlignment="1">
      <alignment horizontal="center" vertical="top" wrapText="1"/>
    </xf>
    <xf numFmtId="1" fontId="23" fillId="2" borderId="47" xfId="0" applyNumberFormat="1" applyFont="1" applyFill="1" applyBorder="1" applyAlignment="1">
      <alignment horizontal="center" vertical="top"/>
    </xf>
    <xf numFmtId="0" fontId="26" fillId="0" borderId="51" xfId="0" applyFont="1" applyBorder="1" applyAlignment="1">
      <alignment horizontal="center" vertical="top" wrapText="1"/>
    </xf>
    <xf numFmtId="0" fontId="23" fillId="0" borderId="6" xfId="0" applyFont="1" applyBorder="1" applyAlignment="1">
      <alignment horizontal="left" vertical="top" wrapText="1"/>
    </xf>
    <xf numFmtId="0" fontId="23" fillId="0" borderId="66" xfId="0" applyFont="1" applyBorder="1" applyAlignment="1">
      <alignment vertical="top" wrapText="1"/>
    </xf>
    <xf numFmtId="0" fontId="23" fillId="0" borderId="25" xfId="0" applyFont="1" applyBorder="1" applyAlignment="1">
      <alignment vertical="top" wrapText="1"/>
    </xf>
    <xf numFmtId="0" fontId="23" fillId="0" borderId="36" xfId="0" applyFont="1" applyBorder="1" applyAlignment="1">
      <alignment horizontal="center" vertical="top" wrapText="1"/>
    </xf>
    <xf numFmtId="0" fontId="23" fillId="0" borderId="60" xfId="0" applyFont="1" applyBorder="1" applyAlignment="1">
      <alignment vertical="top" wrapText="1"/>
    </xf>
    <xf numFmtId="0" fontId="26" fillId="0" borderId="10" xfId="0" applyFont="1" applyFill="1" applyBorder="1" applyAlignment="1">
      <alignment vertical="top" wrapText="1"/>
    </xf>
    <xf numFmtId="0" fontId="26" fillId="0" borderId="12" xfId="0" applyFont="1" applyBorder="1" applyAlignment="1">
      <alignment horizontal="left" vertical="top" wrapText="1"/>
    </xf>
    <xf numFmtId="2" fontId="26" fillId="2" borderId="40" xfId="0" applyNumberFormat="1" applyFont="1" applyFill="1" applyBorder="1" applyAlignment="1">
      <alignment horizontal="center" vertical="top" wrapText="1"/>
    </xf>
    <xf numFmtId="0" fontId="26" fillId="0" borderId="42" xfId="0" applyFont="1" applyBorder="1">
      <alignment vertical="top"/>
    </xf>
    <xf numFmtId="0" fontId="26" fillId="0" borderId="7" xfId="0" applyFont="1" applyBorder="1" applyAlignment="1">
      <alignment horizontal="center" vertical="top"/>
    </xf>
    <xf numFmtId="49" fontId="26" fillId="0" borderId="5" xfId="0" applyNumberFormat="1" applyFont="1" applyFill="1" applyBorder="1" applyAlignment="1">
      <alignment vertical="top" wrapText="1"/>
    </xf>
    <xf numFmtId="49" fontId="26" fillId="0" borderId="45" xfId="0" applyNumberFormat="1" applyFont="1" applyFill="1" applyBorder="1" applyAlignment="1">
      <alignment vertical="top" wrapText="1"/>
    </xf>
    <xf numFmtId="0" fontId="26" fillId="0" borderId="60" xfId="0" applyFont="1" applyFill="1" applyBorder="1" applyAlignment="1">
      <alignment vertical="top" wrapText="1"/>
    </xf>
    <xf numFmtId="0" fontId="26" fillId="0" borderId="10" xfId="0" applyFont="1" applyFill="1" applyBorder="1" applyAlignment="1">
      <alignment horizontal="center" vertical="top" wrapText="1"/>
    </xf>
    <xf numFmtId="0" fontId="26" fillId="0" borderId="59" xfId="0" applyFont="1" applyFill="1" applyBorder="1" applyAlignment="1">
      <alignment vertical="top" wrapText="1"/>
    </xf>
    <xf numFmtId="0" fontId="26" fillId="0" borderId="11" xfId="0" applyFont="1" applyFill="1" applyBorder="1" applyAlignment="1">
      <alignment horizontal="center" vertical="top" wrapText="1"/>
    </xf>
    <xf numFmtId="0" fontId="26" fillId="0" borderId="54" xfId="0" applyFont="1" applyFill="1" applyBorder="1" applyAlignment="1">
      <alignment vertical="top" wrapText="1"/>
    </xf>
    <xf numFmtId="0" fontId="26" fillId="0" borderId="76" xfId="0" applyFont="1" applyFill="1" applyBorder="1" applyAlignment="1">
      <alignment vertical="top" wrapText="1"/>
    </xf>
    <xf numFmtId="0" fontId="26" fillId="0" borderId="33" xfId="0" applyFont="1" applyFill="1" applyBorder="1" applyAlignment="1">
      <alignment vertical="top" wrapText="1"/>
    </xf>
    <xf numFmtId="0" fontId="26" fillId="2" borderId="17" xfId="0" applyNumberFormat="1" applyFont="1" applyFill="1" applyBorder="1" applyAlignment="1">
      <alignment horizontal="center" vertical="top" wrapText="1"/>
    </xf>
    <xf numFmtId="0" fontId="26" fillId="0" borderId="52" xfId="0" applyFont="1" applyFill="1" applyBorder="1" applyAlignment="1">
      <alignment horizontal="center" vertical="top" wrapText="1"/>
    </xf>
    <xf numFmtId="0" fontId="26" fillId="0" borderId="5" xfId="0" applyFont="1" applyBorder="1" applyAlignment="1">
      <alignment horizontal="left" vertical="top" wrapText="1"/>
    </xf>
    <xf numFmtId="0" fontId="5" fillId="0" borderId="46" xfId="0" applyFont="1" applyBorder="1" applyAlignment="1">
      <alignment vertical="top" wrapText="1"/>
    </xf>
    <xf numFmtId="0" fontId="5" fillId="0" borderId="71" xfId="0" applyFont="1" applyFill="1" applyBorder="1" applyAlignment="1">
      <alignment vertical="top" wrapText="1"/>
    </xf>
    <xf numFmtId="49" fontId="6" fillId="0" borderId="0" xfId="0" applyNumberFormat="1" applyFont="1" applyBorder="1" applyAlignment="1">
      <alignment horizontal="left" vertical="top" wrapText="1"/>
    </xf>
    <xf numFmtId="0" fontId="13" fillId="0" borderId="0" xfId="0" applyFont="1" applyBorder="1" applyAlignment="1">
      <alignment horizontal="center" vertical="top"/>
    </xf>
    <xf numFmtId="2" fontId="28" fillId="15" borderId="22" xfId="0" applyNumberFormat="1" applyFont="1" applyFill="1" applyBorder="1" applyAlignment="1" applyProtection="1">
      <alignment horizontal="center" vertical="top" wrapText="1"/>
    </xf>
    <xf numFmtId="2" fontId="28" fillId="13" borderId="22" xfId="0" applyNumberFormat="1" applyFont="1" applyFill="1" applyBorder="1" applyAlignment="1" applyProtection="1">
      <alignment horizontal="center" vertical="top" wrapText="1"/>
    </xf>
    <xf numFmtId="1" fontId="5" fillId="0" borderId="34" xfId="0" applyNumberFormat="1" applyFont="1" applyFill="1" applyBorder="1" applyAlignment="1">
      <alignment vertical="top" wrapText="1"/>
    </xf>
    <xf numFmtId="1" fontId="5" fillId="0" borderId="53" xfId="0" applyNumberFormat="1" applyFont="1" applyFill="1" applyBorder="1" applyAlignment="1">
      <alignment horizontal="left" vertical="top" wrapText="1"/>
    </xf>
    <xf numFmtId="1" fontId="5" fillId="0" borderId="51" xfId="0" applyNumberFormat="1" applyFont="1" applyFill="1" applyBorder="1" applyAlignment="1">
      <alignment horizontal="center" vertical="top" wrapText="1"/>
    </xf>
    <xf numFmtId="1" fontId="28" fillId="14" borderId="44" xfId="0" applyNumberFormat="1" applyFont="1" applyFill="1" applyBorder="1" applyAlignment="1">
      <alignment horizontal="center" vertical="top" wrapText="1"/>
    </xf>
    <xf numFmtId="1" fontId="5" fillId="0" borderId="23" xfId="0" applyNumberFormat="1" applyFont="1" applyBorder="1" applyAlignment="1">
      <alignment vertical="top" wrapText="1"/>
    </xf>
    <xf numFmtId="1" fontId="5" fillId="0" borderId="57" xfId="0" applyNumberFormat="1" applyFont="1" applyBorder="1" applyAlignment="1">
      <alignment horizontal="center" vertical="top" wrapText="1"/>
    </xf>
    <xf numFmtId="1" fontId="5" fillId="2" borderId="65" xfId="0" applyNumberFormat="1" applyFont="1" applyFill="1" applyBorder="1" applyAlignment="1">
      <alignment horizontal="center" vertical="top" wrapText="1"/>
    </xf>
    <xf numFmtId="1" fontId="5" fillId="0" borderId="65" xfId="0" applyNumberFormat="1" applyFont="1" applyBorder="1" applyAlignment="1">
      <alignment vertical="top" wrapText="1"/>
    </xf>
    <xf numFmtId="1" fontId="5" fillId="2" borderId="58" xfId="0" applyNumberFormat="1" applyFont="1" applyFill="1" applyBorder="1" applyAlignment="1">
      <alignment horizontal="center" vertical="top" wrapText="1"/>
    </xf>
    <xf numFmtId="0" fontId="50" fillId="0" borderId="0" xfId="0" applyFont="1" applyAlignment="1">
      <alignment vertical="top" wrapText="1"/>
    </xf>
    <xf numFmtId="0" fontId="48" fillId="0" borderId="0" xfId="0" applyFont="1" applyAlignment="1">
      <alignment vertical="top" wrapText="1"/>
    </xf>
    <xf numFmtId="0" fontId="5" fillId="2" borderId="57" xfId="0" applyNumberFormat="1" applyFont="1" applyFill="1" applyBorder="1" applyAlignment="1">
      <alignment horizontal="center" vertical="top" wrapText="1"/>
    </xf>
    <xf numFmtId="2" fontId="5" fillId="0" borderId="56" xfId="0" applyNumberFormat="1" applyFont="1" applyBorder="1" applyAlignment="1">
      <alignment horizontal="center" vertical="top" wrapText="1"/>
    </xf>
    <xf numFmtId="1" fontId="5" fillId="2" borderId="63" xfId="0" applyNumberFormat="1" applyFont="1" applyFill="1" applyBorder="1" applyAlignment="1">
      <alignment horizontal="center" vertical="top" wrapText="1"/>
    </xf>
    <xf numFmtId="1" fontId="5" fillId="2" borderId="54" xfId="0" applyNumberFormat="1" applyFont="1" applyFill="1" applyBorder="1" applyAlignment="1">
      <alignment horizontal="center" vertical="top" wrapText="1"/>
    </xf>
    <xf numFmtId="0" fontId="5" fillId="0" borderId="47" xfId="0" applyNumberFormat="1" applyFont="1" applyBorder="1" applyAlignment="1">
      <alignment horizontal="center" vertical="top" wrapText="1"/>
    </xf>
    <xf numFmtId="0" fontId="40" fillId="0" borderId="0" xfId="0" applyFont="1" applyFill="1" applyBorder="1" applyAlignment="1">
      <alignment horizontal="left" vertical="top" wrapText="1"/>
    </xf>
    <xf numFmtId="2" fontId="5" fillId="15" borderId="5" xfId="0" applyNumberFormat="1" applyFont="1" applyFill="1" applyBorder="1" applyAlignment="1">
      <alignment horizontal="center" vertical="top"/>
    </xf>
    <xf numFmtId="2" fontId="5" fillId="2" borderId="28" xfId="0" applyNumberFormat="1" applyFont="1" applyFill="1" applyBorder="1" applyAlignment="1">
      <alignment horizontal="center" vertical="top"/>
    </xf>
    <xf numFmtId="2" fontId="5" fillId="2" borderId="27" xfId="0" applyNumberFormat="1" applyFont="1" applyFill="1" applyBorder="1" applyAlignment="1">
      <alignment horizontal="center" vertical="top"/>
    </xf>
    <xf numFmtId="2" fontId="5" fillId="2" borderId="40" xfId="0" applyNumberFormat="1" applyFont="1" applyFill="1" applyBorder="1" applyAlignment="1">
      <alignment horizontal="center" vertical="top"/>
    </xf>
    <xf numFmtId="2" fontId="26" fillId="0" borderId="75" xfId="0" applyNumberFormat="1" applyFont="1" applyBorder="1" applyAlignment="1">
      <alignment vertical="top" wrapText="1"/>
    </xf>
    <xf numFmtId="1" fontId="26" fillId="2" borderId="13" xfId="0" applyNumberFormat="1" applyFont="1" applyFill="1" applyBorder="1" applyAlignment="1">
      <alignment horizontal="center" vertical="top" wrapText="1"/>
    </xf>
    <xf numFmtId="2" fontId="26" fillId="0" borderId="44" xfId="0" applyNumberFormat="1" applyFont="1" applyBorder="1" applyAlignment="1">
      <alignment horizontal="center" vertical="top" wrapText="1"/>
    </xf>
    <xf numFmtId="0" fontId="52" fillId="0" borderId="0" xfId="0" applyFont="1">
      <alignment vertical="top"/>
    </xf>
    <xf numFmtId="0" fontId="26" fillId="0" borderId="6" xfId="0" applyFont="1" applyBorder="1" applyAlignment="1">
      <alignment horizontal="center" vertical="top" wrapText="1"/>
    </xf>
    <xf numFmtId="0" fontId="26" fillId="0" borderId="50" xfId="0" applyFont="1" applyBorder="1" applyAlignment="1">
      <alignment horizontal="center" vertical="top" wrapText="1"/>
    </xf>
    <xf numFmtId="1" fontId="26" fillId="2" borderId="14" xfId="0" applyNumberFormat="1" applyFont="1" applyFill="1" applyBorder="1" applyAlignment="1">
      <alignment horizontal="center" vertical="top" wrapText="1"/>
    </xf>
    <xf numFmtId="0" fontId="48" fillId="0" borderId="0" xfId="0" applyFont="1">
      <alignment vertical="top"/>
    </xf>
    <xf numFmtId="2" fontId="26" fillId="7" borderId="46" xfId="0" applyNumberFormat="1" applyFont="1" applyFill="1" applyBorder="1" applyAlignment="1">
      <alignment horizontal="center" vertical="top" wrapText="1"/>
    </xf>
    <xf numFmtId="0" fontId="26" fillId="0" borderId="12" xfId="0" applyFont="1" applyBorder="1" applyAlignment="1">
      <alignment horizontal="center" vertical="top" wrapText="1"/>
    </xf>
    <xf numFmtId="0" fontId="5" fillId="0" borderId="46" xfId="0" applyFont="1" applyFill="1" applyBorder="1" applyAlignment="1">
      <alignment horizontal="left" vertical="top" wrapText="1"/>
    </xf>
    <xf numFmtId="2" fontId="5" fillId="2" borderId="62" xfId="0" applyNumberFormat="1" applyFont="1" applyFill="1" applyBorder="1" applyAlignment="1">
      <alignment horizontal="center" vertical="top"/>
    </xf>
    <xf numFmtId="0" fontId="5" fillId="0" borderId="10" xfId="0" applyFont="1" applyFill="1" applyBorder="1" applyAlignment="1">
      <alignment vertical="top" wrapText="1"/>
    </xf>
    <xf numFmtId="0" fontId="5" fillId="2" borderId="6" xfId="0" applyNumberFormat="1" applyFont="1" applyFill="1" applyBorder="1" applyAlignment="1">
      <alignment horizontal="center" vertical="top" wrapText="1"/>
    </xf>
    <xf numFmtId="0" fontId="5" fillId="2" borderId="17" xfId="0" applyNumberFormat="1" applyFont="1" applyFill="1" applyBorder="1" applyAlignment="1">
      <alignment horizontal="center" vertical="top" wrapText="1"/>
    </xf>
    <xf numFmtId="0" fontId="40" fillId="0" borderId="0" xfId="0" applyFont="1" applyFill="1" applyAlignment="1">
      <alignment horizontal="left" vertical="top" wrapText="1"/>
    </xf>
    <xf numFmtId="0" fontId="5" fillId="0" borderId="71" xfId="0" applyFont="1" applyFill="1" applyBorder="1" applyAlignment="1">
      <alignment vertical="top" wrapText="1"/>
    </xf>
    <xf numFmtId="0" fontId="5" fillId="0" borderId="69" xfId="0" applyFont="1" applyFill="1" applyBorder="1" applyAlignment="1">
      <alignment horizontal="left" vertical="top" wrapText="1"/>
    </xf>
    <xf numFmtId="0" fontId="5" fillId="0" borderId="71" xfId="0" applyFont="1" applyFill="1" applyBorder="1" applyAlignment="1">
      <alignment horizontal="left" vertical="top" wrapText="1"/>
    </xf>
    <xf numFmtId="0" fontId="23" fillId="0" borderId="23" xfId="0" applyFont="1" applyFill="1" applyBorder="1" applyAlignment="1">
      <alignment horizontal="left" vertical="top" wrapText="1"/>
    </xf>
    <xf numFmtId="0" fontId="23" fillId="0" borderId="68" xfId="0" applyFont="1" applyFill="1" applyBorder="1" applyAlignment="1">
      <alignment vertical="top" wrapText="1"/>
    </xf>
    <xf numFmtId="0" fontId="5" fillId="0" borderId="77" xfId="0" applyFont="1" applyFill="1" applyBorder="1" applyAlignment="1">
      <alignment horizontal="left" vertical="top" wrapText="1"/>
    </xf>
    <xf numFmtId="0" fontId="5" fillId="0" borderId="60" xfId="0" applyFont="1" applyFill="1" applyBorder="1" applyAlignment="1">
      <alignment horizontal="left" vertical="top" wrapText="1"/>
    </xf>
    <xf numFmtId="0" fontId="5" fillId="0" borderId="73" xfId="0" applyFont="1" applyFill="1" applyBorder="1" applyAlignment="1">
      <alignment horizontal="left" vertical="top" wrapText="1"/>
    </xf>
    <xf numFmtId="0" fontId="5" fillId="0" borderId="33" xfId="0" applyFont="1" applyFill="1" applyBorder="1" applyAlignment="1">
      <alignment horizontal="left" vertical="top" wrapText="1"/>
    </xf>
    <xf numFmtId="1" fontId="23" fillId="2" borderId="57" xfId="0" applyNumberFormat="1" applyFont="1" applyFill="1" applyBorder="1" applyAlignment="1">
      <alignment horizontal="center" vertical="top"/>
    </xf>
    <xf numFmtId="1" fontId="23" fillId="2" borderId="1" xfId="0" applyNumberFormat="1" applyFont="1" applyFill="1" applyBorder="1" applyAlignment="1">
      <alignment horizontal="center" vertical="top"/>
    </xf>
    <xf numFmtId="1" fontId="23" fillId="2" borderId="39" xfId="0" applyNumberFormat="1" applyFont="1" applyFill="1" applyBorder="1" applyAlignment="1">
      <alignment horizontal="center" vertical="top"/>
    </xf>
    <xf numFmtId="1" fontId="5" fillId="0" borderId="0" xfId="0" applyNumberFormat="1" applyFont="1" applyFill="1" applyBorder="1" applyAlignment="1">
      <alignment horizontal="center" vertical="top" wrapText="1"/>
    </xf>
    <xf numFmtId="0" fontId="5" fillId="0" borderId="0" xfId="0" applyFont="1" applyFill="1" applyBorder="1" applyAlignment="1">
      <alignment horizontal="left" vertical="top" wrapText="1"/>
    </xf>
    <xf numFmtId="0" fontId="51" fillId="0" borderId="0" xfId="0" applyFont="1" applyAlignment="1">
      <alignment vertical="top" wrapText="1"/>
    </xf>
    <xf numFmtId="49" fontId="26" fillId="0" borderId="0" xfId="0" applyNumberFormat="1" applyFont="1" applyFill="1" applyBorder="1" applyAlignment="1">
      <alignment vertical="top" wrapText="1"/>
    </xf>
    <xf numFmtId="0" fontId="5" fillId="0" borderId="46" xfId="0" applyFont="1" applyFill="1" applyBorder="1" applyAlignment="1">
      <alignment vertical="top" wrapText="1"/>
    </xf>
    <xf numFmtId="0" fontId="5" fillId="0" borderId="42" xfId="0" applyFont="1" applyBorder="1" applyAlignment="1">
      <alignment vertical="top" wrapText="1"/>
    </xf>
    <xf numFmtId="0" fontId="26" fillId="0" borderId="42" xfId="0" applyFont="1" applyFill="1" applyBorder="1" applyAlignment="1">
      <alignment vertical="top" wrapText="1"/>
    </xf>
    <xf numFmtId="1" fontId="26" fillId="0" borderId="34" xfId="0" applyNumberFormat="1" applyFont="1" applyFill="1" applyBorder="1" applyAlignment="1">
      <alignment vertical="top" wrapText="1"/>
    </xf>
    <xf numFmtId="1" fontId="26" fillId="0" borderId="5" xfId="0" applyNumberFormat="1" applyFont="1" applyFill="1" applyBorder="1" applyAlignment="1">
      <alignment vertical="top" wrapText="1"/>
    </xf>
    <xf numFmtId="1" fontId="26" fillId="0" borderId="59" xfId="0" applyNumberFormat="1" applyFont="1" applyFill="1" applyBorder="1" applyAlignment="1">
      <alignment vertical="top" wrapText="1"/>
    </xf>
    <xf numFmtId="0" fontId="26" fillId="0" borderId="56" xfId="0" applyFont="1" applyFill="1" applyBorder="1" applyAlignment="1">
      <alignment horizontal="right" vertical="top" wrapText="1"/>
    </xf>
    <xf numFmtId="1" fontId="26" fillId="0" borderId="23" xfId="0" applyNumberFormat="1" applyFont="1" applyFill="1" applyBorder="1" applyAlignment="1">
      <alignment vertical="top" wrapText="1"/>
    </xf>
    <xf numFmtId="1" fontId="26" fillId="0" borderId="22" xfId="0" applyNumberFormat="1" applyFont="1" applyFill="1" applyBorder="1" applyAlignment="1">
      <alignment vertical="top" wrapText="1"/>
    </xf>
    <xf numFmtId="2" fontId="26" fillId="0" borderId="56" xfId="0" applyNumberFormat="1" applyFont="1" applyFill="1" applyBorder="1" applyAlignment="1">
      <alignment horizontal="center" vertical="top" wrapText="1"/>
    </xf>
    <xf numFmtId="2" fontId="26" fillId="0" borderId="53" xfId="0" applyNumberFormat="1" applyFont="1" applyFill="1" applyBorder="1" applyAlignment="1">
      <alignment horizontal="center" vertical="top" wrapText="1"/>
    </xf>
    <xf numFmtId="2" fontId="26" fillId="0" borderId="75" xfId="0" applyNumberFormat="1" applyFont="1" applyFill="1" applyBorder="1" applyAlignment="1">
      <alignment horizontal="right" vertical="top" wrapText="1"/>
    </xf>
    <xf numFmtId="2" fontId="26" fillId="0" borderId="49" xfId="0" applyNumberFormat="1" applyFont="1" applyFill="1" applyBorder="1" applyAlignment="1">
      <alignment horizontal="center" vertical="top" wrapText="1"/>
    </xf>
    <xf numFmtId="0" fontId="26" fillId="2" borderId="49" xfId="0" applyFont="1" applyFill="1" applyBorder="1" applyAlignment="1">
      <alignment horizontal="center" vertical="top" wrapText="1"/>
    </xf>
    <xf numFmtId="2" fontId="26" fillId="5" borderId="68" xfId="0" applyNumberFormat="1" applyFont="1" applyFill="1" applyBorder="1" applyAlignment="1">
      <alignment horizontal="center" vertical="top" wrapText="1"/>
    </xf>
    <xf numFmtId="2" fontId="26" fillId="0" borderId="52" xfId="0" applyNumberFormat="1" applyFont="1" applyFill="1" applyBorder="1" applyAlignment="1">
      <alignment horizontal="center" vertical="top" wrapText="1"/>
    </xf>
    <xf numFmtId="2" fontId="26" fillId="0" borderId="43" xfId="0" applyNumberFormat="1" applyFont="1" applyFill="1" applyBorder="1" applyAlignment="1">
      <alignment horizontal="right" vertical="top" wrapText="1" indent="1"/>
    </xf>
    <xf numFmtId="49" fontId="26" fillId="0" borderId="59" xfId="0" applyNumberFormat="1" applyFont="1" applyBorder="1" applyAlignment="1">
      <alignment vertical="top" wrapText="1"/>
    </xf>
    <xf numFmtId="0" fontId="5" fillId="0" borderId="59" xfId="0" applyNumberFormat="1" applyFont="1" applyBorder="1" applyAlignment="1">
      <alignment vertical="top" wrapText="1"/>
    </xf>
    <xf numFmtId="0" fontId="5" fillId="0" borderId="42" xfId="0" applyFont="1" applyFill="1" applyBorder="1" applyAlignment="1">
      <alignment horizontal="left" vertical="top" wrapText="1"/>
    </xf>
    <xf numFmtId="0" fontId="5" fillId="0" borderId="46" xfId="0" applyFont="1" applyFill="1" applyBorder="1" applyAlignment="1">
      <alignment vertical="top" wrapText="1"/>
    </xf>
    <xf numFmtId="0" fontId="26" fillId="0" borderId="7" xfId="0" applyFont="1" applyFill="1" applyBorder="1" applyAlignment="1">
      <alignment horizontal="center" vertical="top" wrapText="1"/>
    </xf>
    <xf numFmtId="0" fontId="12" fillId="0" borderId="5" xfId="0" applyFont="1" applyFill="1" applyBorder="1" applyAlignment="1">
      <alignment vertical="top" wrapText="1"/>
    </xf>
    <xf numFmtId="0" fontId="28" fillId="0" borderId="5" xfId="0" applyFont="1" applyBorder="1" applyAlignment="1">
      <alignment vertical="top" wrapText="1"/>
    </xf>
    <xf numFmtId="2" fontId="28" fillId="0" borderId="44" xfId="0" applyNumberFormat="1" applyFont="1" applyFill="1" applyBorder="1" applyAlignment="1">
      <alignment horizontal="right" vertical="top" wrapText="1"/>
    </xf>
    <xf numFmtId="0" fontId="5" fillId="0" borderId="33" xfId="0" applyFont="1" applyBorder="1" applyAlignment="1">
      <alignment vertical="top" wrapText="1"/>
    </xf>
    <xf numFmtId="0" fontId="31" fillId="0" borderId="0" xfId="0" applyFont="1" applyFill="1" applyBorder="1" applyAlignment="1">
      <alignment horizontal="center" vertical="top"/>
    </xf>
    <xf numFmtId="0" fontId="31" fillId="0" borderId="0" xfId="0" applyFont="1" applyFill="1" applyBorder="1" applyAlignment="1" applyProtection="1">
      <alignment horizontal="center" vertical="top"/>
      <protection locked="0"/>
    </xf>
    <xf numFmtId="0" fontId="28" fillId="0" borderId="54" xfId="0" applyFont="1" applyFill="1" applyBorder="1" applyAlignment="1">
      <alignment vertical="top" wrapText="1"/>
    </xf>
    <xf numFmtId="0" fontId="28" fillId="0" borderId="60" xfId="0" applyFont="1" applyFill="1" applyBorder="1" applyAlignment="1">
      <alignment vertical="top" wrapText="1"/>
    </xf>
    <xf numFmtId="0" fontId="5" fillId="0" borderId="4" xfId="0" applyFont="1" applyFill="1" applyBorder="1" applyAlignment="1">
      <alignment vertical="top" wrapText="1"/>
    </xf>
    <xf numFmtId="0" fontId="5" fillId="0" borderId="47" xfId="0" applyFont="1" applyFill="1" applyBorder="1" applyAlignment="1">
      <alignment vertical="top" wrapText="1"/>
    </xf>
    <xf numFmtId="0" fontId="5" fillId="0" borderId="77" xfId="0" applyFont="1" applyBorder="1" applyAlignment="1">
      <alignment vertical="top" wrapText="1"/>
    </xf>
    <xf numFmtId="0" fontId="5" fillId="0" borderId="74" xfId="0" applyFont="1" applyBorder="1" applyAlignment="1">
      <alignment vertical="top" wrapText="1"/>
    </xf>
    <xf numFmtId="0" fontId="5" fillId="0" borderId="74" xfId="0" applyFont="1" applyFill="1" applyBorder="1" applyAlignment="1">
      <alignment vertical="top" wrapText="1"/>
    </xf>
    <xf numFmtId="0" fontId="5" fillId="0" borderId="6" xfId="0" applyFont="1" applyFill="1" applyBorder="1" applyAlignment="1">
      <alignment vertical="top" wrapText="1"/>
    </xf>
    <xf numFmtId="0" fontId="5" fillId="0" borderId="54" xfId="0" applyFont="1" applyFill="1" applyBorder="1" applyAlignment="1">
      <alignment vertical="top" wrapText="1"/>
    </xf>
    <xf numFmtId="0" fontId="44" fillId="0" borderId="0" xfId="0" applyFont="1" applyFill="1" applyBorder="1" applyAlignment="1">
      <alignment horizontal="right" vertical="top"/>
    </xf>
    <xf numFmtId="0" fontId="25" fillId="18" borderId="0" xfId="0" applyFont="1" applyFill="1" applyBorder="1" applyAlignment="1">
      <alignment horizontal="left" vertical="top" wrapText="1"/>
    </xf>
    <xf numFmtId="0" fontId="5" fillId="18" borderId="0" xfId="0" applyFont="1" applyFill="1" applyBorder="1" applyAlignment="1">
      <alignment vertical="top"/>
    </xf>
    <xf numFmtId="0" fontId="25" fillId="0" borderId="5" xfId="0" applyFont="1" applyBorder="1" applyAlignment="1">
      <alignment vertical="top" wrapText="1"/>
    </xf>
    <xf numFmtId="0" fontId="5" fillId="0" borderId="54" xfId="0" applyFont="1" applyBorder="1" applyAlignment="1">
      <alignment vertical="top" wrapText="1"/>
    </xf>
    <xf numFmtId="0" fontId="16" fillId="0" borderId="46" xfId="0" applyFont="1" applyBorder="1" applyAlignment="1">
      <alignment vertical="top" wrapText="1"/>
    </xf>
    <xf numFmtId="0" fontId="25" fillId="0" borderId="46" xfId="0" applyFont="1" applyBorder="1" applyAlignment="1">
      <alignment vertical="top"/>
    </xf>
    <xf numFmtId="0" fontId="5" fillId="0" borderId="46" xfId="0" applyFont="1" applyBorder="1" applyAlignment="1">
      <alignment vertical="top"/>
    </xf>
    <xf numFmtId="0" fontId="5" fillId="0" borderId="34" xfId="0" applyFont="1" applyBorder="1" applyAlignment="1">
      <alignment vertical="top"/>
    </xf>
    <xf numFmtId="0" fontId="31" fillId="0" borderId="0" xfId="0" applyFont="1" applyFill="1" applyBorder="1" applyAlignment="1" applyProtection="1">
      <alignment horizontal="center" vertical="top" wrapText="1"/>
      <protection locked="0"/>
    </xf>
    <xf numFmtId="0" fontId="6" fillId="0" borderId="0" xfId="0" applyFont="1" applyFill="1" applyBorder="1" applyAlignment="1">
      <alignment horizontal="left" vertical="top"/>
    </xf>
    <xf numFmtId="0" fontId="46" fillId="0" borderId="0" xfId="1" applyFont="1" applyAlignment="1">
      <alignment vertical="top"/>
    </xf>
    <xf numFmtId="2" fontId="10" fillId="0" borderId="0" xfId="1" applyNumberFormat="1" applyFont="1" applyBorder="1" applyAlignment="1">
      <alignment vertical="center"/>
    </xf>
    <xf numFmtId="0" fontId="49" fillId="0" borderId="1" xfId="0" applyFont="1" applyBorder="1" applyAlignment="1">
      <alignment horizontal="center" vertical="top" wrapText="1"/>
    </xf>
    <xf numFmtId="0" fontId="49" fillId="0" borderId="0" xfId="0" applyFont="1" applyBorder="1" applyAlignment="1">
      <alignment horizontal="center" vertical="top" wrapText="1"/>
    </xf>
    <xf numFmtId="0" fontId="49" fillId="0" borderId="3" xfId="0" applyFont="1" applyBorder="1" applyAlignment="1">
      <alignment horizontal="center" vertical="top" wrapText="1"/>
    </xf>
    <xf numFmtId="49" fontId="2" fillId="24" borderId="5" xfId="1" applyNumberFormat="1" applyFont="1" applyFill="1" applyBorder="1" applyAlignment="1">
      <alignment horizontal="center" vertical="center" wrapText="1"/>
    </xf>
    <xf numFmtId="49" fontId="18" fillId="24" borderId="36" xfId="1" applyNumberFormat="1" applyFont="1" applyFill="1" applyBorder="1" applyAlignment="1">
      <alignment horizontal="center" vertical="center" wrapText="1"/>
    </xf>
    <xf numFmtId="49" fontId="2" fillId="24" borderId="34" xfId="1" applyNumberFormat="1" applyFont="1" applyFill="1" applyBorder="1" applyAlignment="1">
      <alignment horizontal="center" vertical="center" wrapText="1"/>
    </xf>
    <xf numFmtId="49" fontId="19" fillId="24" borderId="6" xfId="1" applyNumberFormat="1" applyFont="1" applyFill="1" applyBorder="1" applyAlignment="1">
      <alignment vertical="center" wrapText="1"/>
    </xf>
    <xf numFmtId="49" fontId="19" fillId="24" borderId="17" xfId="1" applyNumberFormat="1" applyFont="1" applyFill="1" applyBorder="1" applyAlignment="1">
      <alignment vertical="center" wrapText="1"/>
    </xf>
    <xf numFmtId="49" fontId="10" fillId="0" borderId="5" xfId="1" applyNumberFormat="1" applyFont="1" applyFill="1" applyBorder="1" applyAlignment="1">
      <alignment vertical="center"/>
    </xf>
    <xf numFmtId="49" fontId="19" fillId="24" borderId="12" xfId="1" applyNumberFormat="1" applyFont="1" applyFill="1" applyBorder="1" applyAlignment="1">
      <alignment vertical="center" wrapText="1"/>
    </xf>
    <xf numFmtId="0" fontId="16" fillId="0" borderId="0" xfId="0" applyFont="1" applyAlignment="1">
      <alignment vertical="center" wrapText="1"/>
    </xf>
    <xf numFmtId="0" fontId="16" fillId="5" borderId="5" xfId="0" applyFont="1" applyFill="1" applyBorder="1" applyAlignment="1">
      <alignment horizontal="center" vertical="center" wrapText="1"/>
    </xf>
    <xf numFmtId="49" fontId="16" fillId="15" borderId="5" xfId="0" applyNumberFormat="1" applyFont="1" applyFill="1" applyBorder="1" applyAlignment="1">
      <alignment horizontal="center" vertical="center" wrapText="1"/>
    </xf>
    <xf numFmtId="1" fontId="16" fillId="5" borderId="42" xfId="0" applyNumberFormat="1" applyFont="1" applyFill="1" applyBorder="1" applyAlignment="1" applyProtection="1">
      <alignment horizontal="center" vertical="center" wrapText="1"/>
      <protection hidden="1"/>
    </xf>
    <xf numFmtId="0" fontId="16" fillId="5" borderId="42" xfId="0" applyFont="1" applyFill="1" applyBorder="1" applyAlignment="1" applyProtection="1">
      <alignment horizontal="center" vertical="center" wrapText="1"/>
      <protection hidden="1"/>
    </xf>
    <xf numFmtId="2" fontId="16" fillId="5" borderId="42" xfId="0" applyNumberFormat="1" applyFont="1" applyFill="1" applyBorder="1" applyAlignment="1" applyProtection="1">
      <alignment horizontal="center" vertical="center" wrapText="1"/>
    </xf>
    <xf numFmtId="0" fontId="16" fillId="5" borderId="71" xfId="0" applyFont="1" applyFill="1" applyBorder="1" applyAlignment="1">
      <alignment horizontal="center" vertical="center" wrapText="1"/>
    </xf>
    <xf numFmtId="0" fontId="16" fillId="15" borderId="11" xfId="0" applyFont="1" applyFill="1" applyBorder="1" applyAlignment="1">
      <alignment horizontal="center" vertical="center" wrapText="1"/>
    </xf>
    <xf numFmtId="0" fontId="28" fillId="0" borderId="69" xfId="0" applyNumberFormat="1" applyFont="1" applyBorder="1" applyAlignment="1">
      <alignment vertical="top" wrapText="1"/>
    </xf>
    <xf numFmtId="0" fontId="5" fillId="0" borderId="23" xfId="0" applyFont="1" applyBorder="1" applyAlignment="1">
      <alignment vertical="top" wrapText="1"/>
    </xf>
    <xf numFmtId="0" fontId="5" fillId="0" borderId="42" xfId="0" applyFont="1" applyBorder="1" applyAlignment="1">
      <alignment vertical="top" wrapText="1"/>
    </xf>
    <xf numFmtId="0" fontId="5" fillId="0" borderId="22" xfId="0" applyFont="1" applyBorder="1" applyAlignment="1">
      <alignment horizontal="left" vertical="top" wrapText="1"/>
    </xf>
    <xf numFmtId="0" fontId="5" fillId="0" borderId="6" xfId="0" applyFont="1" applyFill="1" applyBorder="1" applyAlignment="1">
      <alignment vertical="top" wrapText="1"/>
    </xf>
    <xf numFmtId="0" fontId="5" fillId="0" borderId="34" xfId="0" applyFont="1" applyFill="1" applyBorder="1" applyAlignment="1">
      <alignment horizontal="left" vertical="top" wrapText="1"/>
    </xf>
    <xf numFmtId="0" fontId="5" fillId="0" borderId="41" xfId="0" applyFont="1" applyFill="1" applyBorder="1" applyAlignment="1">
      <alignment horizontal="left" vertical="top" wrapText="1"/>
    </xf>
    <xf numFmtId="0" fontId="5" fillId="0" borderId="42" xfId="0" applyFont="1" applyBorder="1" applyAlignment="1">
      <alignment horizontal="left" vertical="top" wrapText="1"/>
    </xf>
    <xf numFmtId="0" fontId="5" fillId="0" borderId="0" xfId="0" applyFont="1" applyBorder="1" applyAlignment="1">
      <alignment horizontal="center" vertical="top" wrapText="1"/>
    </xf>
    <xf numFmtId="0" fontId="5" fillId="0" borderId="42" xfId="0" applyFont="1" applyFill="1" applyBorder="1" applyAlignment="1">
      <alignment vertical="top" wrapText="1"/>
    </xf>
    <xf numFmtId="0" fontId="5" fillId="0" borderId="56" xfId="0" applyFont="1" applyBorder="1" applyAlignment="1">
      <alignment horizontal="center" vertical="top" wrapText="1"/>
    </xf>
    <xf numFmtId="0" fontId="5" fillId="0" borderId="30" xfId="0" applyFont="1" applyFill="1" applyBorder="1" applyAlignment="1">
      <alignment vertical="top" wrapText="1"/>
    </xf>
    <xf numFmtId="49" fontId="16" fillId="5" borderId="5" xfId="0" applyNumberFormat="1" applyFont="1" applyFill="1" applyBorder="1" applyAlignment="1">
      <alignment horizontal="center" vertical="center" wrapText="1"/>
    </xf>
    <xf numFmtId="0" fontId="16" fillId="5" borderId="53" xfId="0" applyFont="1" applyFill="1" applyBorder="1" applyAlignment="1">
      <alignment horizontal="center" vertical="center" wrapText="1"/>
    </xf>
    <xf numFmtId="1" fontId="16" fillId="5" borderId="5" xfId="0" applyNumberFormat="1" applyFont="1" applyFill="1" applyBorder="1" applyAlignment="1" applyProtection="1">
      <alignment horizontal="center" vertical="center" wrapText="1"/>
      <protection hidden="1"/>
    </xf>
    <xf numFmtId="0" fontId="16" fillId="5" borderId="53" xfId="0" applyFont="1" applyFill="1" applyBorder="1" applyAlignment="1" applyProtection="1">
      <alignment horizontal="center" vertical="center" wrapText="1"/>
      <protection hidden="1"/>
    </xf>
    <xf numFmtId="2" fontId="16" fillId="5" borderId="5" xfId="0" applyNumberFormat="1" applyFont="1" applyFill="1" applyBorder="1" applyAlignment="1" applyProtection="1">
      <alignment horizontal="center" vertical="center" wrapText="1"/>
      <protection hidden="1"/>
    </xf>
    <xf numFmtId="0" fontId="16" fillId="5" borderId="41" xfId="0" applyFont="1" applyFill="1" applyBorder="1" applyAlignment="1">
      <alignment horizontal="center" vertical="center" wrapText="1"/>
    </xf>
    <xf numFmtId="0" fontId="16" fillId="13" borderId="34" xfId="0" applyFont="1" applyFill="1" applyBorder="1" applyAlignment="1">
      <alignment horizontal="center" vertical="center" wrapText="1"/>
    </xf>
    <xf numFmtId="0" fontId="16" fillId="13" borderId="5" xfId="0" applyFont="1" applyFill="1" applyBorder="1" applyAlignment="1">
      <alignment horizontal="center" vertical="center" wrapText="1"/>
    </xf>
    <xf numFmtId="49" fontId="16" fillId="13" borderId="5" xfId="0" applyNumberFormat="1" applyFont="1" applyFill="1" applyBorder="1" applyAlignment="1">
      <alignment horizontal="center" vertical="center" wrapText="1"/>
    </xf>
    <xf numFmtId="49" fontId="16" fillId="13" borderId="53" xfId="0" applyNumberFormat="1" applyFont="1" applyFill="1" applyBorder="1" applyAlignment="1">
      <alignment horizontal="center" vertical="center" wrapText="1"/>
    </xf>
    <xf numFmtId="1" fontId="16" fillId="13" borderId="5" xfId="0" applyNumberFormat="1" applyFont="1" applyFill="1" applyBorder="1" applyAlignment="1" applyProtection="1">
      <alignment horizontal="center" vertical="center" wrapText="1"/>
      <protection hidden="1"/>
    </xf>
    <xf numFmtId="0" fontId="16" fillId="13" borderId="53" xfId="0" applyFont="1" applyFill="1" applyBorder="1" applyAlignment="1" applyProtection="1">
      <alignment horizontal="center" vertical="center" wrapText="1"/>
      <protection hidden="1"/>
    </xf>
    <xf numFmtId="2" fontId="16" fillId="13" borderId="5" xfId="0" applyNumberFormat="1" applyFont="1" applyFill="1" applyBorder="1" applyAlignment="1" applyProtection="1">
      <alignment horizontal="center" vertical="center" wrapText="1"/>
      <protection hidden="1"/>
    </xf>
    <xf numFmtId="0" fontId="16" fillId="13" borderId="41" xfId="0" applyFont="1" applyFill="1" applyBorder="1" applyAlignment="1">
      <alignment horizontal="center" vertical="center" wrapText="1"/>
    </xf>
    <xf numFmtId="2" fontId="28" fillId="5" borderId="5" xfId="0" applyNumberFormat="1" applyFont="1" applyFill="1" applyBorder="1" applyAlignment="1">
      <alignment horizontal="center" vertical="center" wrapText="1"/>
    </xf>
    <xf numFmtId="2" fontId="28" fillId="7" borderId="5" xfId="0" applyNumberFormat="1" applyFont="1" applyFill="1" applyBorder="1" applyAlignment="1">
      <alignment horizontal="center" vertical="center" wrapText="1"/>
    </xf>
    <xf numFmtId="0" fontId="30" fillId="0" borderId="5" xfId="0" applyFont="1" applyBorder="1" applyAlignment="1" applyProtection="1">
      <alignment horizontal="center" vertical="center"/>
      <protection hidden="1"/>
    </xf>
    <xf numFmtId="0" fontId="5" fillId="0" borderId="42" xfId="0" applyFont="1" applyFill="1" applyBorder="1" applyAlignment="1">
      <alignment vertical="top"/>
    </xf>
    <xf numFmtId="0" fontId="16" fillId="5" borderId="34" xfId="0" applyFont="1" applyFill="1" applyBorder="1" applyAlignment="1">
      <alignment horizontal="center" vertical="center" wrapText="1"/>
    </xf>
    <xf numFmtId="49" fontId="16" fillId="5" borderId="41" xfId="0" applyNumberFormat="1" applyFont="1" applyFill="1" applyBorder="1" applyAlignment="1">
      <alignment horizontal="center" vertical="center" wrapText="1"/>
    </xf>
    <xf numFmtId="0" fontId="16" fillId="13" borderId="68" xfId="0" applyFont="1" applyFill="1" applyBorder="1" applyAlignment="1">
      <alignment horizontal="center" vertical="center" wrapText="1"/>
    </xf>
    <xf numFmtId="0" fontId="16" fillId="13" borderId="23" xfId="0" applyFont="1" applyFill="1" applyBorder="1" applyAlignment="1">
      <alignment horizontal="center" vertical="center" wrapText="1"/>
    </xf>
    <xf numFmtId="49" fontId="16" fillId="13" borderId="23" xfId="0" applyNumberFormat="1" applyFont="1" applyFill="1" applyBorder="1" applyAlignment="1">
      <alignment horizontal="center" vertical="center" wrapText="1"/>
    </xf>
    <xf numFmtId="49" fontId="16" fillId="13" borderId="59" xfId="0" applyNumberFormat="1" applyFont="1" applyFill="1" applyBorder="1" applyAlignment="1">
      <alignment horizontal="center" vertical="center" wrapText="1"/>
    </xf>
    <xf numFmtId="1" fontId="16" fillId="13" borderId="23" xfId="0" applyNumberFormat="1" applyFont="1" applyFill="1" applyBorder="1" applyAlignment="1" applyProtection="1">
      <alignment horizontal="center" vertical="center" wrapText="1"/>
      <protection hidden="1"/>
    </xf>
    <xf numFmtId="0" fontId="16" fillId="13" borderId="59" xfId="0" applyFont="1" applyFill="1" applyBorder="1" applyAlignment="1" applyProtection="1">
      <alignment horizontal="center" vertical="center" wrapText="1"/>
      <protection hidden="1"/>
    </xf>
    <xf numFmtId="2" fontId="16" fillId="13" borderId="23" xfId="0" applyNumberFormat="1" applyFont="1" applyFill="1" applyBorder="1" applyAlignment="1" applyProtection="1">
      <alignment horizontal="center" vertical="center" wrapText="1"/>
      <protection hidden="1"/>
    </xf>
    <xf numFmtId="0" fontId="16" fillId="5" borderId="51" xfId="0" applyFont="1" applyFill="1" applyBorder="1" applyAlignment="1">
      <alignment horizontal="center" vertical="center" wrapText="1"/>
    </xf>
    <xf numFmtId="0" fontId="16" fillId="13" borderId="22" xfId="0" applyFont="1" applyFill="1" applyBorder="1" applyAlignment="1">
      <alignment horizontal="center" vertical="center" wrapText="1"/>
    </xf>
    <xf numFmtId="0" fontId="16" fillId="13" borderId="42" xfId="0" applyFont="1" applyFill="1" applyBorder="1" applyAlignment="1">
      <alignment horizontal="center" vertical="center" wrapText="1"/>
    </xf>
    <xf numFmtId="49" fontId="16" fillId="13" borderId="10" xfId="0" applyNumberFormat="1" applyFont="1" applyFill="1" applyBorder="1" applyAlignment="1">
      <alignment horizontal="center" vertical="center" wrapText="1"/>
    </xf>
    <xf numFmtId="49" fontId="16" fillId="13" borderId="42" xfId="0" applyNumberFormat="1" applyFont="1" applyFill="1" applyBorder="1" applyAlignment="1">
      <alignment horizontal="center" vertical="center" wrapText="1"/>
    </xf>
    <xf numFmtId="1" fontId="16" fillId="13" borderId="10" xfId="0" applyNumberFormat="1" applyFont="1" applyFill="1" applyBorder="1" applyAlignment="1" applyProtection="1">
      <alignment horizontal="center" vertical="center" wrapText="1"/>
      <protection hidden="1"/>
    </xf>
    <xf numFmtId="0" fontId="16" fillId="13" borderId="42" xfId="0" applyFont="1" applyFill="1" applyBorder="1" applyAlignment="1" applyProtection="1">
      <alignment horizontal="center" vertical="center" wrapText="1"/>
      <protection hidden="1"/>
    </xf>
    <xf numFmtId="2" fontId="16" fillId="13" borderId="10" xfId="0" applyNumberFormat="1" applyFont="1" applyFill="1" applyBorder="1" applyAlignment="1" applyProtection="1">
      <alignment horizontal="center" vertical="center" wrapText="1"/>
      <protection hidden="1"/>
    </xf>
    <xf numFmtId="0" fontId="5" fillId="0" borderId="6" xfId="0" applyFont="1" applyFill="1" applyBorder="1" applyAlignment="1">
      <alignment vertical="top" wrapText="1"/>
    </xf>
    <xf numFmtId="0" fontId="5" fillId="0" borderId="71" xfId="0" applyFont="1" applyFill="1" applyBorder="1" applyAlignment="1">
      <alignment horizontal="left" vertical="top" wrapText="1"/>
    </xf>
    <xf numFmtId="0" fontId="5" fillId="0" borderId="56" xfId="0" applyFont="1" applyFill="1" applyBorder="1" applyAlignment="1">
      <alignment vertical="top" wrapText="1"/>
    </xf>
    <xf numFmtId="0" fontId="16" fillId="15" borderId="5" xfId="0" applyFont="1" applyFill="1" applyBorder="1" applyAlignment="1">
      <alignment vertical="center" wrapText="1"/>
    </xf>
    <xf numFmtId="0" fontId="28" fillId="2" borderId="66" xfId="0" applyFont="1" applyFill="1" applyBorder="1" applyAlignment="1">
      <alignment horizontal="center" vertical="top" wrapText="1"/>
    </xf>
    <xf numFmtId="0" fontId="28" fillId="0" borderId="74" xfId="0" applyFont="1" applyFill="1" applyBorder="1" applyAlignment="1">
      <alignment vertical="top" wrapText="1"/>
    </xf>
    <xf numFmtId="0" fontId="28" fillId="0" borderId="77" xfId="0" applyFont="1" applyFill="1" applyBorder="1" applyAlignment="1">
      <alignment vertical="top" wrapText="1"/>
    </xf>
    <xf numFmtId="0" fontId="28" fillId="0" borderId="20" xfId="0" applyFont="1" applyFill="1" applyBorder="1" applyAlignment="1">
      <alignment vertical="top" wrapText="1"/>
    </xf>
    <xf numFmtId="0" fontId="28" fillId="0" borderId="78" xfId="0" applyFont="1" applyFill="1" applyBorder="1" applyAlignment="1">
      <alignment vertical="top" wrapText="1"/>
    </xf>
    <xf numFmtId="0" fontId="28" fillId="2" borderId="54" xfId="0" applyFont="1" applyFill="1" applyBorder="1" applyAlignment="1">
      <alignment horizontal="center" vertical="top" wrapText="1"/>
    </xf>
    <xf numFmtId="0" fontId="28" fillId="0" borderId="9" xfId="0" applyFont="1" applyFill="1" applyBorder="1" applyAlignment="1">
      <alignment horizontal="center" vertical="top" wrapText="1"/>
    </xf>
    <xf numFmtId="0" fontId="28" fillId="0" borderId="13" xfId="0" applyFont="1" applyFill="1" applyBorder="1" applyAlignment="1">
      <alignment horizontal="center" vertical="top" wrapText="1"/>
    </xf>
    <xf numFmtId="0" fontId="28" fillId="0" borderId="8" xfId="0" applyFont="1" applyFill="1" applyBorder="1" applyAlignment="1">
      <alignment horizontal="center" vertical="top" wrapText="1"/>
    </xf>
    <xf numFmtId="1" fontId="28" fillId="0" borderId="17" xfId="0" applyNumberFormat="1" applyFont="1" applyBorder="1" applyAlignment="1">
      <alignment horizontal="left" vertical="top" wrapText="1"/>
    </xf>
    <xf numFmtId="0" fontId="28" fillId="0" borderId="76" xfId="0" applyFont="1" applyBorder="1" applyAlignment="1">
      <alignment vertical="top" wrapText="1"/>
    </xf>
    <xf numFmtId="0" fontId="28" fillId="0" borderId="33" xfId="0" applyFont="1" applyBorder="1" applyAlignment="1">
      <alignment vertical="top" wrapText="1"/>
    </xf>
    <xf numFmtId="0" fontId="28" fillId="0" borderId="75" xfId="0" applyFont="1" applyBorder="1" applyAlignment="1">
      <alignment vertical="top" wrapText="1"/>
    </xf>
    <xf numFmtId="1" fontId="28" fillId="2" borderId="50" xfId="0" applyNumberFormat="1" applyFont="1" applyFill="1" applyBorder="1" applyAlignment="1" applyProtection="1">
      <alignment horizontal="center" vertical="top" wrapText="1"/>
      <protection hidden="1"/>
    </xf>
    <xf numFmtId="1" fontId="28" fillId="2" borderId="54" xfId="0" applyNumberFormat="1" applyFont="1" applyFill="1" applyBorder="1" applyAlignment="1" applyProtection="1">
      <alignment horizontal="center" vertical="top" wrapText="1"/>
      <protection hidden="1"/>
    </xf>
    <xf numFmtId="0" fontId="5" fillId="0" borderId="5" xfId="0" applyFont="1" applyFill="1" applyBorder="1" applyAlignment="1">
      <alignment vertical="top"/>
    </xf>
    <xf numFmtId="0" fontId="16" fillId="15" borderId="5" xfId="0" applyFont="1" applyFill="1" applyBorder="1" applyAlignment="1">
      <alignment horizontal="center" vertical="center" wrapText="1"/>
    </xf>
    <xf numFmtId="1" fontId="28" fillId="2" borderId="66" xfId="0" applyNumberFormat="1" applyFont="1" applyFill="1" applyBorder="1" applyAlignment="1">
      <alignment horizontal="center" vertical="top" wrapText="1"/>
    </xf>
    <xf numFmtId="0" fontId="28" fillId="0" borderId="73" xfId="0" applyFont="1" applyBorder="1" applyAlignment="1">
      <alignment horizontal="left" vertical="top" wrapText="1"/>
    </xf>
    <xf numFmtId="1" fontId="28" fillId="0" borderId="7" xfId="0" applyNumberFormat="1" applyFont="1" applyBorder="1" applyAlignment="1">
      <alignment horizontal="center" vertical="top" wrapText="1"/>
    </xf>
    <xf numFmtId="0" fontId="28" fillId="0" borderId="54" xfId="0" applyFont="1" applyBorder="1" applyAlignment="1">
      <alignment vertical="top" wrapText="1"/>
    </xf>
    <xf numFmtId="0" fontId="28" fillId="0" borderId="17" xfId="0" applyFont="1" applyBorder="1" applyAlignment="1">
      <alignment horizontal="center" vertical="top" wrapText="1"/>
    </xf>
    <xf numFmtId="0" fontId="28" fillId="0" borderId="60" xfId="0" applyFont="1" applyBorder="1" applyAlignment="1">
      <alignment vertical="top" wrapText="1"/>
    </xf>
    <xf numFmtId="1" fontId="5" fillId="0" borderId="12" xfId="0" applyNumberFormat="1" applyFont="1" applyBorder="1" applyAlignment="1">
      <alignment vertical="top" wrapText="1"/>
    </xf>
    <xf numFmtId="0" fontId="5" fillId="0" borderId="11" xfId="0" applyFont="1" applyBorder="1" applyAlignment="1">
      <alignment horizontal="center" vertical="top" wrapText="1"/>
    </xf>
    <xf numFmtId="0" fontId="5" fillId="0" borderId="48" xfId="0" applyFont="1" applyBorder="1" applyAlignment="1">
      <alignment horizontal="center" vertical="top" wrapText="1"/>
    </xf>
    <xf numFmtId="0" fontId="5" fillId="0" borderId="76" xfId="0" applyFont="1" applyBorder="1" applyAlignment="1">
      <alignment vertical="top" wrapText="1"/>
    </xf>
    <xf numFmtId="0" fontId="5" fillId="0" borderId="20" xfId="0" applyFont="1" applyBorder="1" applyAlignment="1">
      <alignment vertical="top" wrapText="1"/>
    </xf>
    <xf numFmtId="2" fontId="5" fillId="7" borderId="23" xfId="0" applyNumberFormat="1" applyFont="1" applyFill="1" applyBorder="1" applyAlignment="1">
      <alignment horizontal="center" vertical="top" wrapText="1"/>
    </xf>
    <xf numFmtId="0" fontId="5" fillId="0" borderId="41"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0" borderId="15" xfId="0" applyNumberFormat="1" applyFont="1" applyBorder="1" applyAlignment="1">
      <alignment horizontal="left" vertical="top" wrapText="1"/>
    </xf>
    <xf numFmtId="0" fontId="5" fillId="0" borderId="10" xfId="0" applyNumberFormat="1" applyFont="1" applyBorder="1" applyAlignment="1">
      <alignment horizontal="left" vertical="top" wrapText="1"/>
    </xf>
    <xf numFmtId="1" fontId="16" fillId="5" borderId="53" xfId="0" applyNumberFormat="1" applyFont="1" applyFill="1" applyBorder="1" applyAlignment="1" applyProtection="1">
      <alignment horizontal="center" vertical="center" wrapText="1"/>
      <protection hidden="1"/>
    </xf>
    <xf numFmtId="0" fontId="16" fillId="5" borderId="5" xfId="0" applyFont="1" applyFill="1" applyBorder="1" applyAlignment="1" applyProtection="1">
      <alignment horizontal="center" vertical="center" wrapText="1"/>
      <protection hidden="1"/>
    </xf>
    <xf numFmtId="2" fontId="16" fillId="5" borderId="53" xfId="0" applyNumberFormat="1" applyFont="1" applyFill="1" applyBorder="1" applyAlignment="1" applyProtection="1">
      <alignment horizontal="center" vertical="center" wrapText="1"/>
      <protection hidden="1"/>
    </xf>
    <xf numFmtId="0" fontId="5" fillId="0" borderId="41" xfId="0" applyNumberFormat="1" applyFont="1" applyFill="1" applyBorder="1" applyAlignment="1">
      <alignment vertical="top" wrapText="1"/>
    </xf>
    <xf numFmtId="0" fontId="5" fillId="0" borderId="12" xfId="0" applyNumberFormat="1" applyFont="1" applyFill="1" applyBorder="1" applyAlignment="1">
      <alignment vertical="top" wrapText="1"/>
    </xf>
    <xf numFmtId="0" fontId="5" fillId="0" borderId="6" xfId="0" applyNumberFormat="1" applyFont="1" applyFill="1" applyBorder="1" applyAlignment="1">
      <alignment vertical="top" wrapText="1"/>
    </xf>
    <xf numFmtId="0" fontId="5" fillId="0" borderId="17" xfId="0" applyNumberFormat="1" applyFont="1" applyFill="1" applyBorder="1" applyAlignment="1">
      <alignment vertical="top" wrapText="1"/>
    </xf>
    <xf numFmtId="2" fontId="5" fillId="0" borderId="41" xfId="0" applyNumberFormat="1" applyFont="1" applyFill="1" applyBorder="1" applyAlignment="1">
      <alignment horizontal="left" vertical="top" wrapText="1"/>
    </xf>
    <xf numFmtId="2" fontId="5" fillId="0" borderId="12" xfId="0" applyNumberFormat="1" applyFont="1" applyFill="1" applyBorder="1" applyAlignment="1">
      <alignment horizontal="left" vertical="top" wrapText="1"/>
    </xf>
    <xf numFmtId="2" fontId="5" fillId="0" borderId="6" xfId="0" applyNumberFormat="1" applyFont="1" applyFill="1" applyBorder="1" applyAlignment="1">
      <alignment horizontal="left" vertical="top" wrapText="1"/>
    </xf>
    <xf numFmtId="2" fontId="5" fillId="0" borderId="50" xfId="0" applyNumberFormat="1" applyFont="1" applyFill="1" applyBorder="1" applyAlignment="1">
      <alignment horizontal="left" vertical="top" wrapText="1"/>
    </xf>
    <xf numFmtId="49" fontId="5" fillId="0" borderId="34" xfId="0" applyNumberFormat="1" applyFont="1" applyBorder="1" applyAlignment="1">
      <alignment horizontal="left" vertical="top" wrapText="1"/>
    </xf>
    <xf numFmtId="0" fontId="5" fillId="0" borderId="5" xfId="0" applyNumberFormat="1" applyFont="1" applyFill="1" applyBorder="1" applyAlignment="1">
      <alignment vertical="top" wrapText="1"/>
    </xf>
    <xf numFmtId="0" fontId="5" fillId="0" borderId="6" xfId="0" applyNumberFormat="1" applyFont="1" applyBorder="1" applyAlignment="1">
      <alignment horizontal="left" vertical="top" wrapText="1"/>
    </xf>
    <xf numFmtId="0" fontId="5" fillId="0" borderId="50" xfId="0" applyNumberFormat="1" applyFont="1" applyBorder="1" applyAlignment="1">
      <alignment horizontal="left" vertical="top" wrapText="1"/>
    </xf>
    <xf numFmtId="0" fontId="5" fillId="0" borderId="12" xfId="0" applyNumberFormat="1" applyFont="1" applyBorder="1" applyAlignment="1">
      <alignment horizontal="left" vertical="top" wrapText="1"/>
    </xf>
    <xf numFmtId="1" fontId="5" fillId="0" borderId="60" xfId="0" applyNumberFormat="1" applyFont="1" applyFill="1" applyBorder="1" applyAlignment="1">
      <alignment horizontal="left" vertical="top" wrapText="1"/>
    </xf>
    <xf numFmtId="1" fontId="5" fillId="0" borderId="54" xfId="0" applyNumberFormat="1" applyFont="1" applyFill="1" applyBorder="1" applyAlignment="1">
      <alignment horizontal="left" vertical="top" wrapText="1"/>
    </xf>
    <xf numFmtId="2" fontId="5" fillId="5" borderId="34" xfId="0" applyNumberFormat="1" applyFont="1" applyFill="1" applyBorder="1" applyAlignment="1">
      <alignment horizontal="center" vertical="center" wrapText="1"/>
    </xf>
    <xf numFmtId="0" fontId="13" fillId="0" borderId="5" xfId="0" applyFont="1" applyBorder="1" applyAlignment="1">
      <alignment horizontal="center" vertical="center"/>
    </xf>
    <xf numFmtId="2" fontId="5" fillId="6" borderId="39" xfId="0" applyNumberFormat="1" applyFont="1" applyFill="1" applyBorder="1" applyAlignment="1">
      <alignment horizontal="center" vertical="center" wrapText="1"/>
    </xf>
    <xf numFmtId="2" fontId="5" fillId="6" borderId="1" xfId="0" applyNumberFormat="1" applyFont="1" applyFill="1" applyBorder="1" applyAlignment="1">
      <alignment horizontal="center" vertical="center" wrapText="1"/>
    </xf>
    <xf numFmtId="2" fontId="5" fillId="6" borderId="47" xfId="0" applyNumberFormat="1" applyFont="1" applyFill="1" applyBorder="1" applyAlignment="1">
      <alignment horizontal="center" vertical="center" wrapText="1"/>
    </xf>
    <xf numFmtId="2" fontId="5" fillId="5" borderId="5" xfId="0" applyNumberFormat="1" applyFont="1" applyFill="1" applyBorder="1" applyAlignment="1">
      <alignment horizontal="center" vertical="center" wrapText="1"/>
    </xf>
    <xf numFmtId="2" fontId="5" fillId="10" borderId="14" xfId="0" applyNumberFormat="1" applyFont="1" applyFill="1" applyBorder="1" applyAlignment="1">
      <alignment horizontal="center" vertical="center" wrapText="1"/>
    </xf>
    <xf numFmtId="2" fontId="5" fillId="9" borderId="5" xfId="0" applyNumberFormat="1" applyFont="1" applyFill="1" applyBorder="1" applyAlignment="1">
      <alignment horizontal="center" vertical="center" wrapText="1"/>
    </xf>
    <xf numFmtId="2" fontId="28" fillId="6" borderId="47" xfId="0" applyNumberFormat="1" applyFont="1" applyFill="1" applyBorder="1" applyAlignment="1">
      <alignment horizontal="center" vertical="center" wrapText="1"/>
    </xf>
    <xf numFmtId="2" fontId="28" fillId="5" borderId="34" xfId="0" applyNumberFormat="1" applyFont="1" applyFill="1" applyBorder="1" applyAlignment="1">
      <alignment horizontal="center" vertical="center"/>
    </xf>
    <xf numFmtId="2" fontId="28" fillId="7" borderId="34" xfId="0" applyNumberFormat="1" applyFont="1" applyFill="1" applyBorder="1" applyAlignment="1">
      <alignment horizontal="center" vertical="center" wrapText="1"/>
    </xf>
    <xf numFmtId="2" fontId="5" fillId="5" borderId="5" xfId="0" applyNumberFormat="1" applyFont="1" applyFill="1" applyBorder="1" applyAlignment="1">
      <alignment horizontal="center" vertical="center"/>
    </xf>
    <xf numFmtId="2" fontId="5" fillId="7" borderId="5" xfId="0" applyNumberFormat="1" applyFont="1" applyFill="1" applyBorder="1" applyAlignment="1">
      <alignment horizontal="center" vertical="center"/>
    </xf>
    <xf numFmtId="2" fontId="5" fillId="6" borderId="47" xfId="0" applyNumberFormat="1" applyFont="1" applyFill="1" applyBorder="1" applyAlignment="1" applyProtection="1">
      <alignment horizontal="center" vertical="center" wrapText="1"/>
    </xf>
    <xf numFmtId="2" fontId="28" fillId="5" borderId="5" xfId="0" applyNumberFormat="1" applyFont="1" applyFill="1" applyBorder="1" applyAlignment="1" applyProtection="1">
      <alignment horizontal="center" vertical="center" wrapText="1"/>
    </xf>
    <xf numFmtId="2" fontId="28" fillId="7" borderId="5" xfId="0" applyNumberFormat="1" applyFont="1" applyFill="1" applyBorder="1" applyAlignment="1" applyProtection="1">
      <alignment horizontal="center" vertical="center" wrapText="1"/>
    </xf>
    <xf numFmtId="1" fontId="16" fillId="13" borderId="59" xfId="0" applyNumberFormat="1" applyFont="1" applyFill="1" applyBorder="1" applyAlignment="1" applyProtection="1">
      <alignment horizontal="center" vertical="center" wrapText="1"/>
      <protection hidden="1"/>
    </xf>
    <xf numFmtId="0" fontId="16" fillId="13" borderId="5" xfId="0" applyFont="1" applyFill="1" applyBorder="1" applyAlignment="1" applyProtection="1">
      <alignment horizontal="center" vertical="center" wrapText="1"/>
      <protection hidden="1"/>
    </xf>
    <xf numFmtId="2" fontId="16" fillId="13" borderId="59" xfId="0" applyNumberFormat="1" applyFont="1" applyFill="1" applyBorder="1" applyAlignment="1" applyProtection="1">
      <alignment horizontal="center" vertical="center" wrapText="1"/>
      <protection hidden="1"/>
    </xf>
    <xf numFmtId="2" fontId="5" fillId="5" borderId="42" xfId="0" applyNumberFormat="1" applyFont="1" applyFill="1" applyBorder="1" applyAlignment="1">
      <alignment horizontal="center" vertical="top"/>
    </xf>
    <xf numFmtId="0" fontId="5" fillId="0" borderId="5" xfId="0" applyFont="1" applyBorder="1" applyAlignment="1">
      <alignment vertical="top"/>
    </xf>
    <xf numFmtId="0" fontId="16" fillId="13" borderId="5" xfId="0" applyFont="1" applyFill="1" applyBorder="1" applyAlignment="1">
      <alignment horizontal="center" vertical="center"/>
    </xf>
    <xf numFmtId="2" fontId="5" fillId="6" borderId="39" xfId="0" applyNumberFormat="1" applyFont="1" applyFill="1" applyBorder="1" applyAlignment="1">
      <alignment horizontal="center" vertical="center"/>
    </xf>
    <xf numFmtId="2" fontId="5" fillId="6" borderId="1" xfId="0" applyNumberFormat="1" applyFont="1" applyFill="1" applyBorder="1" applyAlignment="1">
      <alignment horizontal="center" vertical="center"/>
    </xf>
    <xf numFmtId="2" fontId="5" fillId="6" borderId="47" xfId="0" applyNumberFormat="1" applyFont="1" applyFill="1" applyBorder="1" applyAlignment="1">
      <alignment horizontal="center" vertical="center"/>
    </xf>
    <xf numFmtId="0" fontId="5" fillId="0" borderId="76" xfId="0" applyFont="1" applyFill="1" applyBorder="1" applyAlignment="1">
      <alignment vertical="top" wrapText="1"/>
    </xf>
    <xf numFmtId="0" fontId="5" fillId="0" borderId="58" xfId="0" applyFont="1" applyFill="1" applyBorder="1" applyAlignment="1">
      <alignment horizontal="center" vertical="top" wrapText="1"/>
    </xf>
    <xf numFmtId="0" fontId="5" fillId="0" borderId="77" xfId="0" applyFont="1" applyFill="1" applyBorder="1" applyAlignment="1">
      <alignment vertical="top" wrapText="1"/>
    </xf>
    <xf numFmtId="0" fontId="16" fillId="5" borderId="53" xfId="0" applyFont="1" applyFill="1" applyBorder="1" applyAlignment="1" applyProtection="1">
      <alignment horizontal="center" vertical="top" wrapText="1"/>
      <protection hidden="1"/>
    </xf>
    <xf numFmtId="0" fontId="5" fillId="0" borderId="46" xfId="0" applyFont="1" applyBorder="1" applyAlignment="1">
      <alignment vertical="top" wrapText="1"/>
    </xf>
    <xf numFmtId="0" fontId="5" fillId="0" borderId="46" xfId="0" applyFont="1" applyFill="1" applyBorder="1" applyAlignment="1">
      <alignment vertical="top" wrapText="1"/>
    </xf>
    <xf numFmtId="0" fontId="5" fillId="0" borderId="15" xfId="0" applyFont="1" applyFill="1" applyBorder="1" applyAlignment="1">
      <alignment vertical="top" wrapText="1"/>
    </xf>
    <xf numFmtId="0" fontId="5" fillId="0" borderId="6" xfId="0" applyFont="1" applyFill="1" applyBorder="1" applyAlignment="1">
      <alignment vertical="top" wrapText="1"/>
    </xf>
    <xf numFmtId="0" fontId="5" fillId="0" borderId="0" xfId="0" applyFont="1" applyBorder="1" applyAlignment="1">
      <alignment horizontal="center" vertical="top" wrapText="1"/>
    </xf>
    <xf numFmtId="0" fontId="5" fillId="0" borderId="42" xfId="0" applyFont="1" applyFill="1" applyBorder="1" applyAlignment="1">
      <alignment vertical="top" wrapText="1"/>
    </xf>
    <xf numFmtId="0" fontId="5" fillId="0" borderId="71" xfId="0" applyFont="1" applyFill="1" applyBorder="1" applyAlignment="1">
      <alignment horizontal="left" vertical="top" wrapText="1"/>
    </xf>
    <xf numFmtId="0" fontId="5" fillId="0" borderId="74" xfId="0" applyFont="1" applyFill="1" applyBorder="1" applyAlignment="1">
      <alignment horizontal="left" vertical="top" wrapText="1"/>
    </xf>
    <xf numFmtId="0" fontId="5" fillId="0" borderId="0" xfId="0" applyFont="1" applyFill="1" applyBorder="1" applyAlignment="1">
      <alignment horizontal="center" vertical="top" wrapText="1"/>
    </xf>
    <xf numFmtId="1" fontId="5" fillId="0" borderId="0" xfId="0" applyNumberFormat="1" applyFont="1" applyBorder="1" applyAlignment="1">
      <alignment horizontal="center" vertical="top"/>
    </xf>
    <xf numFmtId="0" fontId="5" fillId="0" borderId="0" xfId="0" applyFont="1" applyFill="1" applyBorder="1" applyAlignment="1">
      <alignment horizontal="left" vertical="top" wrapText="1"/>
    </xf>
    <xf numFmtId="0" fontId="5" fillId="0" borderId="53" xfId="0" applyFont="1" applyFill="1" applyBorder="1" applyAlignment="1">
      <alignment horizontal="center" vertical="top" wrapText="1"/>
    </xf>
    <xf numFmtId="0" fontId="26" fillId="0" borderId="46" xfId="0" applyFont="1" applyBorder="1" applyAlignment="1">
      <alignment vertical="top" wrapText="1"/>
    </xf>
    <xf numFmtId="0" fontId="26" fillId="0" borderId="64" xfId="0" applyFont="1" applyBorder="1" applyAlignment="1">
      <alignment vertical="top" wrapText="1"/>
    </xf>
    <xf numFmtId="0" fontId="23" fillId="0" borderId="46" xfId="0" applyFont="1" applyBorder="1" applyAlignment="1">
      <alignment vertical="top" wrapText="1"/>
    </xf>
    <xf numFmtId="0" fontId="5" fillId="0" borderId="69" xfId="0" applyFont="1" applyFill="1" applyBorder="1" applyAlignment="1">
      <alignment vertical="top" wrapText="1"/>
    </xf>
    <xf numFmtId="0" fontId="26" fillId="0" borderId="18" xfId="0" applyFont="1" applyFill="1" applyBorder="1" applyAlignment="1">
      <alignment vertical="top" wrapText="1"/>
    </xf>
    <xf numFmtId="1" fontId="5" fillId="0" borderId="10" xfId="0" applyNumberFormat="1" applyFont="1" applyBorder="1" applyAlignment="1">
      <alignment horizontal="left" vertical="top" wrapText="1"/>
    </xf>
    <xf numFmtId="1" fontId="5" fillId="0" borderId="58" xfId="0" applyNumberFormat="1" applyFont="1" applyBorder="1" applyAlignment="1">
      <alignment horizontal="center" vertical="top" wrapText="1"/>
    </xf>
    <xf numFmtId="0" fontId="16" fillId="13" borderId="42" xfId="0" applyFont="1" applyFill="1" applyBorder="1" applyAlignment="1">
      <alignment horizontal="center" vertical="center"/>
    </xf>
    <xf numFmtId="0" fontId="5" fillId="0" borderId="41" xfId="0" applyFont="1" applyBorder="1" applyAlignment="1">
      <alignment horizontal="left" vertical="top" wrapText="1"/>
    </xf>
    <xf numFmtId="0" fontId="5" fillId="0" borderId="41" xfId="0" applyFont="1" applyFill="1" applyBorder="1" applyAlignment="1">
      <alignment horizontal="left" vertical="top" wrapText="1"/>
    </xf>
    <xf numFmtId="1" fontId="16" fillId="13" borderId="53" xfId="0" applyNumberFormat="1" applyFont="1" applyFill="1" applyBorder="1" applyAlignment="1" applyProtection="1">
      <alignment horizontal="center" vertical="center" wrapText="1"/>
      <protection hidden="1"/>
    </xf>
    <xf numFmtId="2" fontId="16" fillId="13" borderId="53" xfId="0" applyNumberFormat="1" applyFont="1" applyFill="1" applyBorder="1" applyAlignment="1" applyProtection="1">
      <alignment horizontal="center" vertical="center" wrapText="1"/>
      <protection hidden="1"/>
    </xf>
    <xf numFmtId="0" fontId="5" fillId="2" borderId="66" xfId="0" applyFont="1" applyFill="1" applyBorder="1" applyAlignment="1">
      <alignment horizontal="center" vertical="top" wrapText="1"/>
    </xf>
    <xf numFmtId="0" fontId="5" fillId="0" borderId="42" xfId="0" applyFont="1" applyBorder="1" applyAlignment="1">
      <alignment vertical="top" wrapText="1"/>
    </xf>
    <xf numFmtId="0" fontId="5" fillId="2" borderId="54" xfId="0" applyFont="1" applyFill="1" applyBorder="1" applyAlignment="1">
      <alignment horizontal="center" vertical="top" wrapText="1"/>
    </xf>
    <xf numFmtId="0" fontId="5" fillId="0" borderId="11" xfId="0" applyFont="1" applyFill="1" applyBorder="1" applyAlignment="1">
      <alignment horizontal="center" vertical="top" wrapText="1"/>
    </xf>
    <xf numFmtId="0" fontId="5" fillId="0" borderId="75" xfId="0" applyFont="1" applyFill="1" applyBorder="1" applyAlignment="1">
      <alignment vertical="top" wrapText="1"/>
    </xf>
    <xf numFmtId="0" fontId="5" fillId="0" borderId="48" xfId="0" applyFont="1" applyFill="1" applyBorder="1" applyAlignment="1">
      <alignment horizontal="center" vertical="top" wrapText="1"/>
    </xf>
    <xf numFmtId="2" fontId="5" fillId="0" borderId="56" xfId="0" applyNumberFormat="1" applyFont="1" applyFill="1" applyBorder="1" applyAlignment="1">
      <alignment horizontal="right" vertical="center" wrapText="1"/>
    </xf>
    <xf numFmtId="1" fontId="5" fillId="0" borderId="15" xfId="0" applyNumberFormat="1" applyFont="1" applyFill="1" applyBorder="1" applyAlignment="1">
      <alignment horizontal="left" vertical="top" wrapText="1"/>
    </xf>
    <xf numFmtId="1" fontId="5" fillId="0" borderId="14" xfId="0" applyNumberFormat="1" applyFont="1" applyFill="1" applyBorder="1" applyAlignment="1">
      <alignment horizontal="left" vertical="top" wrapText="1"/>
    </xf>
    <xf numFmtId="2" fontId="5" fillId="7" borderId="64" xfId="0" applyNumberFormat="1" applyFont="1" applyFill="1" applyBorder="1" applyAlignment="1">
      <alignment horizontal="center" vertical="top"/>
    </xf>
    <xf numFmtId="49" fontId="5" fillId="0" borderId="5" xfId="0" applyNumberFormat="1" applyFont="1" applyFill="1" applyBorder="1" applyAlignment="1">
      <alignment vertical="top" wrapText="1"/>
    </xf>
    <xf numFmtId="49" fontId="5" fillId="0" borderId="45" xfId="0" applyNumberFormat="1" applyFont="1" applyFill="1" applyBorder="1" applyAlignment="1">
      <alignment horizontal="left" vertical="top" wrapText="1"/>
    </xf>
    <xf numFmtId="0" fontId="5" fillId="14" borderId="61" xfId="0" applyFont="1" applyFill="1" applyBorder="1" applyAlignment="1">
      <alignment horizontal="center" vertical="top" wrapText="1"/>
    </xf>
    <xf numFmtId="1" fontId="5" fillId="14" borderId="44" xfId="0" applyNumberFormat="1" applyFont="1" applyFill="1" applyBorder="1" applyAlignment="1">
      <alignment horizontal="center" vertical="top"/>
    </xf>
    <xf numFmtId="1" fontId="5" fillId="14" borderId="61" xfId="0" applyNumberFormat="1" applyFont="1" applyFill="1" applyBorder="1" applyAlignment="1">
      <alignment horizontal="center" vertical="top"/>
    </xf>
    <xf numFmtId="1" fontId="5" fillId="2" borderId="54" xfId="0" applyNumberFormat="1" applyFont="1" applyFill="1" applyBorder="1" applyAlignment="1">
      <alignment horizontal="center" vertical="top"/>
    </xf>
    <xf numFmtId="0" fontId="16" fillId="13" borderId="64" xfId="0" applyFont="1" applyFill="1" applyBorder="1" applyAlignment="1">
      <alignment horizontal="center" vertical="center" wrapText="1"/>
    </xf>
    <xf numFmtId="0" fontId="16" fillId="13" borderId="46" xfId="0" applyFont="1" applyFill="1" applyBorder="1" applyAlignment="1">
      <alignment horizontal="center" vertical="center" wrapText="1"/>
    </xf>
    <xf numFmtId="49" fontId="16" fillId="13" borderId="0" xfId="0" applyNumberFormat="1" applyFont="1" applyFill="1" applyBorder="1" applyAlignment="1">
      <alignment horizontal="center" vertical="center" wrapText="1"/>
    </xf>
    <xf numFmtId="0" fontId="5" fillId="0" borderId="75" xfId="0" applyFont="1" applyBorder="1" applyAlignment="1">
      <alignment vertical="top" wrapText="1"/>
    </xf>
    <xf numFmtId="49" fontId="5" fillId="0" borderId="5" xfId="0" applyNumberFormat="1" applyFont="1" applyBorder="1" applyAlignment="1">
      <alignment vertical="top" wrapText="1"/>
    </xf>
    <xf numFmtId="0" fontId="39" fillId="0" borderId="47" xfId="0" applyFont="1" applyFill="1" applyBorder="1" applyAlignment="1">
      <alignment horizontal="center" vertical="top" wrapText="1"/>
    </xf>
    <xf numFmtId="0" fontId="39" fillId="0" borderId="6" xfId="0" applyFont="1" applyFill="1" applyBorder="1" applyAlignment="1">
      <alignment horizontal="left" vertical="center" wrapText="1"/>
    </xf>
    <xf numFmtId="0" fontId="39" fillId="0" borderId="10" xfId="0" applyFont="1" applyFill="1" applyBorder="1" applyAlignment="1">
      <alignment horizontal="left" vertical="center" wrapText="1"/>
    </xf>
    <xf numFmtId="0" fontId="39" fillId="0" borderId="12" xfId="0" applyFont="1" applyFill="1" applyBorder="1" applyAlignment="1">
      <alignment horizontal="left" vertical="center" wrapText="1"/>
    </xf>
    <xf numFmtId="0" fontId="5" fillId="0" borderId="43" xfId="0" applyFont="1" applyBorder="1" applyAlignment="1">
      <alignment horizontal="left" vertical="top" wrapText="1"/>
    </xf>
    <xf numFmtId="0" fontId="5" fillId="0" borderId="74" xfId="0" applyNumberFormat="1" applyFont="1" applyFill="1" applyBorder="1" applyAlignment="1">
      <alignment vertical="top" wrapText="1"/>
    </xf>
    <xf numFmtId="0" fontId="5" fillId="0" borderId="60" xfId="0" applyNumberFormat="1" applyFont="1" applyFill="1" applyBorder="1" applyAlignment="1">
      <alignment vertical="top" wrapText="1"/>
    </xf>
    <xf numFmtId="0" fontId="5" fillId="0" borderId="54" xfId="0" applyNumberFormat="1" applyFont="1" applyFill="1" applyBorder="1" applyAlignment="1">
      <alignment vertical="top" wrapText="1"/>
    </xf>
    <xf numFmtId="0" fontId="5" fillId="0" borderId="52" xfId="0" applyNumberFormat="1" applyFont="1" applyFill="1" applyBorder="1" applyAlignment="1">
      <alignment horizontal="center" vertical="top" wrapText="1"/>
    </xf>
    <xf numFmtId="0" fontId="5" fillId="0" borderId="58" xfId="0" applyFont="1" applyBorder="1" applyAlignment="1">
      <alignment horizontal="center" vertical="top" wrapText="1"/>
    </xf>
    <xf numFmtId="1" fontId="26" fillId="0" borderId="0" xfId="0" applyNumberFormat="1" applyFont="1" applyBorder="1" applyAlignment="1">
      <alignment horizontal="left" vertical="top" wrapText="1"/>
    </xf>
    <xf numFmtId="1" fontId="26" fillId="0" borderId="13" xfId="0" applyNumberFormat="1" applyFont="1" applyBorder="1" applyAlignment="1">
      <alignment horizontal="center" vertical="top" wrapText="1"/>
    </xf>
    <xf numFmtId="2" fontId="5" fillId="0" borderId="41" xfId="0" applyNumberFormat="1" applyFont="1" applyFill="1" applyBorder="1" applyAlignment="1">
      <alignment vertical="top" wrapText="1"/>
    </xf>
    <xf numFmtId="0" fontId="5" fillId="0" borderId="0" xfId="0" applyFont="1" applyAlignment="1"/>
    <xf numFmtId="1" fontId="16" fillId="5" borderId="51" xfId="0" applyNumberFormat="1" applyFont="1" applyFill="1" applyBorder="1" applyAlignment="1">
      <alignment horizontal="center" vertical="center" wrapText="1"/>
    </xf>
    <xf numFmtId="0" fontId="25" fillId="0" borderId="0" xfId="0" applyFont="1" applyBorder="1" applyAlignment="1">
      <alignment wrapText="1"/>
    </xf>
    <xf numFmtId="0" fontId="25" fillId="0" borderId="0" xfId="0" applyFont="1" applyAlignment="1">
      <alignment wrapText="1"/>
    </xf>
    <xf numFmtId="1" fontId="16" fillId="13" borderId="5" xfId="0" applyNumberFormat="1" applyFont="1" applyFill="1" applyBorder="1" applyAlignment="1">
      <alignment horizontal="center" vertical="center" wrapText="1"/>
    </xf>
    <xf numFmtId="0" fontId="25" fillId="0" borderId="0" xfId="0" applyFont="1" applyBorder="1" applyAlignment="1"/>
    <xf numFmtId="1" fontId="5" fillId="6" borderId="26" xfId="0" applyNumberFormat="1" applyFont="1" applyFill="1" applyBorder="1" applyAlignment="1">
      <alignment vertical="center"/>
    </xf>
    <xf numFmtId="0" fontId="16" fillId="13" borderId="23" xfId="0" applyFont="1" applyFill="1" applyBorder="1" applyAlignment="1">
      <alignment horizontal="center" vertical="center"/>
    </xf>
    <xf numFmtId="2" fontId="26" fillId="5" borderId="5" xfId="0" applyNumberFormat="1" applyFont="1" applyFill="1" applyBorder="1" applyAlignment="1">
      <alignment horizontal="center" vertical="center"/>
    </xf>
    <xf numFmtId="2" fontId="5" fillId="0" borderId="0" xfId="0" applyNumberFormat="1" applyFont="1" applyBorder="1" applyAlignment="1">
      <alignment horizontal="center" vertical="top"/>
    </xf>
    <xf numFmtId="2" fontId="5" fillId="0" borderId="54" xfId="0" applyNumberFormat="1" applyFont="1" applyFill="1" applyBorder="1" applyAlignment="1">
      <alignment vertical="top" wrapText="1"/>
    </xf>
    <xf numFmtId="2" fontId="5" fillId="0" borderId="74" xfId="0" applyNumberFormat="1" applyFont="1" applyFill="1" applyBorder="1" applyAlignment="1">
      <alignment vertical="top" wrapText="1"/>
    </xf>
    <xf numFmtId="2" fontId="5" fillId="0" borderId="60" xfId="0" applyNumberFormat="1" applyFont="1" applyFill="1" applyBorder="1" applyAlignment="1">
      <alignment vertical="top" wrapText="1"/>
    </xf>
    <xf numFmtId="2" fontId="5" fillId="0" borderId="77" xfId="0" applyNumberFormat="1" applyFont="1" applyFill="1" applyBorder="1" applyAlignment="1">
      <alignment vertical="top" wrapText="1"/>
    </xf>
    <xf numFmtId="1" fontId="26" fillId="0" borderId="7" xfId="0" applyNumberFormat="1" applyFont="1" applyBorder="1" applyAlignment="1">
      <alignment horizontal="center" vertical="top" wrapText="1"/>
    </xf>
    <xf numFmtId="2" fontId="23" fillId="6" borderId="39" xfId="0" applyNumberFormat="1" applyFont="1" applyFill="1" applyBorder="1" applyAlignment="1">
      <alignment horizontal="center" vertical="center" wrapText="1"/>
    </xf>
    <xf numFmtId="2" fontId="23" fillId="6" borderId="1" xfId="0" applyNumberFormat="1" applyFont="1" applyFill="1" applyBorder="1" applyAlignment="1">
      <alignment horizontal="center" vertical="center" wrapText="1"/>
    </xf>
    <xf numFmtId="2" fontId="23" fillId="6" borderId="1" xfId="0" applyNumberFormat="1" applyFont="1" applyFill="1" applyBorder="1" applyAlignment="1">
      <alignment horizontal="center" vertical="center"/>
    </xf>
    <xf numFmtId="2" fontId="23" fillId="6" borderId="47" xfId="0" applyNumberFormat="1" applyFont="1" applyFill="1" applyBorder="1" applyAlignment="1">
      <alignment horizontal="center" vertical="center"/>
    </xf>
    <xf numFmtId="2" fontId="23" fillId="5" borderId="5" xfId="0" applyNumberFormat="1" applyFont="1" applyFill="1" applyBorder="1" applyAlignment="1">
      <alignment horizontal="center" vertical="center" wrapText="1"/>
    </xf>
    <xf numFmtId="2" fontId="23" fillId="7" borderId="5" xfId="0" applyNumberFormat="1" applyFont="1" applyFill="1" applyBorder="1" applyAlignment="1">
      <alignment horizontal="center" vertical="center"/>
    </xf>
    <xf numFmtId="0" fontId="16" fillId="0" borderId="0" xfId="0" applyFont="1" applyAlignment="1">
      <alignment vertical="top" wrapText="1"/>
    </xf>
    <xf numFmtId="2" fontId="23" fillId="5" borderId="64" xfId="0" applyNumberFormat="1" applyFont="1" applyFill="1" applyBorder="1" applyAlignment="1">
      <alignment horizontal="center" vertical="top" wrapText="1"/>
    </xf>
    <xf numFmtId="2" fontId="23" fillId="2" borderId="13" xfId="0" applyNumberFormat="1" applyFont="1" applyFill="1" applyBorder="1" applyAlignment="1">
      <alignment horizontal="center" vertical="top" wrapText="1"/>
    </xf>
    <xf numFmtId="2" fontId="23" fillId="5" borderId="68" xfId="0" applyNumberFormat="1" applyFont="1" applyFill="1" applyBorder="1" applyAlignment="1">
      <alignment horizontal="center" vertical="top" wrapText="1"/>
    </xf>
    <xf numFmtId="2" fontId="23" fillId="7" borderId="64" xfId="0" applyNumberFormat="1" applyFont="1" applyFill="1" applyBorder="1" applyAlignment="1">
      <alignment horizontal="center" vertical="top"/>
    </xf>
    <xf numFmtId="2" fontId="23" fillId="7" borderId="34" xfId="0" applyNumberFormat="1" applyFont="1" applyFill="1" applyBorder="1" applyAlignment="1">
      <alignment horizontal="center" vertical="top"/>
    </xf>
    <xf numFmtId="0" fontId="23" fillId="0" borderId="41" xfId="0" applyFont="1" applyBorder="1" applyAlignment="1">
      <alignment horizontal="left" vertical="top" wrapText="1"/>
    </xf>
    <xf numFmtId="0" fontId="23" fillId="0" borderId="12" xfId="0" applyFont="1" applyBorder="1" applyAlignment="1">
      <alignment horizontal="left" vertical="top" wrapText="1"/>
    </xf>
    <xf numFmtId="0" fontId="23" fillId="0" borderId="5" xfId="0" applyFont="1" applyBorder="1" applyAlignment="1">
      <alignment horizontal="left" vertical="top" wrapText="1"/>
    </xf>
    <xf numFmtId="49" fontId="16" fillId="13" borderId="34" xfId="0" applyNumberFormat="1" applyFont="1" applyFill="1" applyBorder="1" applyAlignment="1">
      <alignment horizontal="center" vertical="center" wrapText="1"/>
    </xf>
    <xf numFmtId="1" fontId="23" fillId="2" borderId="7" xfId="0" applyNumberFormat="1" applyFont="1" applyFill="1" applyBorder="1" applyAlignment="1">
      <alignment horizontal="center" vertical="top"/>
    </xf>
    <xf numFmtId="1" fontId="22" fillId="2" borderId="44" xfId="0" applyNumberFormat="1" applyFont="1" applyFill="1" applyBorder="1" applyAlignment="1">
      <alignment horizontal="center" vertical="top" wrapText="1"/>
    </xf>
    <xf numFmtId="1" fontId="22" fillId="2" borderId="44" xfId="0" applyNumberFormat="1" applyFont="1" applyFill="1" applyBorder="1" applyAlignment="1">
      <alignment horizontal="center" vertical="top"/>
    </xf>
    <xf numFmtId="1" fontId="26" fillId="2" borderId="59" xfId="0" applyNumberFormat="1" applyFont="1" applyFill="1" applyBorder="1" applyAlignment="1">
      <alignment horizontal="center" vertical="top" wrapText="1"/>
    </xf>
    <xf numFmtId="2" fontId="26" fillId="15" borderId="34" xfId="0" applyNumberFormat="1" applyFont="1" applyFill="1" applyBorder="1" applyAlignment="1">
      <alignment horizontal="center" vertical="top" wrapText="1"/>
    </xf>
    <xf numFmtId="0" fontId="39" fillId="0" borderId="12" xfId="0" applyNumberFormat="1" applyFont="1" applyFill="1" applyBorder="1" applyAlignment="1">
      <alignment horizontal="left" vertical="top" wrapText="1"/>
    </xf>
    <xf numFmtId="0" fontId="39" fillId="0" borderId="6" xfId="0" applyNumberFormat="1" applyFont="1" applyFill="1" applyBorder="1" applyAlignment="1">
      <alignment horizontal="left" vertical="top" wrapText="1"/>
    </xf>
    <xf numFmtId="2" fontId="26" fillId="0" borderId="45" xfId="0" applyNumberFormat="1" applyFont="1" applyBorder="1" applyAlignment="1">
      <alignment horizontal="right" vertical="top" wrapText="1"/>
    </xf>
    <xf numFmtId="0" fontId="16" fillId="5" borderId="68" xfId="0" applyFont="1" applyFill="1" applyBorder="1" applyAlignment="1">
      <alignment horizontal="center" vertical="center" wrapText="1"/>
    </xf>
    <xf numFmtId="0" fontId="16" fillId="5" borderId="23" xfId="0" applyFont="1" applyFill="1" applyBorder="1" applyAlignment="1">
      <alignment horizontal="center" vertical="center" wrapText="1"/>
    </xf>
    <xf numFmtId="2" fontId="16" fillId="5" borderId="41" xfId="0" applyNumberFormat="1" applyFont="1" applyFill="1" applyBorder="1" applyAlignment="1" applyProtection="1">
      <alignment horizontal="center" vertical="center" wrapText="1"/>
      <protection hidden="1"/>
    </xf>
    <xf numFmtId="1" fontId="5" fillId="0" borderId="59" xfId="0" applyNumberFormat="1" applyFont="1" applyFill="1" applyBorder="1" applyAlignment="1">
      <alignment vertical="top" wrapText="1"/>
    </xf>
    <xf numFmtId="2" fontId="26" fillId="6" borderId="39" xfId="0" applyNumberFormat="1" applyFont="1" applyFill="1" applyBorder="1" applyAlignment="1">
      <alignment horizontal="center" vertical="center" wrapText="1"/>
    </xf>
    <xf numFmtId="2" fontId="26" fillId="6" borderId="1" xfId="0" applyNumberFormat="1" applyFont="1" applyFill="1" applyBorder="1" applyAlignment="1">
      <alignment horizontal="center" vertical="center" wrapText="1"/>
    </xf>
    <xf numFmtId="2" fontId="26" fillId="6" borderId="47" xfId="0" applyNumberFormat="1" applyFont="1" applyFill="1" applyBorder="1" applyAlignment="1">
      <alignment horizontal="center" vertical="center" wrapText="1"/>
    </xf>
    <xf numFmtId="2" fontId="26" fillId="5" borderId="5" xfId="0" applyNumberFormat="1" applyFont="1" applyFill="1" applyBorder="1" applyAlignment="1">
      <alignment horizontal="center" vertical="center" wrapText="1"/>
    </xf>
    <xf numFmtId="2" fontId="26" fillId="7" borderId="5" xfId="0" applyNumberFormat="1" applyFont="1" applyFill="1" applyBorder="1" applyAlignment="1">
      <alignment horizontal="center" vertical="center" wrapText="1"/>
    </xf>
    <xf numFmtId="0" fontId="16" fillId="13" borderId="23" xfId="0" applyFont="1" applyFill="1" applyBorder="1" applyAlignment="1" applyProtection="1">
      <alignment horizontal="center" vertical="center" wrapText="1"/>
      <protection hidden="1"/>
    </xf>
    <xf numFmtId="0" fontId="26" fillId="0" borderId="12" xfId="0" applyFont="1" applyFill="1" applyBorder="1" applyAlignment="1">
      <alignment horizontal="left" vertical="top" wrapText="1"/>
    </xf>
    <xf numFmtId="0" fontId="16" fillId="0" borderId="0" xfId="0" applyFont="1" applyAlignment="1">
      <alignment wrapText="1"/>
    </xf>
    <xf numFmtId="2" fontId="5" fillId="7" borderId="5" xfId="0" applyNumberFormat="1" applyFont="1" applyFill="1" applyBorder="1" applyAlignment="1">
      <alignment horizontal="center" vertical="center" wrapText="1"/>
    </xf>
    <xf numFmtId="0" fontId="16" fillId="13" borderId="5" xfId="0" applyFont="1" applyFill="1" applyBorder="1" applyAlignment="1">
      <alignment vertical="center" wrapText="1"/>
    </xf>
    <xf numFmtId="0" fontId="5" fillId="6" borderId="1" xfId="0" applyFont="1" applyFill="1" applyBorder="1" applyAlignment="1">
      <alignment vertical="center" wrapText="1"/>
    </xf>
    <xf numFmtId="49" fontId="13" fillId="0" borderId="5" xfId="0" applyNumberFormat="1" applyFont="1" applyFill="1" applyBorder="1" applyAlignment="1">
      <alignment horizontal="center" vertical="center" wrapText="1"/>
    </xf>
    <xf numFmtId="0" fontId="5" fillId="0" borderId="19" xfId="0" applyFont="1" applyFill="1" applyBorder="1" applyAlignment="1">
      <alignment vertical="top" wrapText="1"/>
    </xf>
    <xf numFmtId="0" fontId="13" fillId="0" borderId="5" xfId="0" applyFont="1" applyFill="1" applyBorder="1" applyAlignment="1">
      <alignment horizontal="center" vertical="center" wrapText="1"/>
    </xf>
    <xf numFmtId="2" fontId="5" fillId="8" borderId="5" xfId="0" applyNumberFormat="1" applyFont="1" applyFill="1" applyBorder="1" applyAlignment="1">
      <alignment horizontal="center" vertical="center" wrapText="1"/>
    </xf>
    <xf numFmtId="0" fontId="16" fillId="8" borderId="5" xfId="0" applyFont="1" applyFill="1" applyBorder="1" applyAlignment="1">
      <alignment horizontal="center" vertical="center" wrapText="1"/>
    </xf>
    <xf numFmtId="49" fontId="16" fillId="20" borderId="53" xfId="0" applyNumberFormat="1" applyFont="1" applyFill="1" applyBorder="1" applyAlignment="1">
      <alignment horizontal="center" vertical="center" wrapText="1"/>
    </xf>
    <xf numFmtId="1" fontId="16" fillId="8" borderId="5" xfId="0" applyNumberFormat="1" applyFont="1" applyFill="1" applyBorder="1" applyAlignment="1">
      <alignment horizontal="center" vertical="center" wrapText="1"/>
    </xf>
    <xf numFmtId="1" fontId="16" fillId="8" borderId="53" xfId="0" applyNumberFormat="1" applyFont="1" applyFill="1" applyBorder="1" applyAlignment="1">
      <alignment horizontal="center" vertical="center" wrapText="1"/>
    </xf>
    <xf numFmtId="0" fontId="5" fillId="0" borderId="17" xfId="0" applyFont="1" applyBorder="1" applyAlignment="1">
      <alignment horizontal="center" vertical="top" wrapText="1"/>
    </xf>
    <xf numFmtId="49" fontId="16" fillId="8" borderId="5" xfId="0" applyNumberFormat="1" applyFont="1" applyFill="1" applyBorder="1" applyAlignment="1">
      <alignment horizontal="center" vertical="center" wrapText="1"/>
    </xf>
    <xf numFmtId="0" fontId="5" fillId="0" borderId="66" xfId="0" applyFont="1" applyBorder="1" applyAlignment="1">
      <alignment vertical="top" wrapText="1"/>
    </xf>
    <xf numFmtId="2" fontId="5" fillId="8" borderId="34" xfId="0" applyNumberFormat="1" applyFont="1" applyFill="1" applyBorder="1" applyAlignment="1">
      <alignment horizontal="center" vertical="top" wrapText="1"/>
    </xf>
    <xf numFmtId="2" fontId="5" fillId="6" borderId="1" xfId="0" applyNumberFormat="1" applyFont="1" applyFill="1" applyBorder="1" applyAlignment="1" applyProtection="1">
      <alignment horizontal="center" vertical="center" wrapText="1"/>
    </xf>
    <xf numFmtId="2" fontId="5" fillId="6" borderId="39" xfId="0" applyNumberFormat="1" applyFont="1" applyFill="1" applyBorder="1" applyAlignment="1" applyProtection="1">
      <alignment horizontal="center" vertical="center" wrapText="1"/>
    </xf>
    <xf numFmtId="0" fontId="5" fillId="6" borderId="39" xfId="0" applyFont="1" applyFill="1" applyBorder="1" applyAlignment="1">
      <alignment vertical="center" wrapText="1"/>
    </xf>
    <xf numFmtId="0" fontId="5" fillId="0" borderId="55" xfId="0" applyFont="1" applyFill="1" applyBorder="1" applyAlignment="1">
      <alignment vertical="center" wrapText="1"/>
    </xf>
    <xf numFmtId="0" fontId="5" fillId="0" borderId="27" xfId="0" applyFont="1" applyFill="1" applyBorder="1" applyAlignment="1">
      <alignment vertical="center" wrapText="1"/>
    </xf>
    <xf numFmtId="0" fontId="5" fillId="6" borderId="47" xfId="0" applyFont="1" applyFill="1" applyBorder="1" applyAlignment="1">
      <alignment vertical="center" wrapText="1"/>
    </xf>
    <xf numFmtId="0" fontId="5" fillId="0" borderId="40" xfId="0" applyFont="1" applyFill="1" applyBorder="1" applyAlignment="1">
      <alignment vertical="center" wrapText="1"/>
    </xf>
    <xf numFmtId="0" fontId="5" fillId="25" borderId="1" xfId="0" applyFont="1" applyFill="1" applyBorder="1" applyAlignment="1">
      <alignment vertical="center" wrapText="1"/>
    </xf>
    <xf numFmtId="0" fontId="5" fillId="25" borderId="47" xfId="0" applyFont="1" applyFill="1" applyBorder="1" applyAlignment="1">
      <alignment vertical="center" wrapText="1"/>
    </xf>
    <xf numFmtId="2" fontId="28" fillId="6" borderId="1" xfId="0" applyNumberFormat="1" applyFont="1" applyFill="1" applyBorder="1" applyAlignment="1">
      <alignment horizontal="center" vertical="center" wrapText="1"/>
    </xf>
    <xf numFmtId="2" fontId="28" fillId="6" borderId="39" xfId="0" applyNumberFormat="1" applyFont="1" applyFill="1" applyBorder="1" applyAlignment="1">
      <alignment horizontal="center" vertical="center" wrapText="1"/>
    </xf>
    <xf numFmtId="2" fontId="5" fillId="0" borderId="10" xfId="0" applyNumberFormat="1" applyFont="1" applyFill="1" applyBorder="1" applyAlignment="1">
      <alignment horizontal="right" vertical="top" wrapText="1"/>
    </xf>
    <xf numFmtId="2" fontId="5" fillId="6" borderId="39" xfId="0" applyNumberFormat="1" applyFont="1" applyFill="1" applyBorder="1" applyAlignment="1">
      <alignment vertical="center" wrapText="1"/>
    </xf>
    <xf numFmtId="2" fontId="5" fillId="0" borderId="55" xfId="0" applyNumberFormat="1" applyFont="1" applyFill="1" applyBorder="1" applyAlignment="1">
      <alignment vertical="center" wrapText="1"/>
    </xf>
    <xf numFmtId="2" fontId="5" fillId="6" borderId="47" xfId="0" applyNumberFormat="1" applyFont="1" applyFill="1" applyBorder="1" applyAlignment="1">
      <alignment horizontal="center" vertical="top" wrapText="1"/>
    </xf>
    <xf numFmtId="0" fontId="5" fillId="0" borderId="59" xfId="0" applyFont="1" applyFill="1" applyBorder="1" applyAlignment="1">
      <alignment vertical="top"/>
    </xf>
    <xf numFmtId="2" fontId="5" fillId="25" borderId="39" xfId="0" applyNumberFormat="1" applyFont="1" applyFill="1" applyBorder="1" applyAlignment="1">
      <alignment horizontal="center" vertical="center" wrapText="1"/>
    </xf>
    <xf numFmtId="2" fontId="5" fillId="25" borderId="1" xfId="0" applyNumberFormat="1" applyFont="1" applyFill="1" applyBorder="1" applyAlignment="1">
      <alignment horizontal="center" vertical="center" wrapText="1"/>
    </xf>
    <xf numFmtId="2" fontId="5" fillId="25" borderId="47" xfId="0" applyNumberFormat="1" applyFont="1" applyFill="1" applyBorder="1" applyAlignment="1">
      <alignment horizontal="center" vertical="center" wrapText="1"/>
    </xf>
    <xf numFmtId="0" fontId="5" fillId="6" borderId="1" xfId="0" applyFont="1" applyFill="1" applyBorder="1" applyAlignment="1">
      <alignment vertical="center" wrapText="1"/>
    </xf>
    <xf numFmtId="0" fontId="5" fillId="6" borderId="1" xfId="0" applyFont="1" applyFill="1" applyBorder="1" applyAlignment="1">
      <alignment vertical="center" wrapText="1"/>
    </xf>
    <xf numFmtId="0" fontId="5" fillId="0" borderId="42" xfId="0" applyFont="1" applyBorder="1" applyAlignment="1">
      <alignment vertical="top" wrapText="1"/>
    </xf>
    <xf numFmtId="0" fontId="5" fillId="0" borderId="46" xfId="0" applyFont="1" applyBorder="1" applyAlignment="1">
      <alignment horizontal="left" vertical="top" wrapText="1"/>
    </xf>
    <xf numFmtId="0" fontId="5" fillId="0" borderId="71" xfId="0" applyFont="1" applyBorder="1" applyAlignment="1">
      <alignment horizontal="left" vertical="top" wrapText="1"/>
    </xf>
    <xf numFmtId="0" fontId="5" fillId="6" borderId="1" xfId="0" applyFont="1" applyFill="1" applyBorder="1" applyAlignment="1">
      <alignment vertical="center" wrapText="1"/>
    </xf>
    <xf numFmtId="0" fontId="5" fillId="0" borderId="34" xfId="0" applyFont="1" applyBorder="1" applyAlignment="1">
      <alignment horizontal="left" vertical="top" wrapText="1"/>
    </xf>
    <xf numFmtId="0" fontId="25" fillId="0" borderId="5" xfId="0" applyFont="1" applyFill="1" applyBorder="1" applyAlignment="1">
      <alignment vertical="top" wrapText="1"/>
    </xf>
    <xf numFmtId="0" fontId="5" fillId="0" borderId="45" xfId="0" applyFont="1" applyBorder="1" applyAlignment="1">
      <alignment horizontal="center" vertical="top" wrapText="1"/>
    </xf>
    <xf numFmtId="0" fontId="5" fillId="0" borderId="46" xfId="0" applyFont="1" applyFill="1" applyBorder="1" applyAlignment="1">
      <alignment vertical="top" wrapText="1"/>
    </xf>
    <xf numFmtId="0" fontId="5" fillId="0" borderId="42" xfId="0" applyFont="1" applyFill="1" applyBorder="1" applyAlignment="1">
      <alignment vertical="top" wrapText="1"/>
    </xf>
    <xf numFmtId="0" fontId="5" fillId="0" borderId="71" xfId="0" applyFont="1" applyFill="1" applyBorder="1" applyAlignment="1">
      <alignment vertical="top" wrapText="1"/>
    </xf>
    <xf numFmtId="0" fontId="5" fillId="0" borderId="67" xfId="0" applyFont="1" applyBorder="1" applyAlignment="1">
      <alignment horizontal="left" vertical="top" wrapText="1"/>
    </xf>
    <xf numFmtId="0" fontId="5" fillId="6" borderId="1" xfId="0" applyFont="1" applyFill="1" applyBorder="1" applyAlignment="1">
      <alignment vertical="center" wrapText="1"/>
    </xf>
    <xf numFmtId="0" fontId="13" fillId="0" borderId="5" xfId="0" applyFont="1" applyBorder="1" applyAlignment="1" applyProtection="1">
      <alignment horizontal="center" vertical="center"/>
      <protection hidden="1"/>
    </xf>
    <xf numFmtId="0" fontId="39" fillId="0" borderId="17" xfId="0" applyNumberFormat="1" applyFont="1" applyFill="1" applyBorder="1" applyAlignment="1">
      <alignment horizontal="left" vertical="top" wrapText="1"/>
    </xf>
    <xf numFmtId="0" fontId="39" fillId="0" borderId="3" xfId="0" applyNumberFormat="1" applyFont="1" applyFill="1" applyBorder="1" applyAlignment="1">
      <alignment horizontal="center" vertical="top" wrapText="1"/>
    </xf>
    <xf numFmtId="1" fontId="59" fillId="2" borderId="1" xfId="0" applyNumberFormat="1" applyFont="1" applyFill="1" applyBorder="1" applyAlignment="1" applyProtection="1">
      <alignment horizontal="center" vertical="top" wrapText="1"/>
    </xf>
    <xf numFmtId="0" fontId="60" fillId="26" borderId="5" xfId="0" applyFont="1" applyFill="1" applyBorder="1" applyAlignment="1">
      <alignment wrapText="1"/>
    </xf>
    <xf numFmtId="0" fontId="14" fillId="26" borderId="5" xfId="0" applyFont="1" applyFill="1" applyBorder="1" applyAlignment="1">
      <alignment horizontal="center" wrapText="1"/>
    </xf>
    <xf numFmtId="0" fontId="17" fillId="0" borderId="18" xfId="0" applyFont="1" applyBorder="1" applyAlignment="1">
      <alignment vertical="top" wrapText="1"/>
    </xf>
    <xf numFmtId="0" fontId="17" fillId="0" borderId="21" xfId="0" applyFont="1" applyBorder="1" applyAlignment="1">
      <alignment vertical="top" wrapText="1"/>
    </xf>
    <xf numFmtId="0" fontId="17" fillId="0" borderId="21" xfId="0" applyFont="1" applyFill="1" applyBorder="1" applyAlignment="1">
      <alignment vertical="top" wrapText="1"/>
    </xf>
    <xf numFmtId="0" fontId="17" fillId="0" borderId="24" xfId="0" applyFont="1" applyBorder="1" applyAlignment="1">
      <alignment vertical="top" wrapText="1"/>
    </xf>
    <xf numFmtId="0" fontId="26" fillId="0" borderId="11" xfId="0" applyFont="1" applyBorder="1" applyAlignment="1">
      <alignment vertical="top" wrapText="1"/>
    </xf>
    <xf numFmtId="0" fontId="6" fillId="18" borderId="5" xfId="0" applyFont="1" applyFill="1" applyBorder="1" applyAlignment="1" applyProtection="1">
      <alignment horizontal="left" vertical="top" wrapText="1"/>
      <protection locked="0"/>
    </xf>
    <xf numFmtId="0" fontId="0" fillId="0" borderId="0" xfId="0" applyProtection="1">
      <alignment vertical="top"/>
      <protection locked="0"/>
    </xf>
    <xf numFmtId="0" fontId="5" fillId="0" borderId="23" xfId="0" applyFont="1" applyFill="1" applyBorder="1" applyAlignment="1">
      <alignment horizontal="left" vertical="top" wrapText="1"/>
    </xf>
    <xf numFmtId="0" fontId="5" fillId="0" borderId="42" xfId="0" applyFont="1" applyFill="1" applyBorder="1" applyAlignment="1">
      <alignment horizontal="left" vertical="top" wrapText="1"/>
    </xf>
    <xf numFmtId="0" fontId="5" fillId="0" borderId="42" xfId="0" applyFont="1" applyBorder="1" applyAlignment="1">
      <alignment vertical="top" wrapText="1"/>
    </xf>
    <xf numFmtId="0" fontId="5" fillId="0" borderId="6" xfId="0" applyFont="1" applyFill="1" applyBorder="1" applyAlignment="1">
      <alignment vertical="top" wrapText="1"/>
    </xf>
    <xf numFmtId="0" fontId="5" fillId="0" borderId="22" xfId="0" applyFont="1" applyFill="1" applyBorder="1" applyAlignment="1">
      <alignment vertical="top" wrapText="1"/>
    </xf>
    <xf numFmtId="0" fontId="5" fillId="0" borderId="1" xfId="0" applyFont="1" applyFill="1" applyBorder="1" applyAlignment="1">
      <alignment horizontal="left" vertical="top" wrapText="1"/>
    </xf>
    <xf numFmtId="0" fontId="5" fillId="0" borderId="69" xfId="0" applyFont="1" applyFill="1" applyBorder="1" applyAlignment="1">
      <alignment horizontal="left" vertical="top" wrapText="1"/>
    </xf>
    <xf numFmtId="0" fontId="5" fillId="0" borderId="71" xfId="0" applyFont="1" applyFill="1" applyBorder="1" applyAlignment="1">
      <alignment vertical="top" wrapText="1"/>
    </xf>
    <xf numFmtId="0" fontId="5" fillId="0" borderId="71" xfId="0" applyFont="1" applyBorder="1" applyAlignment="1">
      <alignment horizontal="left" vertical="top" wrapText="1"/>
    </xf>
    <xf numFmtId="0" fontId="5" fillId="0" borderId="75" xfId="0" applyFont="1" applyFill="1" applyBorder="1" applyAlignment="1">
      <alignment horizontal="left" vertical="top" wrapText="1"/>
    </xf>
    <xf numFmtId="0" fontId="5" fillId="6" borderId="1" xfId="0" applyFont="1" applyFill="1" applyBorder="1" applyAlignment="1">
      <alignment vertical="center" wrapText="1"/>
    </xf>
    <xf numFmtId="0" fontId="5" fillId="0" borderId="10" xfId="0" applyFont="1" applyFill="1" applyBorder="1" applyAlignment="1">
      <alignment horizontal="left" vertical="top" wrapText="1"/>
    </xf>
    <xf numFmtId="0" fontId="23" fillId="0" borderId="42" xfId="0" applyFont="1" applyFill="1" applyBorder="1" applyAlignment="1">
      <alignment horizontal="left" vertical="top" wrapText="1"/>
    </xf>
    <xf numFmtId="0" fontId="5" fillId="0" borderId="47" xfId="0" applyFont="1" applyFill="1" applyBorder="1" applyAlignment="1">
      <alignment horizontal="left" vertical="top" wrapText="1"/>
    </xf>
    <xf numFmtId="0" fontId="5" fillId="0" borderId="34" xfId="1" applyFont="1" applyBorder="1" applyAlignment="1">
      <alignment vertical="top" wrapText="1"/>
    </xf>
    <xf numFmtId="0" fontId="5" fillId="0" borderId="19" xfId="1" applyFont="1" applyBorder="1" applyAlignment="1">
      <alignment horizontal="left" vertical="top" wrapText="1" indent="1"/>
    </xf>
    <xf numFmtId="0" fontId="5" fillId="0" borderId="20" xfId="1" applyFont="1" applyBorder="1" applyAlignment="1">
      <alignment horizontal="left" vertical="top" wrapText="1" indent="1"/>
    </xf>
    <xf numFmtId="0" fontId="5" fillId="0" borderId="3" xfId="0" applyFont="1" applyFill="1" applyBorder="1" applyAlignment="1">
      <alignment vertical="top" wrapText="1"/>
    </xf>
    <xf numFmtId="1" fontId="5" fillId="14" borderId="56" xfId="0" applyNumberFormat="1" applyFont="1" applyFill="1" applyBorder="1" applyAlignment="1">
      <alignment horizontal="center" vertical="top" wrapText="1"/>
    </xf>
    <xf numFmtId="1" fontId="5" fillId="14" borderId="39" xfId="0" applyNumberFormat="1" applyFont="1" applyFill="1" applyBorder="1" applyAlignment="1">
      <alignment horizontal="center" vertical="top" wrapText="1"/>
    </xf>
    <xf numFmtId="1" fontId="5" fillId="14" borderId="35" xfId="0" applyNumberFormat="1" applyFont="1" applyFill="1" applyBorder="1" applyAlignment="1">
      <alignment horizontal="center" vertical="top" wrapText="1"/>
    </xf>
    <xf numFmtId="1" fontId="5" fillId="14" borderId="47" xfId="0" applyNumberFormat="1" applyFont="1" applyFill="1" applyBorder="1" applyAlignment="1">
      <alignment horizontal="center" vertical="top" wrapText="1"/>
    </xf>
    <xf numFmtId="0" fontId="5" fillId="0" borderId="17" xfId="0" applyFont="1" applyFill="1" applyBorder="1" applyAlignment="1">
      <alignment horizontal="center" vertical="top" wrapText="1"/>
    </xf>
    <xf numFmtId="1" fontId="5" fillId="2" borderId="36" xfId="0" applyNumberFormat="1" applyFont="1" applyFill="1" applyBorder="1" applyAlignment="1">
      <alignment horizontal="center" vertical="top" wrapText="1"/>
    </xf>
    <xf numFmtId="1" fontId="5" fillId="2" borderId="10" xfId="0" applyNumberFormat="1" applyFont="1" applyFill="1" applyBorder="1" applyAlignment="1">
      <alignment horizontal="center" vertical="top" wrapText="1"/>
    </xf>
    <xf numFmtId="2" fontId="5" fillId="5" borderId="68" xfId="0" applyNumberFormat="1" applyFont="1" applyFill="1" applyBorder="1" applyAlignment="1">
      <alignment horizontal="center" vertical="top" wrapText="1"/>
    </xf>
    <xf numFmtId="2" fontId="5" fillId="2" borderId="10" xfId="0" applyNumberFormat="1" applyFont="1" applyFill="1" applyBorder="1" applyAlignment="1">
      <alignment horizontal="center" vertical="top" wrapText="1"/>
    </xf>
    <xf numFmtId="2" fontId="28" fillId="0" borderId="56" xfId="0" applyNumberFormat="1" applyFont="1" applyFill="1" applyBorder="1" applyAlignment="1">
      <alignment horizontal="center" vertical="top" wrapText="1"/>
    </xf>
    <xf numFmtId="2" fontId="5" fillId="5" borderId="42" xfId="0" applyNumberFormat="1" applyFont="1" applyFill="1" applyBorder="1" applyAlignment="1">
      <alignment horizontal="center" vertical="top" wrapText="1"/>
    </xf>
    <xf numFmtId="2" fontId="5" fillId="2" borderId="70" xfId="0" applyNumberFormat="1" applyFont="1" applyFill="1" applyBorder="1" applyAlignment="1">
      <alignment horizontal="center" vertical="top" wrapText="1"/>
    </xf>
    <xf numFmtId="2" fontId="5" fillId="14" borderId="28" xfId="0" applyNumberFormat="1" applyFont="1" applyFill="1" applyBorder="1" applyAlignment="1">
      <alignment horizontal="center" vertical="top" wrapText="1"/>
    </xf>
    <xf numFmtId="2" fontId="5" fillId="14" borderId="27" xfId="0" applyNumberFormat="1" applyFont="1" applyFill="1" applyBorder="1" applyAlignment="1">
      <alignment horizontal="center" vertical="top" wrapText="1"/>
    </xf>
    <xf numFmtId="2" fontId="5" fillId="14" borderId="40" xfId="0" applyNumberFormat="1" applyFont="1" applyFill="1" applyBorder="1" applyAlignment="1">
      <alignment horizontal="center" vertical="top" wrapText="1"/>
    </xf>
    <xf numFmtId="0" fontId="5" fillId="0" borderId="56" xfId="0" applyFont="1" applyFill="1" applyBorder="1" applyAlignment="1">
      <alignment horizontal="center" vertical="top" wrapText="1"/>
    </xf>
    <xf numFmtId="0" fontId="23" fillId="0" borderId="6" xfId="0" applyFont="1" applyBorder="1" applyAlignment="1">
      <alignment horizontal="center" vertical="top" wrapText="1"/>
    </xf>
    <xf numFmtId="0" fontId="23" fillId="0" borderId="50" xfId="0" applyFont="1" applyBorder="1" applyAlignment="1">
      <alignment horizontal="center" vertical="top" wrapText="1"/>
    </xf>
    <xf numFmtId="0" fontId="23" fillId="0" borderId="10" xfId="0" applyFont="1" applyBorder="1" applyAlignment="1">
      <alignment vertical="top" wrapText="1"/>
    </xf>
    <xf numFmtId="1" fontId="23" fillId="2" borderId="58" xfId="0" applyNumberFormat="1" applyFont="1" applyFill="1" applyBorder="1" applyAlignment="1">
      <alignment horizontal="center" vertical="top" wrapText="1"/>
    </xf>
    <xf numFmtId="1" fontId="5" fillId="2" borderId="73" xfId="0" applyNumberFormat="1" applyFont="1" applyFill="1" applyBorder="1" applyAlignment="1">
      <alignment horizontal="center" vertical="top"/>
    </xf>
    <xf numFmtId="0" fontId="26" fillId="0" borderId="50" xfId="0" applyFont="1" applyFill="1" applyBorder="1" applyAlignment="1">
      <alignment horizontal="left" vertical="top" wrapText="1"/>
    </xf>
    <xf numFmtId="0" fontId="5" fillId="0" borderId="53" xfId="1" applyFont="1" applyBorder="1" applyAlignment="1">
      <alignment vertical="top" wrapText="1"/>
    </xf>
    <xf numFmtId="0" fontId="5" fillId="0" borderId="53" xfId="0" applyFont="1" applyFill="1" applyBorder="1" applyAlignment="1" applyProtection="1">
      <alignment horizontal="left" vertical="top" wrapText="1"/>
    </xf>
    <xf numFmtId="0" fontId="5" fillId="0" borderId="14" xfId="0" applyFont="1" applyFill="1" applyBorder="1" applyAlignment="1" applyProtection="1">
      <alignment horizontal="left" vertical="top" wrapText="1"/>
    </xf>
    <xf numFmtId="0" fontId="5" fillId="0" borderId="78" xfId="0" applyFont="1" applyFill="1" applyBorder="1" applyAlignment="1" applyProtection="1">
      <alignment horizontal="left" vertical="top" wrapText="1"/>
    </xf>
    <xf numFmtId="0" fontId="5" fillId="0" borderId="20" xfId="0" applyFont="1" applyFill="1" applyBorder="1" applyAlignment="1" applyProtection="1">
      <alignment horizontal="left" vertical="top" wrapText="1"/>
    </xf>
    <xf numFmtId="2" fontId="28" fillId="2" borderId="27" xfId="0" applyNumberFormat="1" applyFont="1" applyFill="1" applyBorder="1" applyAlignment="1">
      <alignment horizontal="center" vertical="top" wrapText="1"/>
    </xf>
    <xf numFmtId="2" fontId="28" fillId="2" borderId="40" xfId="0" applyNumberFormat="1" applyFont="1" applyFill="1" applyBorder="1" applyAlignment="1">
      <alignment horizontal="center" vertical="top" wrapText="1"/>
    </xf>
    <xf numFmtId="2" fontId="26" fillId="0" borderId="73" xfId="0" applyNumberFormat="1" applyFont="1" applyFill="1" applyBorder="1" applyAlignment="1">
      <alignment vertical="top" wrapText="1"/>
    </xf>
    <xf numFmtId="2" fontId="26" fillId="0" borderId="33" xfId="0" applyNumberFormat="1" applyFont="1" applyFill="1" applyBorder="1" applyAlignment="1">
      <alignment vertical="top" wrapText="1"/>
    </xf>
    <xf numFmtId="2" fontId="26" fillId="0" borderId="60" xfId="0" applyNumberFormat="1" applyFont="1" applyFill="1" applyBorder="1" applyAlignment="1">
      <alignment vertical="top" wrapText="1"/>
    </xf>
    <xf numFmtId="0" fontId="26" fillId="0" borderId="56" xfId="0" applyFont="1" applyFill="1" applyBorder="1" applyAlignment="1">
      <alignment vertical="top" wrapText="1"/>
    </xf>
    <xf numFmtId="2" fontId="28" fillId="2" borderId="28" xfId="0" applyNumberFormat="1" applyFont="1" applyFill="1" applyBorder="1" applyAlignment="1">
      <alignment horizontal="center" vertical="top" wrapText="1"/>
    </xf>
    <xf numFmtId="0" fontId="5" fillId="14" borderId="17" xfId="0" applyFont="1" applyFill="1" applyBorder="1" applyAlignment="1">
      <alignment horizontal="center" vertical="top" wrapText="1"/>
    </xf>
    <xf numFmtId="0" fontId="5" fillId="0" borderId="46" xfId="0" applyFont="1" applyFill="1" applyBorder="1" applyAlignment="1">
      <alignment horizontal="left" vertical="top" wrapText="1"/>
    </xf>
    <xf numFmtId="0" fontId="5" fillId="0" borderId="42" xfId="0" applyFont="1" applyFill="1" applyBorder="1" applyAlignment="1">
      <alignment horizontal="left" vertical="top" wrapText="1"/>
    </xf>
    <xf numFmtId="0" fontId="5" fillId="0" borderId="42" xfId="0" applyFont="1" applyBorder="1" applyAlignment="1">
      <alignment vertical="top" wrapText="1"/>
    </xf>
    <xf numFmtId="0" fontId="39" fillId="0" borderId="23" xfId="0" applyFont="1" applyFill="1" applyBorder="1" applyAlignment="1">
      <alignment horizontal="left" vertical="top" wrapText="1"/>
    </xf>
    <xf numFmtId="0" fontId="26" fillId="0" borderId="64" xfId="0" applyFont="1" applyBorder="1" applyAlignment="1">
      <alignment vertical="top" wrapText="1"/>
    </xf>
    <xf numFmtId="0" fontId="26" fillId="0" borderId="42" xfId="0" applyFont="1" applyBorder="1" applyAlignment="1">
      <alignment vertical="top" wrapText="1"/>
    </xf>
    <xf numFmtId="0" fontId="39" fillId="0" borderId="68" xfId="0" applyFont="1" applyFill="1" applyBorder="1" applyAlignment="1">
      <alignment horizontal="left" vertical="top" wrapText="1"/>
    </xf>
    <xf numFmtId="0" fontId="5" fillId="0" borderId="42" xfId="0" applyFont="1" applyBorder="1" applyAlignment="1">
      <alignment vertical="top"/>
    </xf>
    <xf numFmtId="0" fontId="5" fillId="0" borderId="23" xfId="0" applyFont="1" applyBorder="1" applyAlignment="1">
      <alignment vertical="top"/>
    </xf>
    <xf numFmtId="1" fontId="5" fillId="2" borderId="58" xfId="0" applyNumberFormat="1" applyFont="1" applyFill="1" applyBorder="1" applyAlignment="1">
      <alignment horizontal="center" vertical="top"/>
    </xf>
    <xf numFmtId="2" fontId="5" fillId="7" borderId="68" xfId="0" applyNumberFormat="1" applyFont="1" applyFill="1" applyBorder="1" applyAlignment="1">
      <alignment horizontal="center" vertical="top"/>
    </xf>
    <xf numFmtId="0" fontId="39" fillId="0" borderId="57" xfId="0" applyFont="1" applyFill="1" applyBorder="1" applyAlignment="1">
      <alignment horizontal="center" vertical="top" wrapText="1"/>
    </xf>
    <xf numFmtId="1" fontId="26" fillId="2" borderId="52" xfId="0" applyNumberFormat="1" applyFont="1" applyFill="1" applyBorder="1" applyAlignment="1">
      <alignment horizontal="center" vertical="top"/>
    </xf>
    <xf numFmtId="0" fontId="39" fillId="0" borderId="65" xfId="0" applyFont="1" applyFill="1" applyBorder="1" applyAlignment="1">
      <alignment horizontal="left" vertical="top" wrapText="1"/>
    </xf>
    <xf numFmtId="0" fontId="39" fillId="0" borderId="6" xfId="0" applyFont="1" applyFill="1" applyBorder="1" applyAlignment="1">
      <alignment horizontal="left" vertical="top" wrapText="1"/>
    </xf>
    <xf numFmtId="0" fontId="23" fillId="0" borderId="13" xfId="0" applyFont="1" applyBorder="1" applyAlignment="1">
      <alignment horizontal="center" vertical="top" wrapText="1"/>
    </xf>
    <xf numFmtId="0" fontId="26" fillId="0" borderId="10" xfId="0" applyFont="1" applyBorder="1" applyAlignment="1">
      <alignment vertical="top" wrapText="1"/>
    </xf>
    <xf numFmtId="0" fontId="26" fillId="0" borderId="58" xfId="0" applyFont="1" applyBorder="1" applyAlignment="1">
      <alignment horizontal="center" vertical="top" wrapText="1"/>
    </xf>
    <xf numFmtId="2" fontId="26" fillId="7" borderId="22" xfId="0" applyNumberFormat="1" applyFont="1" applyFill="1" applyBorder="1" applyAlignment="1">
      <alignment horizontal="center" vertical="top"/>
    </xf>
    <xf numFmtId="0" fontId="39" fillId="0" borderId="12" xfId="0" applyFont="1" applyFill="1" applyBorder="1" applyAlignment="1">
      <alignment horizontal="left" vertical="top" wrapText="1"/>
    </xf>
    <xf numFmtId="0" fontId="23" fillId="0" borderId="33" xfId="0" applyFont="1" applyBorder="1" applyAlignment="1">
      <alignment vertical="top" wrapText="1"/>
    </xf>
    <xf numFmtId="1" fontId="23" fillId="2" borderId="66" xfId="0" applyNumberFormat="1" applyFont="1" applyFill="1" applyBorder="1" applyAlignment="1">
      <alignment horizontal="center" vertical="top"/>
    </xf>
    <xf numFmtId="0" fontId="23" fillId="0" borderId="73" xfId="0" applyFont="1" applyBorder="1" applyAlignment="1">
      <alignment vertical="top" wrapText="1"/>
    </xf>
    <xf numFmtId="0" fontId="5" fillId="0" borderId="46" xfId="0" applyFont="1" applyFill="1" applyBorder="1" applyAlignment="1">
      <alignment vertical="top"/>
    </xf>
    <xf numFmtId="0" fontId="5" fillId="6" borderId="1" xfId="0" applyFont="1" applyFill="1" applyBorder="1" applyAlignment="1">
      <alignment vertical="center" wrapText="1"/>
    </xf>
    <xf numFmtId="0" fontId="6" fillId="0" borderId="2" xfId="1" applyFont="1" applyBorder="1" applyAlignment="1">
      <alignment horizontal="left" vertical="top" wrapText="1" indent="1"/>
    </xf>
    <xf numFmtId="0" fontId="5" fillId="0" borderId="25" xfId="0" applyFont="1" applyBorder="1" applyAlignment="1">
      <alignment horizontal="left" vertical="top" wrapText="1" indent="1"/>
    </xf>
    <xf numFmtId="0" fontId="5" fillId="0" borderId="26" xfId="0" applyFont="1" applyBorder="1" applyAlignment="1">
      <alignment horizontal="left" vertical="top" wrapText="1" indent="1"/>
    </xf>
    <xf numFmtId="0" fontId="5" fillId="0" borderId="78" xfId="0" applyFont="1" applyBorder="1" applyAlignment="1">
      <alignment horizontal="left" vertical="top" wrapText="1" indent="1"/>
    </xf>
    <xf numFmtId="0" fontId="5" fillId="0" borderId="25" xfId="0" applyFont="1" applyFill="1" applyBorder="1" applyAlignment="1">
      <alignment vertical="top" wrapText="1"/>
    </xf>
    <xf numFmtId="0" fontId="5" fillId="0" borderId="78" xfId="0" applyFont="1" applyFill="1" applyBorder="1" applyAlignment="1">
      <alignment vertical="top" wrapText="1"/>
    </xf>
    <xf numFmtId="0" fontId="5" fillId="0" borderId="25" xfId="0" applyFont="1" applyBorder="1" applyAlignment="1">
      <alignment vertical="top" wrapText="1"/>
    </xf>
    <xf numFmtId="0" fontId="5" fillId="0" borderId="78" xfId="0" applyFont="1" applyBorder="1" applyAlignment="1">
      <alignment vertical="top" wrapText="1"/>
    </xf>
    <xf numFmtId="0" fontId="5" fillId="0" borderId="19" xfId="0" applyFont="1" applyBorder="1" applyAlignment="1">
      <alignment vertical="top" wrapText="1"/>
    </xf>
    <xf numFmtId="0" fontId="5" fillId="0" borderId="68" xfId="1" applyFont="1" applyBorder="1" applyAlignment="1">
      <alignment vertical="top" wrapText="1"/>
    </xf>
    <xf numFmtId="0" fontId="5" fillId="0" borderId="78" xfId="1" applyFont="1" applyBorder="1" applyAlignment="1">
      <alignment horizontal="left" vertical="top" wrapText="1" indent="1"/>
    </xf>
    <xf numFmtId="0" fontId="5" fillId="0" borderId="26" xfId="0" applyFont="1" applyBorder="1" applyAlignment="1">
      <alignment vertical="top" wrapText="1"/>
    </xf>
    <xf numFmtId="0" fontId="5" fillId="0" borderId="25" xfId="0" applyFont="1" applyBorder="1" applyAlignment="1">
      <alignment vertical="top"/>
    </xf>
    <xf numFmtId="0" fontId="6" fillId="0" borderId="25" xfId="0" applyFont="1" applyBorder="1" applyAlignment="1">
      <alignment vertical="top" wrapText="1"/>
    </xf>
    <xf numFmtId="0" fontId="6" fillId="0" borderId="26" xfId="0" applyFont="1" applyBorder="1" applyAlignment="1">
      <alignment vertical="top" wrapText="1"/>
    </xf>
    <xf numFmtId="0" fontId="5" fillId="0" borderId="46" xfId="0" applyFont="1" applyFill="1" applyBorder="1" applyAlignment="1">
      <alignment horizontal="left" vertical="top"/>
    </xf>
    <xf numFmtId="0" fontId="5" fillId="0" borderId="42" xfId="0" applyFont="1" applyFill="1" applyBorder="1" applyAlignment="1">
      <alignment horizontal="left" vertical="top"/>
    </xf>
    <xf numFmtId="0" fontId="31" fillId="0" borderId="46" xfId="0" applyFont="1" applyFill="1" applyBorder="1" applyAlignment="1" applyProtection="1">
      <alignment horizontal="center" vertical="top" wrapText="1"/>
      <protection locked="0"/>
    </xf>
    <xf numFmtId="0" fontId="31" fillId="0" borderId="46" xfId="0" applyFont="1" applyFill="1" applyBorder="1" applyAlignment="1">
      <alignment horizontal="center" vertical="top"/>
    </xf>
    <xf numFmtId="0" fontId="26" fillId="0" borderId="5" xfId="0" applyFont="1" applyFill="1" applyBorder="1" applyAlignment="1">
      <alignment horizontal="left" vertical="top" wrapText="1"/>
    </xf>
    <xf numFmtId="0" fontId="5" fillId="6" borderId="1" xfId="0" applyFont="1" applyFill="1" applyBorder="1" applyAlignment="1">
      <alignment vertical="center" wrapText="1"/>
    </xf>
    <xf numFmtId="1" fontId="28" fillId="2" borderId="12" xfId="0" applyNumberFormat="1" applyFont="1" applyFill="1" applyBorder="1" applyAlignment="1" applyProtection="1">
      <alignment horizontal="center" vertical="top" wrapText="1"/>
      <protection hidden="1"/>
    </xf>
    <xf numFmtId="0" fontId="28" fillId="0" borderId="59" xfId="0" applyFont="1" applyBorder="1" applyAlignment="1">
      <alignment horizontal="left" vertical="top" wrapText="1"/>
    </xf>
    <xf numFmtId="0" fontId="5" fillId="0" borderId="23" xfId="0" applyFont="1" applyFill="1" applyBorder="1" applyAlignment="1">
      <alignment horizontal="left" vertical="top" wrapText="1"/>
    </xf>
    <xf numFmtId="0" fontId="5" fillId="0" borderId="46" xfId="0" applyFont="1" applyFill="1" applyBorder="1" applyAlignment="1">
      <alignment horizontal="left" vertical="top" wrapText="1"/>
    </xf>
    <xf numFmtId="0" fontId="5" fillId="0" borderId="68" xfId="0" applyFont="1" applyFill="1" applyBorder="1" applyAlignment="1">
      <alignment horizontal="left" vertical="top" wrapText="1"/>
    </xf>
    <xf numFmtId="0" fontId="5" fillId="0" borderId="0" xfId="0" applyFont="1" applyFill="1" applyBorder="1" applyAlignment="1">
      <alignment vertical="top" wrapText="1"/>
    </xf>
    <xf numFmtId="0" fontId="5" fillId="0" borderId="68" xfId="0" applyFont="1" applyBorder="1" applyAlignment="1">
      <alignment horizontal="left" vertical="top" wrapText="1"/>
    </xf>
    <xf numFmtId="0" fontId="5" fillId="0" borderId="18" xfId="0" applyFont="1" applyBorder="1" applyAlignment="1">
      <alignment horizontal="left" vertical="top" wrapText="1"/>
    </xf>
    <xf numFmtId="0" fontId="28" fillId="0" borderId="68" xfId="0" applyFont="1" applyFill="1" applyBorder="1" applyAlignment="1">
      <alignment horizontal="left" vertical="top" wrapText="1"/>
    </xf>
    <xf numFmtId="0" fontId="28" fillId="0" borderId="64" xfId="0" applyFont="1" applyFill="1" applyBorder="1" applyAlignment="1">
      <alignment horizontal="left" vertical="top" wrapText="1"/>
    </xf>
    <xf numFmtId="0" fontId="28" fillId="0" borderId="23" xfId="0" applyFont="1" applyFill="1" applyBorder="1" applyAlignment="1">
      <alignment horizontal="left" vertical="top" wrapText="1"/>
    </xf>
    <xf numFmtId="0" fontId="28" fillId="0" borderId="46" xfId="0" applyFont="1" applyFill="1" applyBorder="1" applyAlignment="1">
      <alignment horizontal="left" vertical="top" wrapText="1"/>
    </xf>
    <xf numFmtId="0" fontId="5" fillId="0" borderId="23" xfId="0" applyFont="1" applyBorder="1" applyAlignment="1">
      <alignment horizontal="left" vertical="top" wrapText="1"/>
    </xf>
    <xf numFmtId="0" fontId="5" fillId="0" borderId="23" xfId="0" applyFont="1" applyFill="1" applyBorder="1" applyAlignment="1">
      <alignment horizontal="left" vertical="top"/>
    </xf>
    <xf numFmtId="0" fontId="5" fillId="0" borderId="23" xfId="0" applyFont="1" applyFill="1" applyBorder="1" applyAlignment="1">
      <alignment vertical="top" wrapText="1"/>
    </xf>
    <xf numFmtId="0" fontId="28" fillId="0" borderId="13" xfId="0" applyFont="1" applyFill="1" applyBorder="1" applyAlignment="1">
      <alignment horizontal="left" vertical="top" wrapText="1"/>
    </xf>
    <xf numFmtId="0" fontId="5" fillId="0" borderId="71" xfId="0" applyFont="1" applyFill="1" applyBorder="1" applyAlignment="1">
      <alignment horizontal="left" vertical="top" wrapText="1"/>
    </xf>
    <xf numFmtId="1" fontId="5" fillId="2" borderId="11" xfId="0" applyNumberFormat="1" applyFont="1" applyFill="1" applyBorder="1" applyAlignment="1">
      <alignment horizontal="center" vertical="top" wrapText="1"/>
    </xf>
    <xf numFmtId="2" fontId="5" fillId="5" borderId="5" xfId="0" applyNumberFormat="1" applyFont="1" applyFill="1" applyBorder="1" applyAlignment="1" applyProtection="1">
      <alignment horizontal="center" vertical="top" wrapText="1"/>
    </xf>
    <xf numFmtId="0" fontId="28" fillId="0" borderId="34" xfId="0" applyFont="1" applyFill="1" applyBorder="1" applyAlignment="1">
      <alignment horizontal="left" vertical="top" wrapText="1"/>
    </xf>
    <xf numFmtId="0" fontId="28" fillId="2" borderId="44" xfId="0" applyFont="1" applyFill="1" applyBorder="1" applyAlignment="1">
      <alignment horizontal="center" vertical="top" wrapText="1"/>
    </xf>
    <xf numFmtId="2" fontId="5" fillId="15" borderId="5" xfId="0" applyNumberFormat="1" applyFont="1" applyFill="1" applyBorder="1" applyAlignment="1">
      <alignment horizontal="center" vertical="top" wrapText="1"/>
    </xf>
    <xf numFmtId="0" fontId="5" fillId="0" borderId="71" xfId="0" applyFont="1" applyFill="1" applyBorder="1" applyAlignment="1">
      <alignment horizontal="left" vertical="top" wrapText="1"/>
    </xf>
    <xf numFmtId="0" fontId="5" fillId="0" borderId="0" xfId="0" applyFont="1" applyFill="1" applyBorder="1" applyAlignment="1">
      <alignment vertical="top" wrapText="1"/>
    </xf>
    <xf numFmtId="0" fontId="5" fillId="0" borderId="17" xfId="0" applyFont="1" applyFill="1" applyBorder="1" applyAlignment="1">
      <alignment horizontal="left" vertical="top" wrapText="1"/>
    </xf>
    <xf numFmtId="2" fontId="5" fillId="0" borderId="44" xfId="0" applyNumberFormat="1" applyFont="1" applyBorder="1" applyAlignment="1">
      <alignment horizontal="center" vertical="top"/>
    </xf>
    <xf numFmtId="0" fontId="49" fillId="0" borderId="2" xfId="0" applyFont="1" applyBorder="1" applyAlignment="1">
      <alignment horizontal="center" vertical="top" wrapText="1"/>
    </xf>
    <xf numFmtId="49" fontId="47" fillId="0" borderId="48" xfId="1" applyNumberFormat="1" applyFont="1" applyFill="1" applyBorder="1" applyAlignment="1">
      <alignment horizontal="right" vertical="center" wrapText="1"/>
    </xf>
    <xf numFmtId="0" fontId="55" fillId="0" borderId="23" xfId="0" applyFont="1" applyFill="1" applyBorder="1" applyAlignment="1" applyProtection="1">
      <alignment horizontal="center" wrapText="1"/>
      <protection locked="0"/>
    </xf>
    <xf numFmtId="0" fontId="5" fillId="0" borderId="46" xfId="0" applyFont="1" applyFill="1" applyBorder="1" applyAlignment="1">
      <alignment horizontal="left" vertical="top"/>
    </xf>
    <xf numFmtId="0" fontId="64" fillId="0" borderId="0" xfId="0" applyFont="1" applyBorder="1" applyAlignment="1">
      <alignment horizontal="center" vertical="top"/>
    </xf>
    <xf numFmtId="0" fontId="64" fillId="0" borderId="0" xfId="0" applyFont="1" applyAlignment="1">
      <alignment horizontal="center" vertical="top"/>
    </xf>
    <xf numFmtId="0" fontId="66" fillId="0" borderId="0" xfId="0" applyFont="1" applyBorder="1" applyAlignment="1">
      <alignment horizontal="center" vertical="top"/>
    </xf>
    <xf numFmtId="0" fontId="66" fillId="0" borderId="0" xfId="0" applyFont="1" applyAlignment="1">
      <alignment horizontal="center" vertical="top"/>
    </xf>
    <xf numFmtId="0" fontId="65" fillId="0" borderId="0" xfId="0" applyFont="1" applyFill="1" applyBorder="1" applyAlignment="1">
      <alignment horizontal="center" vertical="center"/>
    </xf>
    <xf numFmtId="0" fontId="68" fillId="0" borderId="0" xfId="0" applyFont="1" applyFill="1" applyBorder="1" applyAlignment="1">
      <alignment horizontal="center" vertical="center"/>
    </xf>
    <xf numFmtId="0" fontId="66" fillId="18" borderId="0" xfId="0" applyFont="1" applyFill="1" applyBorder="1" applyAlignment="1">
      <alignment horizontal="center" vertical="top"/>
    </xf>
    <xf numFmtId="0" fontId="66" fillId="18" borderId="59" xfId="0" applyFont="1" applyFill="1" applyBorder="1" applyAlignment="1">
      <alignment horizontal="center" vertical="top"/>
    </xf>
    <xf numFmtId="0" fontId="66" fillId="0" borderId="59" xfId="0" applyFont="1" applyBorder="1" applyAlignment="1">
      <alignment horizontal="center" vertical="top"/>
    </xf>
    <xf numFmtId="0" fontId="66" fillId="0" borderId="10" xfId="0" applyFont="1" applyBorder="1" applyAlignment="1">
      <alignment horizontal="center" vertical="top"/>
    </xf>
    <xf numFmtId="0" fontId="66" fillId="18" borderId="53" xfId="0" applyFont="1" applyFill="1" applyBorder="1" applyAlignment="1">
      <alignment horizontal="center" vertical="top"/>
    </xf>
    <xf numFmtId="0" fontId="66" fillId="0" borderId="0" xfId="0" applyFont="1" applyFill="1" applyBorder="1" applyAlignment="1">
      <alignment horizontal="center" vertical="top"/>
    </xf>
    <xf numFmtId="0" fontId="66" fillId="0" borderId="59" xfId="0" applyFont="1" applyFill="1" applyBorder="1" applyAlignment="1">
      <alignment horizontal="center" vertical="top"/>
    </xf>
    <xf numFmtId="0" fontId="66" fillId="0" borderId="10" xfId="0" applyFont="1" applyFill="1" applyBorder="1" applyAlignment="1">
      <alignment horizontal="center" vertical="top"/>
    </xf>
    <xf numFmtId="0" fontId="66" fillId="0" borderId="53" xfId="0" applyFont="1" applyBorder="1" applyAlignment="1">
      <alignment horizontal="center" vertical="top"/>
    </xf>
    <xf numFmtId="0" fontId="66" fillId="22" borderId="0" xfId="0" applyFont="1" applyFill="1" applyBorder="1" applyAlignment="1">
      <alignment horizontal="center" vertical="top"/>
    </xf>
    <xf numFmtId="0" fontId="66" fillId="22" borderId="53" xfId="0" applyFont="1" applyFill="1" applyBorder="1" applyAlignment="1">
      <alignment horizontal="center" vertical="top"/>
    </xf>
    <xf numFmtId="0" fontId="66" fillId="0" borderId="0" xfId="0" applyFont="1" applyFill="1" applyBorder="1" applyAlignment="1">
      <alignment horizontal="left" vertical="top"/>
    </xf>
    <xf numFmtId="0" fontId="66" fillId="0" borderId="0" xfId="0" applyFont="1" applyFill="1" applyAlignment="1">
      <alignment horizontal="left" vertical="top" wrapText="1"/>
    </xf>
    <xf numFmtId="0" fontId="71" fillId="0" borderId="5" xfId="0" applyFont="1" applyFill="1" applyBorder="1" applyAlignment="1" applyProtection="1">
      <alignment horizontal="left" vertical="top" wrapText="1"/>
      <protection locked="0"/>
    </xf>
    <xf numFmtId="0" fontId="70" fillId="0" borderId="0" xfId="0" applyFont="1" applyFill="1" applyAlignment="1">
      <alignment horizontal="left" vertical="top" wrapText="1"/>
    </xf>
    <xf numFmtId="0" fontId="70" fillId="0" borderId="0" xfId="0" applyFont="1" applyAlignment="1">
      <alignment horizontal="center" vertical="top"/>
    </xf>
    <xf numFmtId="0" fontId="5" fillId="0" borderId="71" xfId="0" applyFont="1" applyFill="1" applyBorder="1" applyAlignment="1">
      <alignment vertical="top" wrapText="1"/>
    </xf>
    <xf numFmtId="0" fontId="5" fillId="0" borderId="2" xfId="0" applyFont="1" applyFill="1" applyBorder="1" applyAlignment="1">
      <alignment horizontal="left" vertical="top" wrapText="1"/>
    </xf>
    <xf numFmtId="2" fontId="5" fillId="0" borderId="6" xfId="0" applyNumberFormat="1" applyFont="1" applyFill="1" applyBorder="1" applyAlignment="1">
      <alignment vertical="top" wrapText="1"/>
    </xf>
    <xf numFmtId="0" fontId="5" fillId="0" borderId="1" xfId="0" applyFont="1" applyBorder="1" applyAlignment="1">
      <alignment horizontal="left" vertical="top" wrapText="1"/>
    </xf>
    <xf numFmtId="2" fontId="5" fillId="0" borderId="1" xfId="0" applyNumberFormat="1" applyFont="1" applyFill="1" applyBorder="1" applyAlignment="1">
      <alignment horizontal="left" vertical="top" wrapText="1"/>
    </xf>
    <xf numFmtId="0" fontId="5" fillId="2" borderId="73" xfId="0" applyFont="1" applyFill="1" applyBorder="1" applyAlignment="1">
      <alignment horizontal="center" vertical="top" wrapText="1"/>
    </xf>
    <xf numFmtId="0" fontId="5" fillId="0" borderId="39" xfId="0" applyFont="1" applyFill="1" applyBorder="1" applyAlignment="1">
      <alignment horizontal="center" vertical="top" wrapText="1"/>
    </xf>
    <xf numFmtId="1" fontId="26" fillId="2" borderId="11" xfId="0" applyNumberFormat="1" applyFont="1" applyFill="1" applyBorder="1" applyAlignment="1">
      <alignment horizontal="center" vertical="top" wrapText="1"/>
    </xf>
    <xf numFmtId="0" fontId="5" fillId="18" borderId="0" xfId="0" applyFont="1" applyFill="1" applyBorder="1" applyAlignment="1">
      <alignment horizontal="left" vertical="top" wrapText="1"/>
    </xf>
    <xf numFmtId="0" fontId="5" fillId="0" borderId="64" xfId="0" applyFont="1" applyFill="1" applyBorder="1" applyAlignment="1">
      <alignment horizontal="left" vertical="top" wrapText="1"/>
    </xf>
    <xf numFmtId="0" fontId="5" fillId="0" borderId="68" xfId="0" applyFont="1" applyFill="1" applyBorder="1" applyAlignment="1">
      <alignment horizontal="left" vertical="top" wrapText="1"/>
    </xf>
    <xf numFmtId="0" fontId="5" fillId="0" borderId="25" xfId="0" applyFont="1" applyFill="1" applyBorder="1" applyAlignment="1">
      <alignment horizontal="left" vertical="top" wrapText="1"/>
    </xf>
    <xf numFmtId="0" fontId="74" fillId="11" borderId="30" xfId="0" applyFont="1" applyFill="1" applyBorder="1" applyAlignment="1">
      <alignment horizontal="left" vertical="top" wrapText="1"/>
    </xf>
    <xf numFmtId="0" fontId="77" fillId="13" borderId="5" xfId="0" applyFont="1" applyFill="1" applyBorder="1" applyAlignment="1">
      <alignment horizontal="center" vertical="center" wrapText="1"/>
    </xf>
    <xf numFmtId="49" fontId="77" fillId="13" borderId="53" xfId="0" applyNumberFormat="1" applyFont="1" applyFill="1" applyBorder="1" applyAlignment="1">
      <alignment horizontal="center" vertical="center" wrapText="1"/>
    </xf>
    <xf numFmtId="49" fontId="77" fillId="13" borderId="5" xfId="0" applyNumberFormat="1" applyFont="1" applyFill="1" applyBorder="1" applyAlignment="1">
      <alignment horizontal="center" vertical="center" wrapText="1"/>
    </xf>
    <xf numFmtId="1" fontId="77" fillId="13" borderId="53" xfId="0" applyNumberFormat="1" applyFont="1" applyFill="1" applyBorder="1" applyAlignment="1" applyProtection="1">
      <alignment horizontal="center" vertical="center" wrapText="1"/>
      <protection hidden="1"/>
    </xf>
    <xf numFmtId="0" fontId="77" fillId="13" borderId="5" xfId="0" applyFont="1" applyFill="1" applyBorder="1" applyAlignment="1" applyProtection="1">
      <alignment horizontal="center" vertical="center" wrapText="1"/>
      <protection hidden="1"/>
    </xf>
    <xf numFmtId="0" fontId="78" fillId="0" borderId="0" xfId="0" applyFont="1">
      <alignment vertical="top"/>
    </xf>
    <xf numFmtId="0" fontId="79" fillId="0" borderId="41" xfId="0" applyFont="1" applyBorder="1" applyAlignment="1">
      <alignment vertical="top" wrapText="1"/>
    </xf>
    <xf numFmtId="1" fontId="79" fillId="2" borderId="57" xfId="0" applyNumberFormat="1" applyFont="1" applyFill="1" applyBorder="1" applyAlignment="1">
      <alignment horizontal="center" vertical="top" wrapText="1"/>
    </xf>
    <xf numFmtId="1" fontId="79" fillId="2" borderId="39" xfId="0" applyNumberFormat="1" applyFont="1" applyFill="1" applyBorder="1" applyAlignment="1">
      <alignment horizontal="center" vertical="top" wrapText="1"/>
    </xf>
    <xf numFmtId="1" fontId="79" fillId="2" borderId="35" xfId="0" applyNumberFormat="1" applyFont="1" applyFill="1" applyBorder="1" applyAlignment="1">
      <alignment horizontal="center" vertical="top"/>
    </xf>
    <xf numFmtId="2" fontId="79" fillId="7" borderId="34" xfId="0" applyNumberFormat="1" applyFont="1" applyFill="1" applyBorder="1" applyAlignment="1">
      <alignment horizontal="center" vertical="top"/>
    </xf>
    <xf numFmtId="0" fontId="79" fillId="0" borderId="0" xfId="0" applyFont="1">
      <alignment vertical="top"/>
    </xf>
    <xf numFmtId="0" fontId="79" fillId="0" borderId="12" xfId="0" applyFont="1" applyBorder="1" applyAlignment="1">
      <alignment vertical="top" wrapText="1"/>
    </xf>
    <xf numFmtId="0" fontId="79" fillId="0" borderId="1" xfId="0" applyFont="1" applyBorder="1" applyAlignment="1">
      <alignment horizontal="center" vertical="top" wrapText="1"/>
    </xf>
    <xf numFmtId="0" fontId="79" fillId="2" borderId="6" xfId="0" applyNumberFormat="1" applyFont="1" applyFill="1" applyBorder="1" applyAlignment="1">
      <alignment horizontal="center" vertical="top" wrapText="1"/>
    </xf>
    <xf numFmtId="1" fontId="79" fillId="2" borderId="1" xfId="0" applyNumberFormat="1" applyFont="1" applyFill="1" applyBorder="1" applyAlignment="1">
      <alignment horizontal="center" vertical="top"/>
    </xf>
    <xf numFmtId="2" fontId="79" fillId="2" borderId="8" xfId="0" applyNumberFormat="1" applyFont="1" applyFill="1" applyBorder="1" applyAlignment="1">
      <alignment horizontal="center" vertical="top"/>
    </xf>
    <xf numFmtId="0" fontId="79" fillId="0" borderId="6" xfId="0" applyFont="1" applyBorder="1" applyAlignment="1">
      <alignment vertical="top" wrapText="1"/>
    </xf>
    <xf numFmtId="2" fontId="79" fillId="2" borderId="2" xfId="0" applyNumberFormat="1" applyFont="1" applyFill="1" applyBorder="1" applyAlignment="1">
      <alignment horizontal="center" vertical="top"/>
    </xf>
    <xf numFmtId="0" fontId="79" fillId="0" borderId="11" xfId="0" applyFont="1" applyBorder="1" applyAlignment="1">
      <alignment horizontal="center" vertical="top" wrapText="1"/>
    </xf>
    <xf numFmtId="0" fontId="79" fillId="0" borderId="3" xfId="0" applyFont="1" applyBorder="1" applyAlignment="1">
      <alignment horizontal="center" vertical="top" wrapText="1"/>
    </xf>
    <xf numFmtId="0" fontId="79" fillId="0" borderId="10" xfId="0" applyFont="1" applyBorder="1" applyAlignment="1">
      <alignment vertical="top" wrapText="1"/>
    </xf>
    <xf numFmtId="0" fontId="79" fillId="0" borderId="47" xfId="0" applyFont="1" applyBorder="1" applyAlignment="1">
      <alignment horizontal="center" vertical="top" wrapText="1"/>
    </xf>
    <xf numFmtId="0" fontId="79" fillId="2" borderId="17" xfId="0" applyNumberFormat="1" applyFont="1" applyFill="1" applyBorder="1" applyAlignment="1">
      <alignment horizontal="center" vertical="top" wrapText="1"/>
    </xf>
    <xf numFmtId="1" fontId="79" fillId="2" borderId="3" xfId="0" applyNumberFormat="1" applyFont="1" applyFill="1" applyBorder="1" applyAlignment="1">
      <alignment horizontal="center" vertical="top"/>
    </xf>
    <xf numFmtId="2" fontId="79" fillId="2" borderId="9" xfId="0" applyNumberFormat="1" applyFont="1" applyFill="1" applyBorder="1" applyAlignment="1">
      <alignment horizontal="center" vertical="top"/>
    </xf>
    <xf numFmtId="0" fontId="79" fillId="0" borderId="4" xfId="0" applyFont="1" applyBorder="1" applyAlignment="1">
      <alignment horizontal="center" vertical="top" wrapText="1"/>
    </xf>
    <xf numFmtId="0" fontId="79" fillId="2" borderId="1" xfId="0" applyNumberFormat="1" applyFont="1" applyFill="1" applyBorder="1" applyAlignment="1">
      <alignment horizontal="center" vertical="top" wrapText="1"/>
    </xf>
    <xf numFmtId="0" fontId="79" fillId="0" borderId="50" xfId="0" applyFont="1" applyBorder="1" applyAlignment="1">
      <alignment vertical="top" wrapText="1"/>
    </xf>
    <xf numFmtId="0" fontId="79" fillId="2" borderId="47" xfId="0" applyNumberFormat="1" applyFont="1" applyFill="1" applyBorder="1" applyAlignment="1">
      <alignment horizontal="center" vertical="top" wrapText="1"/>
    </xf>
    <xf numFmtId="1" fontId="79" fillId="2" borderId="47" xfId="0" applyNumberFormat="1" applyFont="1" applyFill="1" applyBorder="1" applyAlignment="1">
      <alignment horizontal="center" vertical="top"/>
    </xf>
    <xf numFmtId="2" fontId="79" fillId="2" borderId="48" xfId="0" applyNumberFormat="1" applyFont="1" applyFill="1" applyBorder="1" applyAlignment="1">
      <alignment horizontal="center" vertical="top"/>
    </xf>
    <xf numFmtId="0" fontId="79" fillId="0" borderId="54" xfId="0" applyFont="1" applyBorder="1" applyAlignment="1">
      <alignment vertical="top" wrapText="1"/>
    </xf>
    <xf numFmtId="0" fontId="79" fillId="0" borderId="74" xfId="0" applyFont="1" applyBorder="1" applyAlignment="1">
      <alignment vertical="top" wrapText="1"/>
    </xf>
    <xf numFmtId="0" fontId="79" fillId="0" borderId="7" xfId="0" applyFont="1" applyBorder="1" applyAlignment="1">
      <alignment horizontal="center" vertical="top" wrapText="1"/>
    </xf>
    <xf numFmtId="0" fontId="79" fillId="0" borderId="33" xfId="0" applyFont="1" applyBorder="1" applyAlignment="1">
      <alignment vertical="top" wrapText="1"/>
    </xf>
    <xf numFmtId="0" fontId="79" fillId="0" borderId="60" xfId="0" applyFont="1" applyBorder="1" applyAlignment="1">
      <alignment vertical="top" wrapText="1"/>
    </xf>
    <xf numFmtId="1" fontId="79" fillId="2" borderId="50" xfId="0" applyNumberFormat="1" applyFont="1" applyFill="1" applyBorder="1" applyAlignment="1">
      <alignment horizontal="center" vertical="top" wrapText="1"/>
    </xf>
    <xf numFmtId="0" fontId="79" fillId="0" borderId="5" xfId="0" applyFont="1" applyBorder="1" applyAlignment="1">
      <alignment vertical="top" wrapText="1"/>
    </xf>
    <xf numFmtId="0" fontId="79" fillId="2" borderId="66" xfId="0" applyNumberFormat="1" applyFont="1" applyFill="1" applyBorder="1" applyAlignment="1">
      <alignment horizontal="center" vertical="top" wrapText="1"/>
    </xf>
    <xf numFmtId="0" fontId="79" fillId="2" borderId="39" xfId="0" applyNumberFormat="1" applyFont="1" applyFill="1" applyBorder="1" applyAlignment="1">
      <alignment horizontal="center" vertical="top" wrapText="1"/>
    </xf>
    <xf numFmtId="1" fontId="79" fillId="2" borderId="39" xfId="0" applyNumberFormat="1" applyFont="1" applyFill="1" applyBorder="1" applyAlignment="1">
      <alignment horizontal="center" vertical="top"/>
    </xf>
    <xf numFmtId="0" fontId="79" fillId="0" borderId="0" xfId="0" applyFont="1" applyBorder="1" applyAlignment="1">
      <alignment vertical="top" wrapText="1"/>
    </xf>
    <xf numFmtId="0" fontId="79" fillId="0" borderId="77" xfId="0" applyFont="1" applyBorder="1" applyAlignment="1">
      <alignment vertical="top" wrapText="1"/>
    </xf>
    <xf numFmtId="0" fontId="79" fillId="2" borderId="3" xfId="0" applyNumberFormat="1" applyFont="1" applyFill="1" applyBorder="1" applyAlignment="1">
      <alignment horizontal="center" vertical="top" wrapText="1"/>
    </xf>
    <xf numFmtId="0" fontId="79" fillId="0" borderId="0" xfId="0" applyFont="1" applyFill="1">
      <alignment vertical="top"/>
    </xf>
    <xf numFmtId="0" fontId="79" fillId="0" borderId="12" xfId="0" applyFont="1" applyBorder="1" applyAlignment="1">
      <alignment horizontal="center" vertical="top" wrapText="1"/>
    </xf>
    <xf numFmtId="0" fontId="79" fillId="0" borderId="73" xfId="0" applyFont="1" applyBorder="1" applyAlignment="1">
      <alignment vertical="top" wrapText="1"/>
    </xf>
    <xf numFmtId="0" fontId="79" fillId="0" borderId="6" xfId="0" applyFont="1" applyBorder="1" applyAlignment="1">
      <alignment horizontal="center" vertical="top" wrapText="1"/>
    </xf>
    <xf numFmtId="0" fontId="79" fillId="0" borderId="52" xfId="0" applyFont="1" applyBorder="1" applyAlignment="1">
      <alignment horizontal="center" vertical="top" wrapText="1"/>
    </xf>
    <xf numFmtId="0" fontId="79" fillId="2" borderId="50" xfId="0" applyNumberFormat="1" applyFont="1" applyFill="1" applyBorder="1" applyAlignment="1">
      <alignment horizontal="center" vertical="top" wrapText="1"/>
    </xf>
    <xf numFmtId="0" fontId="79" fillId="0" borderId="41" xfId="0" applyFont="1" applyBorder="1" applyAlignment="1">
      <alignment horizontal="left" vertical="top" wrapText="1"/>
    </xf>
    <xf numFmtId="0" fontId="79" fillId="0" borderId="12" xfId="0" applyFont="1" applyBorder="1" applyAlignment="1">
      <alignment horizontal="left" vertical="top" wrapText="1"/>
    </xf>
    <xf numFmtId="0" fontId="79" fillId="2" borderId="4" xfId="0" applyNumberFormat="1" applyFont="1" applyFill="1" applyBorder="1" applyAlignment="1">
      <alignment horizontal="center" vertical="top" wrapText="1"/>
    </xf>
    <xf numFmtId="0" fontId="79" fillId="0" borderId="56" xfId="0" applyFont="1" applyBorder="1" applyAlignment="1">
      <alignment horizontal="left" vertical="top" wrapText="1"/>
    </xf>
    <xf numFmtId="0" fontId="79" fillId="2" borderId="52" xfId="0" applyNumberFormat="1" applyFont="1" applyFill="1" applyBorder="1" applyAlignment="1">
      <alignment horizontal="center" vertical="top" wrapText="1"/>
    </xf>
    <xf numFmtId="2" fontId="79" fillId="7" borderId="34" xfId="0" applyNumberFormat="1" applyFont="1" applyFill="1" applyBorder="1" applyAlignment="1">
      <alignment horizontal="center" vertical="top" wrapText="1"/>
    </xf>
    <xf numFmtId="0" fontId="79" fillId="2" borderId="1" xfId="0" applyFont="1" applyFill="1" applyBorder="1" applyAlignment="1">
      <alignment horizontal="center" vertical="top" wrapText="1"/>
    </xf>
    <xf numFmtId="1" fontId="79" fillId="2" borderId="1" xfId="0" applyNumberFormat="1" applyFont="1" applyFill="1" applyBorder="1" applyAlignment="1">
      <alignment horizontal="center" vertical="top" wrapText="1"/>
    </xf>
    <xf numFmtId="0" fontId="79" fillId="2" borderId="47" xfId="0" applyFont="1" applyFill="1" applyBorder="1" applyAlignment="1">
      <alignment horizontal="center" vertical="top" wrapText="1"/>
    </xf>
    <xf numFmtId="1" fontId="79" fillId="2" borderId="47" xfId="0" applyNumberFormat="1" applyFont="1" applyFill="1" applyBorder="1" applyAlignment="1">
      <alignment horizontal="center" vertical="top" wrapText="1"/>
    </xf>
    <xf numFmtId="0" fontId="79" fillId="0" borderId="71" xfId="0" applyFont="1" applyBorder="1" applyAlignment="1">
      <alignment vertical="top" wrapText="1"/>
    </xf>
    <xf numFmtId="1" fontId="79" fillId="2" borderId="4" xfId="0" applyNumberFormat="1" applyFont="1" applyFill="1" applyBorder="1" applyAlignment="1">
      <alignment horizontal="center" vertical="top" wrapText="1"/>
    </xf>
    <xf numFmtId="1" fontId="79" fillId="2" borderId="8" xfId="0" applyNumberFormat="1" applyFont="1" applyFill="1" applyBorder="1" applyAlignment="1">
      <alignment horizontal="center" vertical="top"/>
    </xf>
    <xf numFmtId="2" fontId="79" fillId="7" borderId="22" xfId="0" applyNumberFormat="1" applyFont="1" applyFill="1" applyBorder="1" applyAlignment="1">
      <alignment horizontal="center" vertical="top"/>
    </xf>
    <xf numFmtId="0" fontId="79" fillId="0" borderId="17" xfId="0" applyFont="1" applyBorder="1" applyAlignment="1">
      <alignment vertical="top" wrapText="1"/>
    </xf>
    <xf numFmtId="0" fontId="79" fillId="0" borderId="23" xfId="0" applyFont="1" applyBorder="1" applyAlignment="1">
      <alignment horizontal="left" vertical="top"/>
    </xf>
    <xf numFmtId="0" fontId="79" fillId="2" borderId="6" xfId="0" applyFont="1" applyFill="1" applyBorder="1" applyAlignment="1">
      <alignment horizontal="center" vertical="top" wrapText="1"/>
    </xf>
    <xf numFmtId="0" fontId="79" fillId="2" borderId="50" xfId="0" applyFont="1" applyFill="1" applyBorder="1" applyAlignment="1">
      <alignment horizontal="center" vertical="top" wrapText="1"/>
    </xf>
    <xf numFmtId="0" fontId="79" fillId="0" borderId="5" xfId="0" applyFont="1" applyFill="1" applyBorder="1" applyAlignment="1">
      <alignment vertical="top" wrapText="1"/>
    </xf>
    <xf numFmtId="1" fontId="79" fillId="2" borderId="66" xfId="0" applyNumberFormat="1" applyFont="1" applyFill="1" applyBorder="1" applyAlignment="1">
      <alignment horizontal="center" vertical="top" wrapText="1"/>
    </xf>
    <xf numFmtId="1" fontId="79" fillId="2" borderId="6" xfId="0" applyNumberFormat="1" applyFont="1" applyFill="1" applyBorder="1" applyAlignment="1">
      <alignment horizontal="center" vertical="top"/>
    </xf>
    <xf numFmtId="0" fontId="79" fillId="0" borderId="6" xfId="0" applyFont="1" applyFill="1" applyBorder="1" applyAlignment="1">
      <alignment horizontal="center" vertical="top" wrapText="1"/>
    </xf>
    <xf numFmtId="0" fontId="79" fillId="0" borderId="50" xfId="0" applyFont="1" applyFill="1" applyBorder="1" applyAlignment="1">
      <alignment horizontal="center" vertical="top" wrapText="1"/>
    </xf>
    <xf numFmtId="0" fontId="79" fillId="0" borderId="46" xfId="0" applyFont="1" applyFill="1" applyBorder="1" applyAlignment="1">
      <alignment vertical="top" wrapText="1"/>
    </xf>
    <xf numFmtId="0" fontId="79" fillId="0" borderId="75" xfId="0" applyFont="1" applyFill="1" applyBorder="1" applyAlignment="1">
      <alignment vertical="top" wrapText="1"/>
    </xf>
    <xf numFmtId="0" fontId="79" fillId="0" borderId="52" xfId="0" applyFont="1" applyFill="1" applyBorder="1" applyAlignment="1">
      <alignment horizontal="center" vertical="top" wrapText="1"/>
    </xf>
    <xf numFmtId="1" fontId="79" fillId="2" borderId="12" xfId="0" applyNumberFormat="1" applyFont="1" applyFill="1" applyBorder="1" applyAlignment="1">
      <alignment horizontal="center" vertical="top" wrapText="1"/>
    </xf>
    <xf numFmtId="0" fontId="79" fillId="0" borderId="5" xfId="0" applyFont="1" applyBorder="1">
      <alignment vertical="top"/>
    </xf>
    <xf numFmtId="0" fontId="79" fillId="0" borderId="41" xfId="0" applyFont="1" applyFill="1" applyBorder="1" applyAlignment="1">
      <alignment vertical="top" wrapText="1"/>
    </xf>
    <xf numFmtId="1" fontId="79" fillId="2" borderId="4" xfId="0" applyNumberFormat="1" applyFont="1" applyFill="1" applyBorder="1" applyAlignment="1">
      <alignment horizontal="center" vertical="top"/>
    </xf>
    <xf numFmtId="0" fontId="79" fillId="0" borderId="12" xfId="0" applyFont="1" applyFill="1" applyBorder="1" applyAlignment="1">
      <alignment vertical="top" wrapText="1"/>
    </xf>
    <xf numFmtId="0" fontId="79" fillId="0" borderId="4" xfId="0" applyFont="1" applyFill="1" applyBorder="1" applyAlignment="1">
      <alignment horizontal="center" vertical="top" wrapText="1"/>
    </xf>
    <xf numFmtId="1" fontId="79" fillId="2" borderId="6" xfId="0" applyNumberFormat="1" applyFont="1" applyFill="1" applyBorder="1" applyAlignment="1">
      <alignment horizontal="center" vertical="top" wrapText="1"/>
    </xf>
    <xf numFmtId="0" fontId="79" fillId="0" borderId="56" xfId="0" applyFont="1" applyFill="1" applyBorder="1" applyAlignment="1">
      <alignment vertical="top" wrapText="1"/>
    </xf>
    <xf numFmtId="0" fontId="79" fillId="0" borderId="71" xfId="0" applyFont="1" applyFill="1" applyBorder="1" applyAlignment="1">
      <alignment vertical="top" wrapText="1"/>
    </xf>
    <xf numFmtId="0" fontId="79" fillId="2" borderId="4" xfId="0" applyFont="1" applyFill="1" applyBorder="1" applyAlignment="1">
      <alignment horizontal="center" vertical="top" wrapText="1"/>
    </xf>
    <xf numFmtId="0" fontId="79" fillId="0" borderId="6" xfId="0" applyFont="1" applyFill="1" applyBorder="1" applyAlignment="1">
      <alignment vertical="top" wrapText="1"/>
    </xf>
    <xf numFmtId="0" fontId="79" fillId="0" borderId="1" xfId="0" applyFont="1" applyFill="1" applyBorder="1" applyAlignment="1">
      <alignment horizontal="center" vertical="top" wrapText="1"/>
    </xf>
    <xf numFmtId="0" fontId="79" fillId="0" borderId="17" xfId="0" applyFont="1" applyFill="1" applyBorder="1" applyAlignment="1">
      <alignment vertical="top" wrapText="1"/>
    </xf>
    <xf numFmtId="0" fontId="79" fillId="0" borderId="3" xfId="0" applyFont="1" applyFill="1" applyBorder="1" applyAlignment="1">
      <alignment horizontal="center" vertical="top" wrapText="1"/>
    </xf>
    <xf numFmtId="0" fontId="79" fillId="2" borderId="3" xfId="0" applyFont="1" applyFill="1" applyBorder="1" applyAlignment="1">
      <alignment horizontal="center" vertical="top" wrapText="1"/>
    </xf>
    <xf numFmtId="1" fontId="79" fillId="2" borderId="3" xfId="0" applyNumberFormat="1" applyFont="1" applyFill="1" applyBorder="1" applyAlignment="1">
      <alignment horizontal="center" vertical="top" wrapText="1"/>
    </xf>
    <xf numFmtId="1" fontId="79" fillId="2" borderId="49" xfId="0" applyNumberFormat="1" applyFont="1" applyFill="1" applyBorder="1" applyAlignment="1">
      <alignment horizontal="center" vertical="top"/>
    </xf>
    <xf numFmtId="0" fontId="79" fillId="0" borderId="71" xfId="0" applyFont="1" applyFill="1" applyBorder="1" applyAlignment="1">
      <alignment horizontal="left" vertical="top" wrapText="1"/>
    </xf>
    <xf numFmtId="1" fontId="79" fillId="2" borderId="12" xfId="0" applyNumberFormat="1" applyFont="1" applyFill="1" applyBorder="1" applyAlignment="1">
      <alignment horizontal="center" vertical="top"/>
    </xf>
    <xf numFmtId="1" fontId="79" fillId="2" borderId="7" xfId="0" applyNumberFormat="1" applyFont="1" applyFill="1" applyBorder="1" applyAlignment="1">
      <alignment horizontal="center" vertical="top"/>
    </xf>
    <xf numFmtId="0" fontId="79" fillId="0" borderId="12" xfId="0" applyFont="1" applyFill="1" applyBorder="1" applyAlignment="1">
      <alignment horizontal="left" vertical="top" wrapText="1"/>
    </xf>
    <xf numFmtId="0" fontId="79" fillId="0" borderId="56" xfId="0" applyFont="1" applyBorder="1" applyAlignment="1">
      <alignment vertical="top" wrapText="1"/>
    </xf>
    <xf numFmtId="0" fontId="79" fillId="0" borderId="56" xfId="0" applyFont="1" applyBorder="1" applyAlignment="1">
      <alignment horizontal="center" vertical="top" wrapText="1"/>
    </xf>
    <xf numFmtId="1" fontId="79" fillId="2" borderId="2" xfId="0" applyNumberFormat="1" applyFont="1" applyFill="1" applyBorder="1" applyAlignment="1">
      <alignment horizontal="center" vertical="top"/>
    </xf>
    <xf numFmtId="0" fontId="79" fillId="0" borderId="5" xfId="0" applyFont="1" applyBorder="1" applyAlignment="1">
      <alignment horizontal="left" vertical="top" wrapText="1"/>
    </xf>
    <xf numFmtId="1" fontId="79" fillId="2" borderId="8" xfId="0" applyNumberFormat="1" applyFont="1" applyFill="1" applyBorder="1" applyAlignment="1">
      <alignment horizontal="center" vertical="top" wrapText="1"/>
    </xf>
    <xf numFmtId="1" fontId="79" fillId="2" borderId="2" xfId="0" applyNumberFormat="1" applyFont="1" applyFill="1" applyBorder="1" applyAlignment="1">
      <alignment horizontal="center" vertical="top" wrapText="1"/>
    </xf>
    <xf numFmtId="1" fontId="79" fillId="2" borderId="9" xfId="0" applyNumberFormat="1" applyFont="1" applyFill="1" applyBorder="1" applyAlignment="1">
      <alignment horizontal="center" vertical="top" wrapText="1"/>
    </xf>
    <xf numFmtId="1" fontId="79" fillId="2" borderId="48" xfId="0" applyNumberFormat="1" applyFont="1" applyFill="1" applyBorder="1" applyAlignment="1">
      <alignment horizontal="center" vertical="top" wrapText="1"/>
    </xf>
    <xf numFmtId="1" fontId="79" fillId="2" borderId="54" xfId="0" applyNumberFormat="1" applyFont="1" applyFill="1" applyBorder="1" applyAlignment="1">
      <alignment horizontal="center" vertical="top" wrapText="1"/>
    </xf>
    <xf numFmtId="0" fontId="79" fillId="0" borderId="11" xfId="0" applyFont="1" applyFill="1" applyBorder="1" applyAlignment="1">
      <alignment horizontal="center" vertical="top" wrapText="1"/>
    </xf>
    <xf numFmtId="0" fontId="79" fillId="0" borderId="10" xfId="0" applyFont="1" applyFill="1" applyBorder="1" applyAlignment="1">
      <alignment vertical="top" wrapText="1"/>
    </xf>
    <xf numFmtId="0" fontId="79" fillId="0" borderId="47" xfId="0" applyFont="1" applyFill="1" applyBorder="1" applyAlignment="1">
      <alignment horizontal="center" vertical="top" wrapText="1"/>
    </xf>
    <xf numFmtId="0" fontId="79" fillId="0" borderId="41" xfId="0" applyNumberFormat="1" applyFont="1" applyBorder="1" applyAlignment="1" applyProtection="1">
      <alignment vertical="top" wrapText="1"/>
    </xf>
    <xf numFmtId="0" fontId="79" fillId="0" borderId="54" xfId="0" applyNumberFormat="1" applyFont="1" applyBorder="1" applyAlignment="1" applyProtection="1">
      <alignment vertical="top" wrapText="1"/>
    </xf>
    <xf numFmtId="0" fontId="79" fillId="0" borderId="17" xfId="0" applyNumberFormat="1" applyFont="1" applyBorder="1" applyAlignment="1" applyProtection="1">
      <alignment horizontal="center" vertical="top" wrapText="1"/>
    </xf>
    <xf numFmtId="0" fontId="79" fillId="0" borderId="6" xfId="0" applyNumberFormat="1" applyFont="1" applyBorder="1" applyAlignment="1" applyProtection="1">
      <alignment vertical="top" wrapText="1"/>
    </xf>
    <xf numFmtId="0" fontId="79" fillId="0" borderId="1" xfId="0" applyNumberFormat="1" applyFont="1" applyBorder="1" applyAlignment="1" applyProtection="1">
      <alignment horizontal="center" vertical="top" wrapText="1"/>
    </xf>
    <xf numFmtId="0" fontId="79" fillId="0" borderId="50" xfId="0" applyNumberFormat="1" applyFont="1" applyBorder="1" applyAlignment="1" applyProtection="1">
      <alignment vertical="top" wrapText="1"/>
    </xf>
    <xf numFmtId="0" fontId="79" fillId="0" borderId="56" xfId="0" applyNumberFormat="1" applyFont="1" applyBorder="1" applyAlignment="1" applyProtection="1">
      <alignment horizontal="center" vertical="top" wrapText="1"/>
    </xf>
    <xf numFmtId="0" fontId="79" fillId="0" borderId="59" xfId="0" applyFont="1" applyFill="1" applyBorder="1">
      <alignment vertical="top"/>
    </xf>
    <xf numFmtId="2" fontId="79" fillId="6" borderId="59" xfId="0" applyNumberFormat="1" applyFont="1" applyFill="1" applyBorder="1" applyAlignment="1">
      <alignment horizontal="center" vertical="center"/>
    </xf>
    <xf numFmtId="0" fontId="79" fillId="6" borderId="35" xfId="0" applyFont="1" applyFill="1" applyBorder="1" applyAlignment="1">
      <alignment vertical="center" wrapText="1"/>
    </xf>
    <xf numFmtId="0" fontId="79" fillId="0" borderId="55" xfId="0" applyFont="1" applyFill="1" applyBorder="1" applyAlignment="1">
      <alignment vertical="center"/>
    </xf>
    <xf numFmtId="2" fontId="79" fillId="6" borderId="9" xfId="0" applyNumberFormat="1" applyFont="1" applyFill="1" applyBorder="1" applyAlignment="1">
      <alignment horizontal="center" vertical="center"/>
    </xf>
    <xf numFmtId="0" fontId="79" fillId="6" borderId="8" xfId="0" applyFont="1" applyFill="1" applyBorder="1" applyAlignment="1">
      <alignment vertical="center" wrapText="1"/>
    </xf>
    <xf numFmtId="0" fontId="79" fillId="0" borderId="27" xfId="0" applyFont="1" applyFill="1" applyBorder="1" applyAlignment="1">
      <alignment vertical="center"/>
    </xf>
    <xf numFmtId="0" fontId="79" fillId="0" borderId="27" xfId="0" applyFont="1" applyFill="1" applyBorder="1" applyAlignment="1">
      <alignment horizontal="left" vertical="center"/>
    </xf>
    <xf numFmtId="0" fontId="79" fillId="0" borderId="0" xfId="0" applyFont="1" applyFill="1" applyAlignment="1">
      <alignment horizontal="right" vertical="top"/>
    </xf>
    <xf numFmtId="2" fontId="79" fillId="6" borderId="48" xfId="0" applyNumberFormat="1" applyFont="1" applyFill="1" applyBorder="1" applyAlignment="1">
      <alignment horizontal="center" vertical="center"/>
    </xf>
    <xf numFmtId="0" fontId="79" fillId="6" borderId="58" xfId="0" applyFont="1" applyFill="1" applyBorder="1" applyAlignment="1">
      <alignment vertical="center" wrapText="1"/>
    </xf>
    <xf numFmtId="0" fontId="79" fillId="0" borderId="40" xfId="0" applyFont="1" applyFill="1" applyBorder="1" applyAlignment="1">
      <alignment vertical="center"/>
    </xf>
    <xf numFmtId="0" fontId="79" fillId="0" borderId="10" xfId="0" applyFont="1" applyFill="1" applyBorder="1">
      <alignment vertical="top"/>
    </xf>
    <xf numFmtId="2" fontId="79" fillId="7" borderId="5" xfId="0" applyNumberFormat="1" applyFont="1" applyFill="1" applyBorder="1" applyAlignment="1">
      <alignment horizontal="center" vertical="center"/>
    </xf>
    <xf numFmtId="0" fontId="79" fillId="0" borderId="0" xfId="0" applyFont="1" applyFill="1" applyAlignment="1">
      <alignment vertical="top" wrapText="1"/>
    </xf>
    <xf numFmtId="0" fontId="79" fillId="0" borderId="0" xfId="0" applyFont="1" applyFill="1" applyAlignment="1">
      <alignment horizontal="left" vertical="top" wrapText="1"/>
    </xf>
    <xf numFmtId="0" fontId="79" fillId="0" borderId="5" xfId="0" applyFont="1" applyFill="1" applyBorder="1">
      <alignment vertical="top"/>
    </xf>
    <xf numFmtId="0" fontId="79" fillId="0" borderId="0" xfId="0" applyFont="1" applyFill="1" applyAlignment="1">
      <alignment vertical="top"/>
    </xf>
    <xf numFmtId="1" fontId="79" fillId="0" borderId="0" xfId="0" applyNumberFormat="1" applyFont="1" applyFill="1" applyAlignment="1">
      <alignment horizontal="center" vertical="top"/>
    </xf>
    <xf numFmtId="2" fontId="79" fillId="0" borderId="0" xfId="0" applyNumberFormat="1" applyFont="1" applyAlignment="1">
      <alignment horizontal="center" vertical="top"/>
    </xf>
    <xf numFmtId="0" fontId="79" fillId="0" borderId="0" xfId="0" applyFont="1" applyFill="1" applyBorder="1" applyAlignment="1">
      <alignment horizontal="left" vertical="top" wrapText="1"/>
    </xf>
    <xf numFmtId="0" fontId="79" fillId="0" borderId="0" xfId="0" applyFont="1" applyAlignment="1">
      <alignment horizontal="left" vertical="top" wrapText="1"/>
    </xf>
    <xf numFmtId="0" fontId="79" fillId="0" borderId="0" xfId="0" applyFont="1" applyAlignment="1">
      <alignment vertical="top" wrapText="1"/>
    </xf>
    <xf numFmtId="0" fontId="79" fillId="0" borderId="0" xfId="0" applyFont="1" applyAlignment="1">
      <alignment vertical="top"/>
    </xf>
    <xf numFmtId="1" fontId="79" fillId="0" borderId="0" xfId="0" applyNumberFormat="1" applyFont="1" applyAlignment="1">
      <alignment horizontal="center" vertical="top"/>
    </xf>
    <xf numFmtId="0" fontId="41" fillId="0" borderId="15" xfId="0" applyNumberFormat="1" applyFont="1" applyFill="1" applyBorder="1" applyAlignment="1">
      <alignment horizontal="left" vertical="top" wrapText="1"/>
    </xf>
    <xf numFmtId="0" fontId="41" fillId="0" borderId="36" xfId="0" applyNumberFormat="1" applyFont="1" applyFill="1" applyBorder="1" applyAlignment="1">
      <alignment horizontal="left" vertical="top" wrapText="1"/>
    </xf>
    <xf numFmtId="0" fontId="41" fillId="0" borderId="10" xfId="0" applyFont="1" applyFill="1" applyBorder="1" applyAlignment="1">
      <alignment horizontal="left" vertical="top" wrapText="1"/>
    </xf>
    <xf numFmtId="0" fontId="41" fillId="0" borderId="53" xfId="0" applyFont="1" applyFill="1" applyBorder="1" applyAlignment="1">
      <alignment horizontal="left" vertical="top" wrapText="1"/>
    </xf>
    <xf numFmtId="0" fontId="41" fillId="0" borderId="5" xfId="0" applyFont="1" applyFill="1" applyBorder="1" applyAlignment="1">
      <alignment horizontal="left" vertical="top" wrapText="1"/>
    </xf>
    <xf numFmtId="0" fontId="41" fillId="0" borderId="23" xfId="0" applyFont="1" applyFill="1" applyBorder="1" applyAlignment="1">
      <alignment horizontal="left" vertical="top" wrapText="1"/>
    </xf>
    <xf numFmtId="0" fontId="41" fillId="0" borderId="59" xfId="0" applyFont="1" applyFill="1" applyBorder="1" applyAlignment="1">
      <alignment horizontal="left" vertical="top" wrapText="1"/>
    </xf>
    <xf numFmtId="0" fontId="41" fillId="0" borderId="46" xfId="0" applyFont="1" applyFill="1" applyBorder="1" applyAlignment="1">
      <alignment horizontal="left" vertical="top" wrapText="1"/>
    </xf>
    <xf numFmtId="0" fontId="5" fillId="0" borderId="16" xfId="0" applyFont="1" applyBorder="1" applyAlignment="1">
      <alignment vertical="top" wrapText="1"/>
    </xf>
    <xf numFmtId="2" fontId="5" fillId="0" borderId="15" xfId="0" applyNumberFormat="1" applyFont="1" applyBorder="1" applyAlignment="1">
      <alignment vertical="top" wrapText="1"/>
    </xf>
    <xf numFmtId="0" fontId="5" fillId="0" borderId="25" xfId="0" applyFont="1" applyFill="1" applyBorder="1" applyAlignment="1" applyProtection="1">
      <alignment vertical="top" wrapText="1"/>
    </xf>
    <xf numFmtId="0" fontId="5" fillId="0" borderId="78" xfId="0" applyFont="1" applyFill="1" applyBorder="1" applyAlignment="1">
      <alignment horizontal="left" vertical="top" wrapText="1"/>
    </xf>
    <xf numFmtId="0" fontId="5" fillId="0" borderId="46" xfId="0" applyFont="1" applyFill="1" applyBorder="1" applyAlignment="1" applyProtection="1">
      <alignment horizontal="left" vertical="top"/>
      <protection locked="0"/>
    </xf>
    <xf numFmtId="0" fontId="31" fillId="0" borderId="46" xfId="0" applyFont="1" applyFill="1" applyBorder="1" applyAlignment="1" applyProtection="1">
      <alignment horizontal="center" vertical="top"/>
      <protection locked="0"/>
    </xf>
    <xf numFmtId="0" fontId="5" fillId="0" borderId="46" xfId="0" applyFont="1" applyFill="1" applyBorder="1" applyAlignment="1" applyProtection="1">
      <alignment vertical="top"/>
      <protection locked="0"/>
    </xf>
    <xf numFmtId="0" fontId="5" fillId="0" borderId="42" xfId="0" applyFont="1" applyFill="1" applyBorder="1" applyAlignment="1" applyProtection="1">
      <alignment horizontal="left" vertical="top"/>
      <protection locked="0"/>
    </xf>
    <xf numFmtId="0" fontId="67" fillId="15" borderId="5" xfId="0" applyFont="1" applyFill="1" applyBorder="1" applyAlignment="1">
      <alignment horizontal="center" vertical="center"/>
    </xf>
    <xf numFmtId="0" fontId="67" fillId="15" borderId="34" xfId="0" applyFont="1" applyFill="1" applyBorder="1" applyAlignment="1">
      <alignment horizontal="center" vertical="center"/>
    </xf>
    <xf numFmtId="0" fontId="66" fillId="0" borderId="34" xfId="0" applyFont="1" applyBorder="1" applyAlignment="1">
      <alignment horizontal="center" vertical="top"/>
    </xf>
    <xf numFmtId="0" fontId="66" fillId="0" borderId="41" xfId="0" applyFont="1" applyBorder="1" applyAlignment="1">
      <alignment horizontal="center" vertical="top"/>
    </xf>
    <xf numFmtId="0" fontId="5" fillId="0" borderId="68" xfId="0" applyFont="1" applyFill="1" applyBorder="1" applyAlignment="1">
      <alignment vertical="top" wrapText="1"/>
    </xf>
    <xf numFmtId="2" fontId="86" fillId="0" borderId="0" xfId="0" applyNumberFormat="1" applyFont="1" applyFill="1" applyAlignment="1">
      <alignment vertical="top"/>
    </xf>
    <xf numFmtId="0" fontId="85" fillId="0" borderId="0" xfId="0" applyFont="1" applyFill="1">
      <alignment vertical="top"/>
    </xf>
    <xf numFmtId="0" fontId="85" fillId="0" borderId="68" xfId="0" applyFont="1" applyFill="1" applyBorder="1">
      <alignment vertical="top"/>
    </xf>
    <xf numFmtId="0" fontId="91" fillId="0" borderId="55" xfId="0" applyFont="1" applyBorder="1" applyAlignment="1">
      <alignment horizontal="center" vertical="center"/>
    </xf>
    <xf numFmtId="2" fontId="85" fillId="14" borderId="55" xfId="0" applyNumberFormat="1" applyFont="1" applyFill="1" applyBorder="1" applyAlignment="1" applyProtection="1">
      <alignment horizontal="center" vertical="top"/>
    </xf>
    <xf numFmtId="0" fontId="85" fillId="0" borderId="26" xfId="0" applyFont="1" applyFill="1" applyBorder="1">
      <alignment vertical="top"/>
    </xf>
    <xf numFmtId="0" fontId="91" fillId="0" borderId="27" xfId="0" applyFont="1" applyBorder="1" applyAlignment="1">
      <alignment horizontal="center" vertical="center"/>
    </xf>
    <xf numFmtId="2" fontId="85" fillId="14" borderId="27" xfId="0" applyNumberFormat="1" applyFont="1" applyFill="1" applyBorder="1" applyAlignment="1" applyProtection="1">
      <alignment horizontal="center" vertical="top"/>
    </xf>
    <xf numFmtId="0" fontId="85" fillId="0" borderId="20" xfId="0" applyFont="1" applyFill="1" applyBorder="1">
      <alignment vertical="top"/>
    </xf>
    <xf numFmtId="0" fontId="91" fillId="0" borderId="40" xfId="0" applyFont="1" applyBorder="1" applyAlignment="1">
      <alignment horizontal="center" vertical="center"/>
    </xf>
    <xf numFmtId="2" fontId="85" fillId="14" borderId="40" xfId="0" applyNumberFormat="1" applyFont="1" applyFill="1" applyBorder="1" applyAlignment="1" applyProtection="1">
      <alignment horizontal="center" vertical="top"/>
    </xf>
    <xf numFmtId="0" fontId="85" fillId="0" borderId="25" xfId="0" applyFont="1" applyFill="1" applyBorder="1">
      <alignment vertical="top"/>
    </xf>
    <xf numFmtId="0" fontId="85" fillId="19" borderId="55" xfId="0" applyFont="1" applyFill="1" applyBorder="1" applyAlignment="1">
      <alignment horizontal="center" vertical="center"/>
    </xf>
    <xf numFmtId="2" fontId="85" fillId="4" borderId="55" xfId="0" applyNumberFormat="1" applyFont="1" applyFill="1" applyBorder="1" applyAlignment="1" applyProtection="1">
      <alignment horizontal="center" vertical="top"/>
    </xf>
    <xf numFmtId="0" fontId="85" fillId="19" borderId="40" xfId="0" applyFont="1" applyFill="1" applyBorder="1" applyAlignment="1">
      <alignment horizontal="center" vertical="center"/>
    </xf>
    <xf numFmtId="2" fontId="85" fillId="4" borderId="70" xfId="0" applyNumberFormat="1" applyFont="1" applyFill="1" applyBorder="1" applyAlignment="1" applyProtection="1">
      <alignment horizontal="center" vertical="top"/>
    </xf>
    <xf numFmtId="0" fontId="85" fillId="0" borderId="34" xfId="0" applyFont="1" applyFill="1" applyBorder="1">
      <alignment vertical="top"/>
    </xf>
    <xf numFmtId="0" fontId="91" fillId="0" borderId="61" xfId="0" applyFont="1" applyBorder="1" applyAlignment="1">
      <alignment horizontal="center" vertical="center"/>
    </xf>
    <xf numFmtId="2" fontId="85" fillId="14" borderId="61" xfId="0" applyNumberFormat="1" applyFont="1" applyFill="1" applyBorder="1" applyAlignment="1" applyProtection="1">
      <alignment horizontal="center" vertical="top"/>
    </xf>
    <xf numFmtId="0" fontId="85" fillId="0" borderId="19" xfId="0" applyFont="1" applyFill="1" applyBorder="1">
      <alignment vertical="top"/>
    </xf>
    <xf numFmtId="0" fontId="91" fillId="0" borderId="28" xfId="0" applyFont="1" applyBorder="1" applyAlignment="1">
      <alignment horizontal="center" vertical="center"/>
    </xf>
    <xf numFmtId="2" fontId="85" fillId="14" borderId="28" xfId="0" applyNumberFormat="1" applyFont="1" applyFill="1" applyBorder="1" applyAlignment="1" applyProtection="1">
      <alignment horizontal="center" vertical="top"/>
    </xf>
    <xf numFmtId="0" fontId="85" fillId="0" borderId="78" xfId="0" applyFont="1" applyFill="1" applyBorder="1">
      <alignment vertical="top"/>
    </xf>
    <xf numFmtId="0" fontId="91" fillId="0" borderId="62" xfId="0" applyFont="1" applyBorder="1" applyAlignment="1">
      <alignment horizontal="center" vertical="center"/>
    </xf>
    <xf numFmtId="2" fontId="85" fillId="14" borderId="62" xfId="0" applyNumberFormat="1" applyFont="1" applyFill="1" applyBorder="1" applyAlignment="1" applyProtection="1">
      <alignment horizontal="center" vertical="top"/>
    </xf>
    <xf numFmtId="0" fontId="92" fillId="26" borderId="34" xfId="0" applyFont="1" applyFill="1" applyBorder="1" applyAlignment="1">
      <alignment vertical="center"/>
    </xf>
    <xf numFmtId="0" fontId="85" fillId="19" borderId="61" xfId="0" applyFont="1" applyFill="1" applyBorder="1" applyAlignment="1">
      <alignment horizontal="center" vertical="center"/>
    </xf>
    <xf numFmtId="2" fontId="85" fillId="4" borderId="61" xfId="0" applyNumberFormat="1" applyFont="1" applyFill="1" applyBorder="1" applyAlignment="1" applyProtection="1">
      <alignment horizontal="center" vertical="top"/>
    </xf>
    <xf numFmtId="0" fontId="85" fillId="0" borderId="19" xfId="0" applyFont="1" applyFill="1" applyBorder="1" applyAlignment="1" applyProtection="1">
      <alignment vertical="center"/>
    </xf>
    <xf numFmtId="0" fontId="85" fillId="0" borderId="26" xfId="0" applyFont="1" applyFill="1" applyBorder="1" applyAlignment="1" applyProtection="1">
      <alignment vertical="center"/>
    </xf>
    <xf numFmtId="0" fontId="85" fillId="0" borderId="78" xfId="0" applyFont="1" applyFill="1" applyBorder="1" applyAlignment="1" applyProtection="1">
      <alignment vertical="center"/>
    </xf>
    <xf numFmtId="0" fontId="85" fillId="0" borderId="25" xfId="0" applyFont="1" applyFill="1" applyBorder="1" applyAlignment="1">
      <alignment vertical="center"/>
    </xf>
    <xf numFmtId="0" fontId="85" fillId="0" borderId="22" xfId="0" applyFont="1" applyFill="1" applyBorder="1" applyAlignment="1">
      <alignment vertical="center"/>
    </xf>
    <xf numFmtId="2" fontId="86" fillId="0" borderId="0" xfId="0" applyNumberFormat="1" applyFont="1" applyFill="1" applyBorder="1" applyAlignment="1">
      <alignment horizontal="center" vertical="top"/>
    </xf>
    <xf numFmtId="2" fontId="86" fillId="0" borderId="0" xfId="0" applyNumberFormat="1" applyFont="1" applyFill="1" applyBorder="1" applyAlignment="1">
      <alignment vertical="top"/>
    </xf>
    <xf numFmtId="0" fontId="85" fillId="0" borderId="0" xfId="0" applyFont="1" applyFill="1" applyBorder="1">
      <alignment vertical="top"/>
    </xf>
    <xf numFmtId="2" fontId="85" fillId="0" borderId="0" xfId="0" applyNumberFormat="1" applyFont="1" applyFill="1" applyAlignment="1">
      <alignment horizontal="center"/>
    </xf>
    <xf numFmtId="2" fontId="93" fillId="0" borderId="0" xfId="0" applyNumberFormat="1" applyFont="1" applyFill="1" applyAlignment="1">
      <alignment horizontal="center" vertical="top" wrapText="1"/>
    </xf>
    <xf numFmtId="2" fontId="86" fillId="0" borderId="0" xfId="0" applyNumberFormat="1" applyFont="1" applyFill="1" applyAlignment="1">
      <alignment horizontal="center" vertical="top"/>
    </xf>
    <xf numFmtId="2" fontId="91" fillId="0" borderId="54" xfId="0" applyNumberFormat="1" applyFont="1" applyBorder="1" applyAlignment="1">
      <alignment horizontal="center" vertical="center"/>
    </xf>
    <xf numFmtId="2" fontId="91" fillId="0" borderId="33" xfId="0" applyNumberFormat="1" applyFont="1" applyBorder="1" applyAlignment="1">
      <alignment horizontal="center" vertical="center"/>
    </xf>
    <xf numFmtId="2" fontId="91" fillId="0" borderId="60" xfId="0" applyNumberFormat="1" applyFont="1" applyBorder="1" applyAlignment="1">
      <alignment horizontal="center" vertical="center"/>
    </xf>
    <xf numFmtId="2" fontId="85" fillId="19" borderId="43" xfId="0" applyNumberFormat="1" applyFont="1" applyFill="1" applyBorder="1" applyAlignment="1">
      <alignment horizontal="center" vertical="center"/>
    </xf>
    <xf numFmtId="2" fontId="85" fillId="19" borderId="73" xfId="0" applyNumberFormat="1" applyFont="1" applyFill="1" applyBorder="1" applyAlignment="1">
      <alignment horizontal="center" vertical="center"/>
    </xf>
    <xf numFmtId="2" fontId="85" fillId="19" borderId="33" xfId="0" applyNumberFormat="1" applyFont="1" applyFill="1" applyBorder="1" applyAlignment="1">
      <alignment horizontal="center" vertical="center"/>
    </xf>
    <xf numFmtId="2" fontId="85" fillId="19" borderId="77" xfId="0" applyNumberFormat="1" applyFont="1" applyFill="1" applyBorder="1" applyAlignment="1">
      <alignment horizontal="center" vertical="center"/>
    </xf>
    <xf numFmtId="0" fontId="41" fillId="0" borderId="23" xfId="0" applyFont="1" applyFill="1" applyBorder="1" applyAlignment="1">
      <alignment horizontal="left" vertical="top" wrapText="1"/>
    </xf>
    <xf numFmtId="0" fontId="5" fillId="0" borderId="23" xfId="0" applyFont="1" applyFill="1" applyBorder="1" applyAlignment="1">
      <alignment horizontal="left" vertical="top" wrapText="1"/>
    </xf>
    <xf numFmtId="0" fontId="5" fillId="0" borderId="68" xfId="0" applyFont="1" applyFill="1" applyBorder="1" applyAlignment="1">
      <alignment vertical="top" wrapText="1"/>
    </xf>
    <xf numFmtId="0" fontId="5" fillId="0" borderId="30" xfId="0" applyFont="1" applyFill="1" applyBorder="1" applyAlignment="1">
      <alignment horizontal="left" vertical="top" wrapText="1"/>
    </xf>
    <xf numFmtId="0" fontId="5" fillId="0" borderId="23" xfId="0" applyFont="1" applyBorder="1" applyAlignment="1">
      <alignment horizontal="left" vertical="top" wrapText="1"/>
    </xf>
    <xf numFmtId="0" fontId="5" fillId="0" borderId="23" xfId="0" applyFont="1" applyFill="1" applyBorder="1" applyAlignment="1">
      <alignment vertical="top" wrapText="1"/>
    </xf>
    <xf numFmtId="0" fontId="5" fillId="0" borderId="69" xfId="0" applyFont="1" applyBorder="1" applyAlignment="1">
      <alignment horizontal="left" vertical="top" wrapText="1"/>
    </xf>
    <xf numFmtId="0" fontId="5" fillId="0" borderId="71" xfId="0" applyFont="1" applyBorder="1" applyAlignment="1">
      <alignment horizontal="left" vertical="top" wrapText="1"/>
    </xf>
    <xf numFmtId="0" fontId="39" fillId="0" borderId="23" xfId="0" applyFont="1" applyFill="1" applyBorder="1" applyAlignment="1">
      <alignment vertical="top" wrapText="1"/>
    </xf>
    <xf numFmtId="0" fontId="23" fillId="0" borderId="0" xfId="0" applyFont="1" applyBorder="1" applyAlignment="1">
      <alignment horizontal="left" vertical="top" wrapText="1"/>
    </xf>
    <xf numFmtId="0" fontId="5" fillId="0" borderId="41" xfId="0" applyFont="1" applyBorder="1" applyAlignment="1">
      <alignment horizontal="left" vertical="top" wrapText="1"/>
    </xf>
    <xf numFmtId="0" fontId="23" fillId="0" borderId="0" xfId="0" applyFont="1" applyAlignment="1">
      <alignment horizontal="left" vertical="top" wrapText="1"/>
    </xf>
    <xf numFmtId="0" fontId="5" fillId="0" borderId="55" xfId="0" applyFont="1" applyFill="1" applyBorder="1" applyAlignment="1">
      <alignment horizontal="left" vertical="center" wrapText="1"/>
    </xf>
    <xf numFmtId="0" fontId="5" fillId="0" borderId="27" xfId="0" applyFont="1" applyFill="1" applyBorder="1" applyAlignment="1">
      <alignment horizontal="left" vertical="center" wrapText="1"/>
    </xf>
    <xf numFmtId="0" fontId="5" fillId="0" borderId="40" xfId="0" applyFont="1" applyFill="1" applyBorder="1" applyAlignment="1">
      <alignment horizontal="left" vertical="center" wrapText="1"/>
    </xf>
    <xf numFmtId="2" fontId="85" fillId="19" borderId="54" xfId="0" applyNumberFormat="1" applyFont="1" applyFill="1" applyBorder="1" applyAlignment="1">
      <alignment horizontal="center" vertical="center"/>
    </xf>
    <xf numFmtId="2" fontId="85" fillId="19" borderId="60" xfId="0" applyNumberFormat="1" applyFont="1" applyFill="1" applyBorder="1" applyAlignment="1">
      <alignment horizontal="center" vertical="center"/>
    </xf>
    <xf numFmtId="1" fontId="28" fillId="2" borderId="57" xfId="0" applyNumberFormat="1" applyFont="1" applyFill="1" applyBorder="1" applyAlignment="1" applyProtection="1">
      <alignment horizontal="center" vertical="top" wrapText="1"/>
      <protection hidden="1"/>
    </xf>
    <xf numFmtId="0" fontId="28" fillId="2" borderId="57" xfId="0" applyFont="1" applyFill="1" applyBorder="1" applyAlignment="1" applyProtection="1">
      <alignment horizontal="center" vertical="top" wrapText="1"/>
      <protection hidden="1"/>
    </xf>
    <xf numFmtId="2" fontId="28" fillId="13" borderId="23" xfId="0" applyNumberFormat="1" applyFont="1" applyFill="1" applyBorder="1" applyAlignment="1" applyProtection="1">
      <alignment horizontal="center" vertical="top" wrapText="1"/>
    </xf>
    <xf numFmtId="0" fontId="28" fillId="2" borderId="2" xfId="0" applyFont="1" applyFill="1" applyBorder="1" applyAlignment="1" applyProtection="1">
      <alignment horizontal="center" vertical="top" wrapText="1"/>
      <protection hidden="1"/>
    </xf>
    <xf numFmtId="0" fontId="28" fillId="2" borderId="9" xfId="0" applyFont="1" applyFill="1" applyBorder="1" applyAlignment="1" applyProtection="1">
      <alignment horizontal="center" vertical="top" wrapText="1"/>
      <protection hidden="1"/>
    </xf>
    <xf numFmtId="0" fontId="39" fillId="0" borderId="76" xfId="0" applyFont="1" applyFill="1" applyBorder="1" applyAlignment="1">
      <alignment vertical="top" wrapText="1"/>
    </xf>
    <xf numFmtId="0" fontId="79" fillId="0" borderId="34" xfId="0" applyFont="1" applyBorder="1" applyAlignment="1">
      <alignment vertical="top" wrapText="1"/>
    </xf>
    <xf numFmtId="0" fontId="79" fillId="2" borderId="44" xfId="0" applyFont="1" applyFill="1" applyBorder="1" applyAlignment="1">
      <alignment horizontal="center" vertical="top" wrapText="1"/>
    </xf>
    <xf numFmtId="1" fontId="79" fillId="2" borderId="44" xfId="0" applyNumberFormat="1" applyFont="1" applyFill="1" applyBorder="1" applyAlignment="1">
      <alignment horizontal="center" vertical="top" wrapText="1"/>
    </xf>
    <xf numFmtId="0" fontId="79" fillId="0" borderId="5" xfId="0" applyFont="1" applyBorder="1" applyAlignment="1">
      <alignment horizontal="left" vertical="top"/>
    </xf>
    <xf numFmtId="0" fontId="5" fillId="0" borderId="42" xfId="0" applyFont="1" applyBorder="1" applyAlignment="1">
      <alignment vertical="top" wrapText="1"/>
    </xf>
    <xf numFmtId="0" fontId="5" fillId="0" borderId="8" xfId="0" applyFont="1" applyBorder="1" applyAlignment="1">
      <alignment horizontal="left" vertical="top" wrapText="1"/>
    </xf>
    <xf numFmtId="0" fontId="5" fillId="0" borderId="23" xfId="0" applyFont="1" applyBorder="1" applyAlignment="1">
      <alignment horizontal="left" vertical="top"/>
    </xf>
    <xf numFmtId="0" fontId="41" fillId="0" borderId="14" xfId="0" applyNumberFormat="1" applyFont="1" applyFill="1" applyBorder="1" applyAlignment="1">
      <alignment horizontal="left" vertical="top" wrapText="1"/>
    </xf>
    <xf numFmtId="1" fontId="28" fillId="2" borderId="66" xfId="0" applyNumberFormat="1" applyFont="1" applyFill="1" applyBorder="1" applyAlignment="1" applyProtection="1">
      <alignment horizontal="center" vertical="top" wrapText="1"/>
      <protection hidden="1"/>
    </xf>
    <xf numFmtId="0" fontId="28" fillId="0" borderId="12" xfId="0" applyFont="1" applyBorder="1" applyAlignment="1">
      <alignment horizontal="center" vertical="top" wrapText="1"/>
    </xf>
    <xf numFmtId="0" fontId="28" fillId="0" borderId="6" xfId="0" applyFont="1" applyBorder="1" applyAlignment="1">
      <alignment horizontal="center" vertical="top" wrapText="1"/>
    </xf>
    <xf numFmtId="0" fontId="28" fillId="0" borderId="50" xfId="0" applyFont="1" applyBorder="1" applyAlignment="1">
      <alignment horizontal="center" vertical="top" wrapText="1"/>
    </xf>
    <xf numFmtId="0" fontId="28" fillId="0" borderId="1" xfId="0" applyFont="1" applyBorder="1" applyAlignment="1">
      <alignment vertical="top" wrapText="1"/>
    </xf>
    <xf numFmtId="0" fontId="28" fillId="0" borderId="4" xfId="0" applyFont="1" applyBorder="1" applyAlignment="1">
      <alignment vertical="top" wrapText="1"/>
    </xf>
    <xf numFmtId="0" fontId="28" fillId="0" borderId="47" xfId="0" applyFont="1" applyBorder="1" applyAlignment="1">
      <alignment vertical="top" wrapText="1"/>
    </xf>
    <xf numFmtId="0" fontId="5" fillId="2" borderId="65" xfId="0" applyFont="1" applyFill="1" applyBorder="1" applyAlignment="1">
      <alignment horizontal="center" vertical="top" wrapText="1"/>
    </xf>
    <xf numFmtId="0" fontId="5" fillId="0" borderId="14" xfId="0" applyFont="1" applyFill="1" applyBorder="1" applyAlignment="1">
      <alignment horizontal="center" vertical="top" wrapText="1"/>
    </xf>
    <xf numFmtId="0" fontId="79" fillId="0" borderId="17" xfId="0" applyFont="1" applyBorder="1" applyAlignment="1">
      <alignment horizontal="center" vertical="top" wrapText="1"/>
    </xf>
    <xf numFmtId="0" fontId="79" fillId="0" borderId="34" xfId="0" applyFont="1" applyFill="1" applyBorder="1" applyAlignment="1">
      <alignment horizontal="left" vertical="top" wrapText="1"/>
    </xf>
    <xf numFmtId="1" fontId="79" fillId="2" borderId="51" xfId="0" applyNumberFormat="1" applyFont="1" applyFill="1" applyBorder="1" applyAlignment="1">
      <alignment horizontal="center" vertical="top" wrapText="1"/>
    </xf>
    <xf numFmtId="0" fontId="79" fillId="0" borderId="5" xfId="0" applyFont="1" applyFill="1" applyBorder="1" applyAlignment="1">
      <alignment horizontal="left" vertical="top" wrapText="1"/>
    </xf>
    <xf numFmtId="0" fontId="5" fillId="0" borderId="4" xfId="0" applyFont="1" applyBorder="1" applyAlignment="1">
      <alignment horizontal="left" vertical="top" wrapText="1"/>
    </xf>
    <xf numFmtId="0" fontId="5" fillId="0" borderId="7" xfId="0" applyFont="1" applyBorder="1" applyAlignment="1">
      <alignment horizontal="left" vertical="top" wrapText="1"/>
    </xf>
    <xf numFmtId="0" fontId="5" fillId="0" borderId="52" xfId="0" applyFont="1" applyBorder="1" applyAlignment="1">
      <alignment horizontal="left" vertical="top" wrapText="1"/>
    </xf>
    <xf numFmtId="1" fontId="5" fillId="0" borderId="4" xfId="0" applyNumberFormat="1" applyFont="1" applyFill="1" applyBorder="1" applyAlignment="1">
      <alignment horizontal="left" vertical="top" wrapText="1"/>
    </xf>
    <xf numFmtId="1" fontId="5" fillId="0" borderId="52" xfId="0" applyNumberFormat="1" applyFont="1" applyFill="1" applyBorder="1" applyAlignment="1">
      <alignment horizontal="left" vertical="top" wrapText="1"/>
    </xf>
    <xf numFmtId="0" fontId="28" fillId="0" borderId="4" xfId="0" applyFont="1" applyBorder="1" applyAlignment="1">
      <alignment horizontal="left" vertical="top" wrapText="1"/>
    </xf>
    <xf numFmtId="0" fontId="28" fillId="0" borderId="1" xfId="0" applyFont="1" applyBorder="1" applyAlignment="1">
      <alignment horizontal="left" vertical="top" wrapText="1"/>
    </xf>
    <xf numFmtId="0" fontId="28" fillId="0" borderId="3" xfId="0" applyFont="1" applyBorder="1" applyAlignment="1">
      <alignment horizontal="left" vertical="top" wrapText="1"/>
    </xf>
    <xf numFmtId="0" fontId="28" fillId="0" borderId="52" xfId="0" applyFont="1" applyBorder="1" applyAlignment="1">
      <alignment horizontal="left" vertical="top" wrapText="1"/>
    </xf>
    <xf numFmtId="0" fontId="28" fillId="0" borderId="47" xfId="0" applyFont="1" applyBorder="1" applyAlignment="1">
      <alignment horizontal="left" vertical="top" wrapText="1"/>
    </xf>
    <xf numFmtId="0" fontId="5" fillId="0" borderId="47" xfId="0" applyFont="1" applyBorder="1" applyAlignment="1">
      <alignment horizontal="left" vertical="top" wrapText="1"/>
    </xf>
    <xf numFmtId="0" fontId="5" fillId="0" borderId="4" xfId="0" applyFont="1" applyFill="1" applyBorder="1" applyAlignment="1">
      <alignment horizontal="left" vertical="top" wrapText="1"/>
    </xf>
    <xf numFmtId="0" fontId="5" fillId="0" borderId="3" xfId="0" applyFont="1" applyFill="1" applyBorder="1" applyAlignment="1">
      <alignment horizontal="left" vertical="top" wrapText="1"/>
    </xf>
    <xf numFmtId="0" fontId="5" fillId="0" borderId="3" xfId="0" applyFont="1" applyBorder="1" applyAlignment="1">
      <alignment horizontal="left" vertical="top" wrapText="1"/>
    </xf>
    <xf numFmtId="0" fontId="28" fillId="0" borderId="7" xfId="0" applyFont="1" applyBorder="1" applyAlignment="1">
      <alignment horizontal="left" vertical="top" wrapText="1"/>
    </xf>
    <xf numFmtId="0" fontId="28" fillId="0" borderId="4" xfId="0" applyFont="1" applyFill="1" applyBorder="1" applyAlignment="1">
      <alignment horizontal="left" vertical="top" wrapText="1"/>
    </xf>
    <xf numFmtId="0" fontId="28" fillId="0" borderId="1" xfId="0" applyFont="1" applyFill="1" applyBorder="1" applyAlignment="1">
      <alignment horizontal="left" vertical="top" wrapText="1"/>
    </xf>
    <xf numFmtId="0" fontId="28" fillId="0" borderId="47" xfId="0" applyFont="1" applyFill="1" applyBorder="1" applyAlignment="1">
      <alignment horizontal="left" vertical="top" wrapText="1"/>
    </xf>
    <xf numFmtId="0" fontId="28" fillId="0" borderId="3" xfId="0" applyFont="1" applyFill="1" applyBorder="1" applyAlignment="1">
      <alignment horizontal="left" vertical="top" wrapText="1"/>
    </xf>
    <xf numFmtId="0" fontId="5" fillId="0" borderId="52" xfId="0" applyFont="1" applyFill="1" applyBorder="1" applyAlignment="1">
      <alignment horizontal="left" vertical="top" wrapText="1"/>
    </xf>
    <xf numFmtId="0" fontId="5" fillId="0" borderId="43" xfId="0" applyFont="1" applyFill="1" applyBorder="1" applyAlignment="1">
      <alignment horizontal="left" vertical="top" wrapText="1"/>
    </xf>
    <xf numFmtId="0" fontId="5" fillId="0" borderId="61" xfId="0" applyFont="1" applyFill="1" applyBorder="1" applyAlignment="1">
      <alignment horizontal="left" vertical="top" wrapText="1"/>
    </xf>
    <xf numFmtId="0" fontId="5" fillId="0" borderId="7" xfId="0" applyFont="1" applyFill="1" applyBorder="1" applyAlignment="1">
      <alignment horizontal="left" vertical="top" wrapText="1"/>
    </xf>
    <xf numFmtId="1" fontId="26" fillId="0" borderId="7" xfId="0" applyNumberFormat="1" applyFont="1" applyFill="1" applyBorder="1" applyAlignment="1">
      <alignment horizontal="left" vertical="top" wrapText="1"/>
    </xf>
    <xf numFmtId="1" fontId="26" fillId="0" borderId="3" xfId="0" applyNumberFormat="1" applyFont="1" applyFill="1" applyBorder="1" applyAlignment="1">
      <alignment horizontal="left" vertical="top" wrapText="1"/>
    </xf>
    <xf numFmtId="1" fontId="26" fillId="0" borderId="4" xfId="0" applyNumberFormat="1" applyFont="1" applyBorder="1" applyAlignment="1">
      <alignment horizontal="left" vertical="top" wrapText="1"/>
    </xf>
    <xf numFmtId="1" fontId="26" fillId="0" borderId="1" xfId="0" applyNumberFormat="1" applyFont="1" applyBorder="1" applyAlignment="1">
      <alignment horizontal="left" vertical="top" wrapText="1"/>
    </xf>
    <xf numFmtId="1" fontId="26" fillId="0" borderId="47" xfId="0" applyNumberFormat="1" applyFont="1" applyBorder="1" applyAlignment="1">
      <alignment horizontal="left" vertical="top" wrapText="1"/>
    </xf>
    <xf numFmtId="0" fontId="5" fillId="0" borderId="12" xfId="0" applyNumberFormat="1" applyFont="1" applyFill="1" applyBorder="1" applyAlignment="1">
      <alignment horizontal="center" vertical="top" wrapText="1"/>
    </xf>
    <xf numFmtId="0" fontId="5" fillId="0" borderId="6" xfId="0" applyNumberFormat="1" applyFont="1" applyFill="1" applyBorder="1" applyAlignment="1">
      <alignment horizontal="center" vertical="top" wrapText="1"/>
    </xf>
    <xf numFmtId="0" fontId="5" fillId="0" borderId="50" xfId="0" applyNumberFormat="1" applyFont="1" applyFill="1" applyBorder="1" applyAlignment="1">
      <alignment horizontal="center" vertical="top" wrapText="1"/>
    </xf>
    <xf numFmtId="0" fontId="39" fillId="0" borderId="17" xfId="0" applyFont="1" applyFill="1" applyBorder="1" applyAlignment="1">
      <alignment horizontal="left" vertical="top" wrapText="1"/>
    </xf>
    <xf numFmtId="0" fontId="39" fillId="0" borderId="3" xfId="0" applyFont="1" applyFill="1" applyBorder="1" applyAlignment="1">
      <alignment horizontal="center" vertical="top" wrapText="1"/>
    </xf>
    <xf numFmtId="0" fontId="26" fillId="0" borderId="43" xfId="0" applyFont="1" applyBorder="1" applyAlignment="1">
      <alignment vertical="top" wrapText="1"/>
    </xf>
    <xf numFmtId="0" fontId="26" fillId="0" borderId="53" xfId="0" applyFont="1" applyBorder="1" applyAlignment="1">
      <alignment horizontal="center" vertical="top" wrapText="1"/>
    </xf>
    <xf numFmtId="0" fontId="39" fillId="0" borderId="68" xfId="0" applyFont="1" applyFill="1" applyBorder="1" applyAlignment="1">
      <alignment vertical="top" wrapText="1"/>
    </xf>
    <xf numFmtId="0" fontId="5" fillId="0" borderId="23" xfId="0" applyFont="1" applyFill="1" applyBorder="1" applyAlignment="1">
      <alignment horizontal="left" vertical="top" wrapText="1"/>
    </xf>
    <xf numFmtId="0" fontId="5" fillId="0" borderId="0" xfId="0" applyFont="1" applyBorder="1" applyAlignment="1">
      <alignment vertical="top" wrapText="1"/>
    </xf>
    <xf numFmtId="0" fontId="5" fillId="0" borderId="0" xfId="0" applyFont="1" applyFill="1" applyBorder="1" applyAlignment="1">
      <alignment vertical="top" wrapText="1"/>
    </xf>
    <xf numFmtId="0" fontId="5" fillId="0" borderId="46" xfId="0" applyFont="1" applyBorder="1" applyAlignment="1">
      <alignment horizontal="left" vertical="top" wrapText="1"/>
    </xf>
    <xf numFmtId="0" fontId="5" fillId="0" borderId="68" xfId="0" applyFont="1" applyFill="1" applyBorder="1" applyAlignment="1">
      <alignment horizontal="left" vertical="top" wrapText="1"/>
    </xf>
    <xf numFmtId="0" fontId="41" fillId="0" borderId="23" xfId="0" applyFont="1" applyFill="1" applyBorder="1" applyAlignment="1">
      <alignment horizontal="left" vertical="top" wrapText="1"/>
    </xf>
    <xf numFmtId="0" fontId="41" fillId="0" borderId="46" xfId="0" applyFont="1" applyFill="1" applyBorder="1" applyAlignment="1">
      <alignment horizontal="left" vertical="top" wrapText="1"/>
    </xf>
    <xf numFmtId="0" fontId="5" fillId="0" borderId="23" xfId="0" applyFont="1" applyFill="1" applyBorder="1" applyAlignment="1">
      <alignment horizontal="left" vertical="top" wrapText="1"/>
    </xf>
    <xf numFmtId="0" fontId="5" fillId="0" borderId="0" xfId="0" applyFont="1" applyFill="1" applyBorder="1" applyAlignment="1">
      <alignment vertical="top" wrapText="1"/>
    </xf>
    <xf numFmtId="0" fontId="5" fillId="0" borderId="0" xfId="0" applyFont="1" applyBorder="1" applyAlignment="1">
      <alignment vertical="top" wrapText="1"/>
    </xf>
    <xf numFmtId="0" fontId="5" fillId="0" borderId="68" xfId="0" applyFont="1" applyFill="1" applyBorder="1" applyAlignment="1">
      <alignment vertical="top" wrapText="1"/>
    </xf>
    <xf numFmtId="0" fontId="28" fillId="0" borderId="0" xfId="0" applyNumberFormat="1" applyFont="1" applyBorder="1" applyAlignment="1">
      <alignment horizontal="center" vertical="top" wrapText="1"/>
    </xf>
    <xf numFmtId="0" fontId="5" fillId="0" borderId="23" xfId="0" applyFont="1" applyFill="1" applyBorder="1" applyAlignment="1">
      <alignment vertical="top" wrapText="1"/>
    </xf>
    <xf numFmtId="0" fontId="28" fillId="0" borderId="0" xfId="0" applyFont="1" applyAlignment="1">
      <alignment horizontal="center" vertical="top" wrapText="1"/>
    </xf>
    <xf numFmtId="0" fontId="28" fillId="0" borderId="0" xfId="0" applyFont="1" applyBorder="1" applyAlignment="1">
      <alignment horizontal="center" vertical="top" wrapText="1"/>
    </xf>
    <xf numFmtId="0" fontId="5" fillId="0" borderId="71" xfId="0" applyFont="1" applyFill="1" applyBorder="1" applyAlignment="1">
      <alignment vertical="top" wrapText="1"/>
    </xf>
    <xf numFmtId="0" fontId="5" fillId="0" borderId="0" xfId="0" applyFont="1" applyAlignment="1">
      <alignment horizontal="center" vertical="top" wrapText="1"/>
    </xf>
    <xf numFmtId="2" fontId="16" fillId="13" borderId="42" xfId="0" applyNumberFormat="1" applyFont="1" applyFill="1" applyBorder="1" applyAlignment="1" applyProtection="1">
      <alignment horizontal="center" vertical="center" wrapText="1"/>
    </xf>
    <xf numFmtId="0" fontId="28" fillId="0" borderId="0" xfId="0" applyNumberFormat="1" applyFont="1" applyBorder="1" applyAlignment="1">
      <alignment vertical="center" wrapText="1"/>
    </xf>
    <xf numFmtId="0" fontId="28" fillId="0" borderId="69" xfId="0" applyNumberFormat="1" applyFont="1" applyBorder="1" applyAlignment="1">
      <alignment vertical="center" wrapText="1"/>
    </xf>
    <xf numFmtId="0" fontId="28" fillId="0" borderId="0" xfId="0" applyFont="1" applyAlignment="1">
      <alignment horizontal="center" vertical="center" wrapText="1"/>
    </xf>
    <xf numFmtId="0" fontId="25" fillId="0" borderId="0" xfId="0" applyFont="1" applyAlignment="1">
      <alignment horizontal="center" vertical="center" wrapText="1"/>
    </xf>
    <xf numFmtId="2" fontId="5" fillId="0" borderId="12" xfId="0" applyNumberFormat="1" applyFont="1" applyBorder="1" applyAlignment="1">
      <alignment horizontal="left" vertical="top" wrapText="1"/>
    </xf>
    <xf numFmtId="1" fontId="5" fillId="0" borderId="12" xfId="0" applyNumberFormat="1" applyFont="1" applyBorder="1" applyAlignment="1">
      <alignment horizontal="center" vertical="top" wrapText="1"/>
    </xf>
    <xf numFmtId="0" fontId="28" fillId="0" borderId="74" xfId="0" applyFont="1" applyBorder="1" applyAlignment="1">
      <alignment horizontal="left" vertical="top" wrapText="1"/>
    </xf>
    <xf numFmtId="0" fontId="5" fillId="0" borderId="56" xfId="0" applyFont="1" applyBorder="1" applyAlignment="1">
      <alignment horizontal="right" vertical="top" wrapText="1"/>
    </xf>
    <xf numFmtId="1" fontId="28" fillId="0" borderId="44" xfId="0" applyNumberFormat="1" applyFont="1" applyBorder="1" applyAlignment="1">
      <alignment horizontal="center" vertical="top" wrapText="1"/>
    </xf>
    <xf numFmtId="1" fontId="5" fillId="0" borderId="44" xfId="0" applyNumberFormat="1" applyFont="1" applyFill="1" applyBorder="1" applyAlignment="1">
      <alignment horizontal="center" vertical="top" wrapText="1"/>
    </xf>
    <xf numFmtId="1" fontId="5" fillId="0" borderId="12" xfId="0" applyNumberFormat="1" applyFont="1" applyFill="1" applyBorder="1" applyAlignment="1">
      <alignment horizontal="center" vertical="top" wrapText="1"/>
    </xf>
    <xf numFmtId="2" fontId="5" fillId="0" borderId="3" xfId="0" applyNumberFormat="1" applyFont="1" applyFill="1" applyBorder="1" applyAlignment="1">
      <alignment horizontal="left" vertical="top" wrapText="1"/>
    </xf>
    <xf numFmtId="0" fontId="5" fillId="0" borderId="66" xfId="0" applyFont="1" applyFill="1" applyBorder="1" applyAlignment="1">
      <alignment horizontal="left" vertical="top" wrapText="1"/>
    </xf>
    <xf numFmtId="0" fontId="5" fillId="0" borderId="15" xfId="0" applyFont="1" applyFill="1" applyBorder="1" applyAlignment="1">
      <alignment horizontal="left" vertical="top" wrapText="1"/>
    </xf>
    <xf numFmtId="0" fontId="5" fillId="0" borderId="45" xfId="0" applyFont="1" applyFill="1" applyBorder="1" applyAlignment="1">
      <alignment horizontal="left" vertical="top" wrapText="1"/>
    </xf>
    <xf numFmtId="1" fontId="5" fillId="0" borderId="52" xfId="0" applyNumberFormat="1" applyFont="1" applyFill="1" applyBorder="1" applyAlignment="1">
      <alignment horizontal="center" vertical="center" wrapText="1"/>
    </xf>
    <xf numFmtId="1" fontId="5" fillId="6" borderId="15" xfId="0" applyNumberFormat="1" applyFont="1" applyFill="1" applyBorder="1" applyAlignment="1">
      <alignment vertical="center"/>
    </xf>
    <xf numFmtId="1" fontId="5" fillId="6" borderId="6" xfId="0" applyNumberFormat="1" applyFont="1" applyFill="1" applyBorder="1" applyAlignment="1">
      <alignment vertical="center"/>
    </xf>
    <xf numFmtId="0" fontId="5" fillId="0" borderId="57" xfId="0" applyFont="1" applyFill="1" applyBorder="1" applyAlignment="1">
      <alignment horizontal="center" vertical="top" wrapText="1"/>
    </xf>
    <xf numFmtId="0" fontId="5" fillId="0" borderId="65" xfId="0" applyFont="1" applyFill="1" applyBorder="1" applyAlignment="1">
      <alignment vertical="top" wrapText="1"/>
    </xf>
    <xf numFmtId="1" fontId="26" fillId="2" borderId="65" xfId="0" applyNumberFormat="1" applyFont="1" applyFill="1" applyBorder="1" applyAlignment="1">
      <alignment horizontal="center" vertical="top" wrapText="1"/>
    </xf>
    <xf numFmtId="0" fontId="79" fillId="2" borderId="65" xfId="0" applyNumberFormat="1" applyFont="1" applyFill="1" applyBorder="1" applyAlignment="1">
      <alignment horizontal="center" vertical="top" wrapText="1"/>
    </xf>
    <xf numFmtId="1" fontId="5" fillId="0" borderId="7" xfId="0" applyNumberFormat="1" applyFont="1" applyBorder="1" applyAlignment="1">
      <alignment horizontal="center" vertical="top" wrapText="1"/>
    </xf>
    <xf numFmtId="0" fontId="70" fillId="0" borderId="0" xfId="0" applyFont="1" applyAlignment="1" applyProtection="1">
      <alignment horizontal="center" vertical="top"/>
      <protection locked="0"/>
    </xf>
    <xf numFmtId="0" fontId="5" fillId="0" borderId="0" xfId="0" applyFont="1" applyFill="1" applyBorder="1" applyAlignment="1" applyProtection="1">
      <alignment horizontal="left" vertical="top"/>
      <protection locked="0"/>
    </xf>
    <xf numFmtId="0" fontId="5" fillId="0" borderId="23" xfId="0" applyFont="1" applyFill="1" applyBorder="1" applyAlignment="1">
      <alignment horizontal="left" vertical="top" wrapText="1"/>
    </xf>
    <xf numFmtId="0" fontId="5" fillId="0" borderId="42" xfId="0" applyFont="1" applyFill="1" applyBorder="1" applyAlignment="1">
      <alignment horizontal="left" vertical="top" wrapText="1"/>
    </xf>
    <xf numFmtId="0" fontId="5" fillId="0" borderId="59" xfId="0" applyFont="1" applyBorder="1" applyAlignment="1">
      <alignment vertical="top" wrapText="1"/>
    </xf>
    <xf numFmtId="0" fontId="5" fillId="0" borderId="0" xfId="0" applyFont="1" applyBorder="1" applyAlignment="1">
      <alignment vertical="top" wrapText="1"/>
    </xf>
    <xf numFmtId="0" fontId="5" fillId="0" borderId="0" xfId="0" applyFont="1" applyFill="1" applyBorder="1" applyAlignment="1">
      <alignment horizontal="left" vertical="top" wrapText="1"/>
    </xf>
    <xf numFmtId="0" fontId="5" fillId="0" borderId="64" xfId="0" applyFont="1" applyBorder="1" applyAlignment="1">
      <alignment horizontal="left" vertical="top" wrapText="1"/>
    </xf>
    <xf numFmtId="0" fontId="5" fillId="0" borderId="64" xfId="0" applyFont="1" applyBorder="1" applyAlignment="1">
      <alignment vertical="top" wrapText="1"/>
    </xf>
    <xf numFmtId="0" fontId="5" fillId="0" borderId="10" xfId="0" applyFont="1" applyBorder="1" applyAlignment="1">
      <alignment vertical="top" wrapText="1"/>
    </xf>
    <xf numFmtId="0" fontId="5" fillId="0" borderId="68" xfId="0" applyFont="1" applyBorder="1" applyAlignment="1">
      <alignment vertical="top" wrapText="1"/>
    </xf>
    <xf numFmtId="0" fontId="5" fillId="0" borderId="22" xfId="0" applyFont="1" applyBorder="1" applyAlignment="1">
      <alignment vertical="top" wrapText="1"/>
    </xf>
    <xf numFmtId="0" fontId="25" fillId="0" borderId="46" xfId="0" applyFont="1" applyBorder="1" applyAlignment="1">
      <alignment vertical="top" wrapText="1"/>
    </xf>
    <xf numFmtId="0" fontId="5" fillId="0" borderId="64" xfId="0" applyFont="1" applyBorder="1" applyAlignment="1">
      <alignment vertical="top"/>
    </xf>
    <xf numFmtId="0" fontId="28" fillId="0" borderId="68" xfId="0" applyFont="1" applyFill="1" applyBorder="1" applyAlignment="1">
      <alignment horizontal="left" vertical="top" wrapText="1"/>
    </xf>
    <xf numFmtId="0" fontId="28" fillId="0" borderId="64" xfId="0" applyFont="1" applyFill="1" applyBorder="1" applyAlignment="1">
      <alignment horizontal="left" vertical="top" wrapText="1"/>
    </xf>
    <xf numFmtId="0" fontId="5" fillId="0" borderId="46" xfId="0" applyFont="1" applyBorder="1" applyAlignment="1">
      <alignment vertical="top" wrapText="1"/>
    </xf>
    <xf numFmtId="0" fontId="5" fillId="0" borderId="23" xfId="0" applyFont="1" applyFill="1" applyBorder="1" applyAlignment="1">
      <alignment horizontal="left" vertical="top"/>
    </xf>
    <xf numFmtId="0" fontId="5" fillId="0" borderId="46" xfId="0" applyFont="1" applyFill="1" applyBorder="1" applyAlignment="1">
      <alignment horizontal="left" vertical="top"/>
    </xf>
    <xf numFmtId="0" fontId="28" fillId="0" borderId="59" xfId="0" applyFont="1" applyFill="1" applyBorder="1" applyAlignment="1">
      <alignment horizontal="center" vertical="top" wrapText="1"/>
    </xf>
    <xf numFmtId="0" fontId="28" fillId="0" borderId="42" xfId="0" applyFont="1" applyBorder="1" applyAlignment="1">
      <alignment vertical="top" wrapText="1"/>
    </xf>
    <xf numFmtId="0" fontId="5" fillId="0" borderId="30" xfId="0" applyFont="1" applyFill="1" applyBorder="1" applyAlignment="1">
      <alignment horizontal="left" vertical="top" wrapText="1"/>
    </xf>
    <xf numFmtId="0" fontId="5" fillId="0" borderId="71" xfId="0" applyFont="1" applyFill="1" applyBorder="1" applyAlignment="1">
      <alignment vertical="top" wrapText="1"/>
    </xf>
    <xf numFmtId="0" fontId="5" fillId="0" borderId="33" xfId="0" applyNumberFormat="1" applyFont="1" applyFill="1" applyBorder="1" applyAlignment="1">
      <alignment horizontal="left" vertical="top" wrapText="1"/>
    </xf>
    <xf numFmtId="0" fontId="5" fillId="0" borderId="9" xfId="0" applyFont="1" applyBorder="1" applyAlignment="1">
      <alignment horizontal="left" vertical="top" wrapText="1"/>
    </xf>
    <xf numFmtId="0" fontId="5" fillId="6" borderId="1" xfId="0" applyFont="1" applyFill="1" applyBorder="1" applyAlignment="1">
      <alignment vertical="center" wrapText="1"/>
    </xf>
    <xf numFmtId="0" fontId="5" fillId="0" borderId="19" xfId="0" applyFont="1" applyFill="1" applyBorder="1" applyAlignment="1">
      <alignment horizontal="left" vertical="top" wrapText="1"/>
    </xf>
    <xf numFmtId="0" fontId="5" fillId="0" borderId="26" xfId="0" applyFont="1" applyFill="1" applyBorder="1" applyAlignment="1">
      <alignment horizontal="left" vertical="top" wrapText="1"/>
    </xf>
    <xf numFmtId="0" fontId="5" fillId="0" borderId="20" xfId="0" applyFont="1" applyFill="1" applyBorder="1" applyAlignment="1">
      <alignment horizontal="left" vertical="top" wrapText="1"/>
    </xf>
    <xf numFmtId="0" fontId="5" fillId="0" borderId="10" xfId="0" applyFont="1" applyFill="1" applyBorder="1" applyAlignment="1">
      <alignment horizontal="left" vertical="top" wrapText="1"/>
    </xf>
    <xf numFmtId="0" fontId="5" fillId="0" borderId="17" xfId="0" applyFont="1" applyFill="1" applyBorder="1" applyAlignment="1">
      <alignment horizontal="left" vertical="top" wrapText="1"/>
    </xf>
    <xf numFmtId="0" fontId="5" fillId="0" borderId="11" xfId="0" applyFont="1" applyFill="1" applyBorder="1" applyAlignment="1">
      <alignment horizontal="left" vertical="top" wrapText="1"/>
    </xf>
    <xf numFmtId="0" fontId="5" fillId="0" borderId="12" xfId="0" applyFont="1" applyFill="1" applyBorder="1" applyAlignment="1">
      <alignment horizontal="left" vertical="top" wrapText="1"/>
    </xf>
    <xf numFmtId="2" fontId="26" fillId="0" borderId="68" xfId="0" applyNumberFormat="1" applyFont="1" applyFill="1" applyBorder="1" applyAlignment="1">
      <alignment vertical="top" wrapText="1"/>
    </xf>
    <xf numFmtId="0" fontId="23" fillId="0" borderId="68" xfId="0" applyFont="1" applyFill="1" applyBorder="1" applyAlignment="1">
      <alignment horizontal="left" vertical="top" wrapText="1"/>
    </xf>
    <xf numFmtId="0" fontId="79" fillId="0" borderId="33" xfId="0" applyFont="1" applyBorder="1" applyAlignment="1">
      <alignment vertical="top" wrapText="1"/>
    </xf>
    <xf numFmtId="0" fontId="79" fillId="0" borderId="54" xfId="0" applyFont="1" applyBorder="1" applyAlignment="1">
      <alignment vertical="top" wrapText="1"/>
    </xf>
    <xf numFmtId="0" fontId="5" fillId="0" borderId="34" xfId="0" applyFont="1" applyBorder="1" applyAlignment="1">
      <alignment horizontal="left" vertical="top" wrapText="1"/>
    </xf>
    <xf numFmtId="0" fontId="55" fillId="21" borderId="68" xfId="0" applyFont="1" applyFill="1" applyBorder="1" applyAlignment="1">
      <alignment horizontal="center" vertical="center" wrapText="1"/>
    </xf>
    <xf numFmtId="0" fontId="71" fillId="21" borderId="23" xfId="0" applyFont="1" applyFill="1" applyBorder="1" applyAlignment="1">
      <alignment horizontal="center" vertical="center" wrapText="1"/>
    </xf>
    <xf numFmtId="0" fontId="72" fillId="21" borderId="23" xfId="0" applyFont="1" applyFill="1" applyBorder="1" applyAlignment="1" applyProtection="1">
      <alignment horizontal="center" vertical="center" wrapText="1"/>
      <protection locked="0"/>
    </xf>
    <xf numFmtId="0" fontId="72" fillId="21" borderId="68" xfId="0" applyFont="1" applyFill="1" applyBorder="1" applyAlignment="1">
      <alignment horizontal="center" vertical="center" wrapText="1"/>
    </xf>
    <xf numFmtId="0" fontId="56" fillId="23" borderId="34" xfId="0" applyFont="1" applyFill="1" applyBorder="1" applyAlignment="1">
      <alignment horizontal="center" vertical="center"/>
    </xf>
    <xf numFmtId="0" fontId="55" fillId="23" borderId="5" xfId="0" applyFont="1" applyFill="1" applyBorder="1" applyAlignment="1">
      <alignment horizontal="center" vertical="center"/>
    </xf>
    <xf numFmtId="0" fontId="55" fillId="23" borderId="34" xfId="0" applyFont="1" applyFill="1" applyBorder="1" applyAlignment="1">
      <alignment horizontal="center" vertical="center"/>
    </xf>
    <xf numFmtId="0" fontId="55" fillId="23" borderId="21" xfId="0" applyFont="1" applyFill="1" applyBorder="1" applyAlignment="1">
      <alignment horizontal="center" vertical="center"/>
    </xf>
    <xf numFmtId="0" fontId="53" fillId="0" borderId="0" xfId="0" applyFont="1" applyFill="1" applyBorder="1" applyAlignment="1">
      <alignment horizontal="center" vertical="center"/>
    </xf>
    <xf numFmtId="0" fontId="5" fillId="0" borderId="22" xfId="0" applyFont="1" applyFill="1" applyBorder="1" applyAlignment="1" applyProtection="1">
      <alignment vertical="top" wrapText="1"/>
    </xf>
    <xf numFmtId="0" fontId="55" fillId="23" borderId="41" xfId="0" applyFont="1" applyFill="1" applyBorder="1" applyAlignment="1">
      <alignment horizontal="center" vertical="center"/>
    </xf>
    <xf numFmtId="0" fontId="55" fillId="23" borderId="18" xfId="0" applyFont="1" applyFill="1" applyBorder="1" applyAlignment="1">
      <alignment horizontal="center" vertical="center"/>
    </xf>
    <xf numFmtId="0" fontId="94" fillId="19" borderId="5" xfId="0" applyFont="1" applyFill="1" applyBorder="1" applyAlignment="1">
      <alignment vertical="top" wrapText="1"/>
    </xf>
    <xf numFmtId="0" fontId="94" fillId="19" borderId="5" xfId="0" applyFont="1" applyFill="1" applyBorder="1" applyAlignment="1">
      <alignment vertical="center" wrapText="1"/>
    </xf>
    <xf numFmtId="0" fontId="5" fillId="19" borderId="5" xfId="1" applyFont="1" applyFill="1" applyBorder="1" applyAlignment="1" applyProtection="1">
      <alignment horizontal="center" vertical="top" wrapText="1"/>
      <protection locked="0"/>
    </xf>
    <xf numFmtId="0" fontId="25" fillId="19" borderId="5" xfId="0" applyFont="1" applyFill="1" applyBorder="1" applyAlignment="1">
      <alignment vertical="center" wrapText="1"/>
    </xf>
    <xf numFmtId="0" fontId="5" fillId="19" borderId="29" xfId="1" applyFont="1" applyFill="1" applyBorder="1" applyAlignment="1" applyProtection="1">
      <alignment horizontal="center" vertical="center" wrapText="1"/>
      <protection locked="0"/>
    </xf>
    <xf numFmtId="0" fontId="5" fillId="28" borderId="18" xfId="1" applyFont="1" applyFill="1" applyBorder="1" applyAlignment="1" applyProtection="1">
      <alignment horizontal="center" vertical="center" wrapText="1"/>
      <protection locked="0"/>
    </xf>
    <xf numFmtId="0" fontId="89" fillId="0" borderId="68" xfId="0" applyFont="1" applyFill="1" applyBorder="1" applyAlignment="1">
      <alignment horizontal="center" vertical="center"/>
    </xf>
    <xf numFmtId="0" fontId="87" fillId="33" borderId="5" xfId="0" applyFont="1" applyFill="1" applyBorder="1" applyAlignment="1">
      <alignment vertical="center" wrapText="1"/>
    </xf>
    <xf numFmtId="2" fontId="90" fillId="27" borderId="45" xfId="0" applyNumberFormat="1" applyFont="1" applyFill="1" applyBorder="1" applyAlignment="1" applyProtection="1">
      <alignment horizontal="center" vertical="center" wrapText="1"/>
    </xf>
    <xf numFmtId="2" fontId="91" fillId="0" borderId="66" xfId="0" applyNumberFormat="1" applyFont="1" applyBorder="1" applyAlignment="1">
      <alignment horizontal="center" vertical="center"/>
    </xf>
    <xf numFmtId="2" fontId="91" fillId="0" borderId="6" xfId="0" applyNumberFormat="1" applyFont="1" applyBorder="1" applyAlignment="1">
      <alignment horizontal="center" vertical="center"/>
    </xf>
    <xf numFmtId="2" fontId="91" fillId="0" borderId="50" xfId="0" applyNumberFormat="1" applyFont="1" applyBorder="1" applyAlignment="1">
      <alignment horizontal="center" vertical="center"/>
    </xf>
    <xf numFmtId="2" fontId="85" fillId="19" borderId="66" xfId="0" applyNumberFormat="1" applyFont="1" applyFill="1" applyBorder="1" applyAlignment="1">
      <alignment horizontal="center" vertical="center"/>
    </xf>
    <xf numFmtId="2" fontId="85" fillId="19" borderId="50" xfId="0" applyNumberFormat="1" applyFont="1" applyFill="1" applyBorder="1" applyAlignment="1">
      <alignment horizontal="center" vertical="center"/>
    </xf>
    <xf numFmtId="2" fontId="91" fillId="0" borderId="45" xfId="0" applyNumberFormat="1" applyFont="1" applyBorder="1" applyAlignment="1">
      <alignment horizontal="center" vertical="center"/>
    </xf>
    <xf numFmtId="2" fontId="91" fillId="0" borderId="12" xfId="0" applyNumberFormat="1" applyFont="1" applyBorder="1" applyAlignment="1">
      <alignment horizontal="center" vertical="center"/>
    </xf>
    <xf numFmtId="2" fontId="91" fillId="0" borderId="17" xfId="0" applyNumberFormat="1" applyFont="1" applyBorder="1" applyAlignment="1">
      <alignment horizontal="center" vertical="center"/>
    </xf>
    <xf numFmtId="2" fontId="85" fillId="19" borderId="45" xfId="0" applyNumberFormat="1" applyFont="1" applyFill="1" applyBorder="1" applyAlignment="1">
      <alignment horizontal="center" vertical="center"/>
    </xf>
    <xf numFmtId="0" fontId="85" fillId="19" borderId="28" xfId="0" applyFont="1" applyFill="1" applyBorder="1" applyAlignment="1">
      <alignment horizontal="center" vertical="center"/>
    </xf>
    <xf numFmtId="0" fontId="85" fillId="19" borderId="27" xfId="0" applyFont="1" applyFill="1" applyBorder="1" applyAlignment="1">
      <alignment horizontal="center" vertical="center"/>
    </xf>
    <xf numFmtId="0" fontId="85" fillId="19" borderId="62" xfId="0" applyFont="1" applyFill="1" applyBorder="1" applyAlignment="1">
      <alignment horizontal="center" vertical="center"/>
    </xf>
    <xf numFmtId="2" fontId="85" fillId="14" borderId="54" xfId="0" applyNumberFormat="1" applyFont="1" applyFill="1" applyBorder="1" applyAlignment="1" applyProtection="1">
      <alignment horizontal="center" vertical="top"/>
    </xf>
    <xf numFmtId="2" fontId="85" fillId="14" borderId="33" xfId="0" applyNumberFormat="1" applyFont="1" applyFill="1" applyBorder="1" applyAlignment="1" applyProtection="1">
      <alignment horizontal="center" vertical="top"/>
    </xf>
    <xf numFmtId="2" fontId="85" fillId="14" borderId="60" xfId="0" applyNumberFormat="1" applyFont="1" applyFill="1" applyBorder="1" applyAlignment="1" applyProtection="1">
      <alignment horizontal="center" vertical="top"/>
    </xf>
    <xf numFmtId="2" fontId="85" fillId="4" borderId="43" xfId="0" applyNumberFormat="1" applyFont="1" applyFill="1" applyBorder="1" applyAlignment="1" applyProtection="1">
      <alignment horizontal="center" vertical="top"/>
    </xf>
    <xf numFmtId="2" fontId="85" fillId="4" borderId="73" xfId="0" applyNumberFormat="1" applyFont="1" applyFill="1" applyBorder="1" applyAlignment="1" applyProtection="1">
      <alignment horizontal="center" vertical="top"/>
    </xf>
    <xf numFmtId="2" fontId="85" fillId="4" borderId="74" xfId="0" applyNumberFormat="1" applyFont="1" applyFill="1" applyBorder="1" applyAlignment="1" applyProtection="1">
      <alignment horizontal="center" vertical="top"/>
    </xf>
    <xf numFmtId="2" fontId="85" fillId="14" borderId="73" xfId="0" applyNumberFormat="1" applyFont="1" applyFill="1" applyBorder="1" applyAlignment="1" applyProtection="1">
      <alignment horizontal="center" vertical="top"/>
    </xf>
    <xf numFmtId="2" fontId="85" fillId="14" borderId="77" xfId="0" applyNumberFormat="1" applyFont="1" applyFill="1" applyBorder="1" applyAlignment="1" applyProtection="1">
      <alignment horizontal="center" vertical="top"/>
    </xf>
    <xf numFmtId="2" fontId="85" fillId="4" borderId="54" xfId="0" applyNumberFormat="1" applyFont="1" applyFill="1" applyBorder="1" applyAlignment="1" applyProtection="1">
      <alignment horizontal="center" vertical="top"/>
    </xf>
    <xf numFmtId="2" fontId="85" fillId="4" borderId="75" xfId="0" applyNumberFormat="1" applyFont="1" applyFill="1" applyBorder="1" applyAlignment="1" applyProtection="1">
      <alignment horizontal="center" vertical="top"/>
    </xf>
    <xf numFmtId="0" fontId="37" fillId="11" borderId="23" xfId="0" applyFont="1" applyFill="1" applyBorder="1" applyAlignment="1">
      <alignment horizontal="center" vertical="center" wrapText="1"/>
    </xf>
    <xf numFmtId="0" fontId="11" fillId="11" borderId="23" xfId="0" applyFont="1" applyFill="1" applyBorder="1" applyAlignment="1">
      <alignment vertical="center" wrapText="1"/>
    </xf>
    <xf numFmtId="2" fontId="28" fillId="5" borderId="42" xfId="0" applyNumberFormat="1" applyFont="1" applyFill="1" applyBorder="1" applyAlignment="1" applyProtection="1">
      <alignment horizontal="center" vertical="top" wrapText="1"/>
    </xf>
    <xf numFmtId="0" fontId="28" fillId="0" borderId="44" xfId="0" applyFont="1" applyFill="1" applyBorder="1" applyAlignment="1">
      <alignment horizontal="center" vertical="top" wrapText="1"/>
    </xf>
    <xf numFmtId="1" fontId="28" fillId="2" borderId="45" xfId="0" applyNumberFormat="1" applyFont="1" applyFill="1" applyBorder="1" applyAlignment="1" applyProtection="1">
      <alignment horizontal="center" vertical="top" wrapText="1"/>
      <protection hidden="1"/>
    </xf>
    <xf numFmtId="0" fontId="28" fillId="2" borderId="51" xfId="0" applyFont="1" applyFill="1" applyBorder="1" applyAlignment="1" applyProtection="1">
      <alignment horizontal="center" vertical="top" wrapText="1"/>
      <protection hidden="1"/>
    </xf>
    <xf numFmtId="0" fontId="28" fillId="0" borderId="19" xfId="0" applyFont="1" applyBorder="1" applyAlignment="1">
      <alignment vertical="top" wrapText="1"/>
    </xf>
    <xf numFmtId="0" fontId="28" fillId="0" borderId="26" xfId="0" applyFont="1" applyBorder="1" applyAlignment="1">
      <alignment vertical="top" wrapText="1"/>
    </xf>
    <xf numFmtId="0" fontId="28" fillId="0" borderId="20" xfId="0" applyFont="1" applyBorder="1" applyAlignment="1">
      <alignment vertical="top" wrapText="1"/>
    </xf>
    <xf numFmtId="1" fontId="37" fillId="0" borderId="5" xfId="0" applyNumberFormat="1" applyFont="1" applyBorder="1" applyAlignment="1">
      <alignment horizontal="center" vertical="center"/>
    </xf>
    <xf numFmtId="2" fontId="25" fillId="13" borderId="5" xfId="0" applyNumberFormat="1" applyFont="1" applyFill="1" applyBorder="1" applyAlignment="1">
      <alignment horizontal="center" vertical="top" wrapText="1"/>
    </xf>
    <xf numFmtId="2" fontId="5" fillId="7" borderId="42" xfId="0" applyNumberFormat="1" applyFont="1" applyFill="1" applyBorder="1" applyAlignment="1">
      <alignment horizontal="center" vertical="top"/>
    </xf>
    <xf numFmtId="0" fontId="39" fillId="0" borderId="34" xfId="0" applyFont="1" applyFill="1" applyBorder="1" applyAlignment="1">
      <alignment vertical="top" wrapText="1"/>
    </xf>
    <xf numFmtId="0" fontId="5" fillId="14" borderId="44" xfId="0" applyFont="1" applyFill="1" applyBorder="1" applyAlignment="1">
      <alignment horizontal="left" vertical="top" wrapText="1"/>
    </xf>
    <xf numFmtId="1" fontId="5" fillId="14" borderId="3" xfId="0" applyNumberFormat="1" applyFont="1" applyFill="1" applyBorder="1" applyAlignment="1">
      <alignment horizontal="center" vertical="top"/>
    </xf>
    <xf numFmtId="0" fontId="5" fillId="14" borderId="58" xfId="0" applyFont="1" applyFill="1" applyBorder="1" applyAlignment="1">
      <alignment horizontal="center" vertical="top" wrapText="1"/>
    </xf>
    <xf numFmtId="0" fontId="5" fillId="14" borderId="45" xfId="0" applyFont="1" applyFill="1" applyBorder="1" applyAlignment="1">
      <alignment horizontal="center" vertical="top" wrapText="1"/>
    </xf>
    <xf numFmtId="0" fontId="11" fillId="11" borderId="5" xfId="0" applyFont="1" applyFill="1" applyBorder="1" applyAlignment="1">
      <alignment vertical="center" wrapText="1"/>
    </xf>
    <xf numFmtId="1" fontId="37" fillId="0" borderId="5" xfId="0" applyNumberFormat="1" applyFont="1" applyBorder="1" applyAlignment="1">
      <alignment horizontal="center" vertical="center" wrapText="1"/>
    </xf>
    <xf numFmtId="0" fontId="5" fillId="0" borderId="0" xfId="0" applyFont="1" applyAlignment="1">
      <alignment vertical="center"/>
    </xf>
    <xf numFmtId="0" fontId="28" fillId="0" borderId="0" xfId="0" applyFont="1" applyBorder="1" applyAlignment="1">
      <alignment vertical="center" wrapText="1"/>
    </xf>
    <xf numFmtId="0" fontId="28" fillId="0" borderId="0" xfId="0" applyFont="1" applyAlignment="1">
      <alignment vertical="center" wrapText="1"/>
    </xf>
    <xf numFmtId="0" fontId="28" fillId="2" borderId="45" xfId="0" applyFont="1" applyFill="1" applyBorder="1" applyAlignment="1">
      <alignment horizontal="center" vertical="top" wrapText="1"/>
    </xf>
    <xf numFmtId="1" fontId="8" fillId="0" borderId="5" xfId="0" applyNumberFormat="1" applyFont="1" applyBorder="1" applyAlignment="1">
      <alignment horizontal="center" vertical="center" wrapText="1"/>
    </xf>
    <xf numFmtId="0" fontId="31" fillId="0" borderId="0" xfId="0" applyFont="1" applyAlignment="1">
      <alignment vertical="center" wrapText="1"/>
    </xf>
    <xf numFmtId="0" fontId="28" fillId="0" borderId="51" xfId="0" applyFont="1" applyFill="1" applyBorder="1" applyAlignment="1">
      <alignment horizontal="center" vertical="top" wrapText="1"/>
    </xf>
    <xf numFmtId="2" fontId="5" fillId="14" borderId="33" xfId="0" applyNumberFormat="1" applyFont="1" applyFill="1" applyBorder="1" applyAlignment="1">
      <alignment horizontal="center" vertical="top" wrapText="1"/>
    </xf>
    <xf numFmtId="1" fontId="5" fillId="14" borderId="6" xfId="0" applyNumberFormat="1" applyFont="1" applyFill="1" applyBorder="1" applyAlignment="1">
      <alignment horizontal="center" vertical="top" wrapText="1"/>
    </xf>
    <xf numFmtId="0" fontId="5" fillId="0" borderId="9" xfId="0" applyFont="1" applyFill="1" applyBorder="1" applyAlignment="1">
      <alignment horizontal="center" vertical="top" wrapText="1"/>
    </xf>
    <xf numFmtId="0" fontId="5" fillId="0" borderId="2" xfId="0" applyFont="1" applyFill="1" applyBorder="1" applyAlignment="1">
      <alignment horizontal="center" vertical="top" wrapText="1"/>
    </xf>
    <xf numFmtId="0" fontId="5" fillId="0" borderId="10" xfId="0" applyFont="1" applyFill="1" applyBorder="1" applyAlignment="1">
      <alignment horizontal="center" vertical="top" wrapText="1"/>
    </xf>
    <xf numFmtId="1" fontId="5" fillId="0" borderId="17" xfId="0" applyNumberFormat="1" applyFont="1" applyBorder="1" applyAlignment="1">
      <alignment vertical="top" wrapText="1"/>
    </xf>
    <xf numFmtId="1" fontId="5" fillId="0" borderId="17" xfId="0" applyNumberFormat="1" applyFont="1" applyBorder="1" applyAlignment="1">
      <alignment horizontal="center" vertical="top" wrapText="1"/>
    </xf>
    <xf numFmtId="1" fontId="36" fillId="0" borderId="5" xfId="0" applyNumberFormat="1" applyFont="1" applyBorder="1" applyAlignment="1">
      <alignment horizontal="center" vertical="center" wrapText="1"/>
    </xf>
    <xf numFmtId="0" fontId="11" fillId="11" borderId="5" xfId="0" applyFont="1" applyFill="1" applyBorder="1" applyAlignment="1">
      <alignment horizontal="left" vertical="center" wrapText="1"/>
    </xf>
    <xf numFmtId="0" fontId="31" fillId="0" borderId="0" xfId="0" applyFont="1" applyFill="1" applyBorder="1" applyAlignment="1">
      <alignment vertical="center"/>
    </xf>
    <xf numFmtId="0" fontId="31" fillId="0" borderId="0" xfId="0" applyFont="1" applyAlignment="1">
      <alignment vertical="center"/>
    </xf>
    <xf numFmtId="1" fontId="37" fillId="0" borderId="23" xfId="0" applyNumberFormat="1" applyFont="1" applyBorder="1" applyAlignment="1">
      <alignment horizontal="center" vertical="center"/>
    </xf>
    <xf numFmtId="2" fontId="5" fillId="34" borderId="5" xfId="0" applyNumberFormat="1" applyFont="1" applyFill="1" applyBorder="1" applyAlignment="1">
      <alignment vertical="top" wrapText="1"/>
    </xf>
    <xf numFmtId="0" fontId="5" fillId="34" borderId="5" xfId="0" applyFont="1" applyFill="1" applyBorder="1" applyAlignment="1">
      <alignment horizontal="left" vertical="top" wrapText="1"/>
    </xf>
    <xf numFmtId="2" fontId="5" fillId="0" borderId="14" xfId="0" applyNumberFormat="1" applyFont="1" applyBorder="1" applyAlignment="1">
      <alignment horizontal="left" vertical="top" wrapText="1"/>
    </xf>
    <xf numFmtId="1" fontId="5" fillId="35" borderId="5" xfId="0" applyNumberFormat="1" applyFont="1" applyFill="1" applyBorder="1" applyAlignment="1">
      <alignment horizontal="center" vertical="top" wrapText="1"/>
    </xf>
    <xf numFmtId="2" fontId="5" fillId="34" borderId="5" xfId="0" applyNumberFormat="1" applyFont="1" applyFill="1" applyBorder="1" applyAlignment="1">
      <alignment horizontal="center" vertical="top" wrapText="1"/>
    </xf>
    <xf numFmtId="1" fontId="5" fillId="0" borderId="14" xfId="0" applyNumberFormat="1" applyFont="1" applyBorder="1" applyAlignment="1">
      <alignment vertical="top" wrapText="1"/>
    </xf>
    <xf numFmtId="1" fontId="5" fillId="0" borderId="15" xfId="0" applyNumberFormat="1" applyFont="1" applyBorder="1" applyAlignment="1">
      <alignment vertical="top" wrapText="1"/>
    </xf>
    <xf numFmtId="2" fontId="5" fillId="0" borderId="56" xfId="0" applyNumberFormat="1" applyFont="1" applyBorder="1" applyAlignment="1">
      <alignment horizontal="left" vertical="top" wrapText="1"/>
    </xf>
    <xf numFmtId="1" fontId="5" fillId="0" borderId="56" xfId="0" applyNumberFormat="1" applyFont="1" applyBorder="1" applyAlignment="1">
      <alignment horizontal="center" vertical="top" wrapText="1"/>
    </xf>
    <xf numFmtId="2" fontId="28" fillId="13" borderId="34" xfId="0" applyNumberFormat="1" applyFont="1" applyFill="1" applyBorder="1" applyAlignment="1">
      <alignment horizontal="center" vertical="top" wrapText="1"/>
    </xf>
    <xf numFmtId="0" fontId="5" fillId="0" borderId="0" xfId="0" applyFont="1" applyFill="1" applyBorder="1" applyAlignment="1">
      <alignment vertical="center"/>
    </xf>
    <xf numFmtId="0" fontId="16" fillId="15" borderId="5" xfId="0" applyFont="1" applyFill="1" applyBorder="1" applyAlignment="1">
      <alignment horizontal="center" vertical="center"/>
    </xf>
    <xf numFmtId="0" fontId="5" fillId="0" borderId="55" xfId="0" applyFont="1" applyFill="1" applyBorder="1" applyAlignment="1">
      <alignment vertical="center"/>
    </xf>
    <xf numFmtId="0" fontId="5" fillId="0" borderId="27" xfId="0" applyFont="1" applyFill="1" applyBorder="1" applyAlignment="1">
      <alignment vertical="center"/>
    </xf>
    <xf numFmtId="0" fontId="5" fillId="0" borderId="40" xfId="0" applyFont="1" applyFill="1" applyBorder="1" applyAlignment="1">
      <alignment vertical="center"/>
    </xf>
    <xf numFmtId="0" fontId="5" fillId="34" borderId="5" xfId="0" applyFont="1" applyFill="1" applyBorder="1" applyAlignment="1">
      <alignment horizontal="center" vertical="top" wrapText="1"/>
    </xf>
    <xf numFmtId="0" fontId="5" fillId="0" borderId="5" xfId="0" applyNumberFormat="1" applyFont="1" applyBorder="1" applyAlignment="1">
      <alignment vertical="top" wrapText="1"/>
    </xf>
    <xf numFmtId="2" fontId="5" fillId="5" borderId="51" xfId="0" applyNumberFormat="1" applyFont="1" applyFill="1" applyBorder="1" applyAlignment="1">
      <alignment horizontal="center" vertical="top" wrapText="1"/>
    </xf>
    <xf numFmtId="2" fontId="5" fillId="13" borderId="5" xfId="0" applyNumberFormat="1" applyFont="1" applyFill="1" applyBorder="1" applyAlignment="1">
      <alignment horizontal="center" vertical="top"/>
    </xf>
    <xf numFmtId="0" fontId="5" fillId="0" borderId="0" xfId="0" applyFont="1" applyFill="1" applyBorder="1" applyAlignment="1">
      <alignment vertical="center" wrapText="1"/>
    </xf>
    <xf numFmtId="0" fontId="25" fillId="0" borderId="0" xfId="0" applyFont="1" applyFill="1" applyBorder="1" applyAlignment="1">
      <alignment vertical="center" wrapText="1"/>
    </xf>
    <xf numFmtId="0" fontId="5" fillId="0" borderId="0" xfId="0" applyFont="1" applyBorder="1" applyAlignment="1">
      <alignment vertical="center" wrapText="1"/>
    </xf>
    <xf numFmtId="2" fontId="5" fillId="0" borderId="14" xfId="0" applyNumberFormat="1" applyFont="1" applyFill="1" applyBorder="1" applyAlignment="1">
      <alignment horizontal="left" vertical="top" wrapText="1"/>
    </xf>
    <xf numFmtId="1" fontId="36" fillId="0" borderId="5" xfId="0" applyNumberFormat="1" applyFont="1" applyBorder="1" applyAlignment="1">
      <alignment horizontal="center" vertical="center"/>
    </xf>
    <xf numFmtId="0" fontId="25" fillId="0" borderId="0" xfId="0" applyFont="1" applyFill="1" applyBorder="1" applyAlignment="1">
      <alignment vertical="center"/>
    </xf>
    <xf numFmtId="0" fontId="31" fillId="0" borderId="0" xfId="0" applyFont="1" applyFill="1" applyAlignment="1">
      <alignment vertical="center"/>
    </xf>
    <xf numFmtId="2" fontId="16" fillId="13" borderId="0" xfId="0" applyNumberFormat="1" applyFont="1" applyFill="1" applyBorder="1" applyAlignment="1" applyProtection="1">
      <alignment horizontal="center" vertical="center" wrapText="1"/>
      <protection hidden="1"/>
    </xf>
    <xf numFmtId="0" fontId="5" fillId="2" borderId="11" xfId="0" applyNumberFormat="1" applyFont="1" applyFill="1" applyBorder="1" applyAlignment="1">
      <alignment horizontal="center" vertical="top" wrapText="1"/>
    </xf>
    <xf numFmtId="0" fontId="31" fillId="0" borderId="0" xfId="0" applyFont="1" applyBorder="1" applyAlignment="1">
      <alignment vertical="center" wrapText="1"/>
    </xf>
    <xf numFmtId="2" fontId="5" fillId="13" borderId="22" xfId="0" applyNumberFormat="1" applyFont="1" applyFill="1" applyBorder="1" applyAlignment="1">
      <alignment horizontal="center" vertical="top"/>
    </xf>
    <xf numFmtId="0" fontId="26" fillId="0" borderId="0" xfId="0" applyFont="1" applyAlignment="1">
      <alignment vertical="center"/>
    </xf>
    <xf numFmtId="1" fontId="26" fillId="0" borderId="0" xfId="0" applyNumberFormat="1" applyFont="1" applyFill="1" applyBorder="1" applyAlignment="1">
      <alignment horizontal="center" vertical="top" wrapText="1"/>
    </xf>
    <xf numFmtId="1" fontId="5" fillId="0" borderId="62" xfId="0" applyNumberFormat="1" applyFont="1" applyFill="1" applyBorder="1" applyAlignment="1">
      <alignment horizontal="center" vertical="top" wrapText="1"/>
    </xf>
    <xf numFmtId="1" fontId="5" fillId="0" borderId="71" xfId="0" applyNumberFormat="1" applyFont="1" applyFill="1" applyBorder="1" applyAlignment="1">
      <alignment horizontal="center" vertical="top" wrapText="1"/>
    </xf>
    <xf numFmtId="1" fontId="5" fillId="0" borderId="27" xfId="0" applyNumberFormat="1" applyFont="1" applyFill="1" applyBorder="1" applyAlignment="1">
      <alignment horizontal="center" vertical="top" wrapText="1"/>
    </xf>
    <xf numFmtId="2" fontId="26" fillId="15" borderId="5" xfId="0" applyNumberFormat="1" applyFont="1" applyFill="1" applyBorder="1" applyAlignment="1">
      <alignment horizontal="center" vertical="top"/>
    </xf>
    <xf numFmtId="1" fontId="26" fillId="2" borderId="76" xfId="0" applyNumberFormat="1" applyFont="1" applyFill="1" applyBorder="1" applyAlignment="1">
      <alignment horizontal="center" vertical="top" wrapText="1"/>
    </xf>
    <xf numFmtId="2" fontId="26" fillId="34" borderId="5" xfId="0" applyNumberFormat="1" applyFont="1" applyFill="1" applyBorder="1" applyAlignment="1">
      <alignment horizontal="center" vertical="top" wrapText="1"/>
    </xf>
    <xf numFmtId="0" fontId="23" fillId="0" borderId="0" xfId="0" applyFont="1" applyAlignment="1">
      <alignment vertical="center" wrapText="1"/>
    </xf>
    <xf numFmtId="0" fontId="23" fillId="0" borderId="44" xfId="0" applyFont="1" applyFill="1" applyBorder="1" applyAlignment="1">
      <alignment horizontal="center" vertical="top" wrapText="1"/>
    </xf>
    <xf numFmtId="0" fontId="23" fillId="0" borderId="45" xfId="0" applyFont="1" applyBorder="1" applyAlignment="1">
      <alignment horizontal="center" vertical="top" wrapText="1"/>
    </xf>
    <xf numFmtId="0" fontId="23" fillId="0" borderId="43" xfId="0" applyFont="1" applyBorder="1" applyAlignment="1">
      <alignment vertical="top" wrapText="1"/>
    </xf>
    <xf numFmtId="0" fontId="11" fillId="11" borderId="34" xfId="0" applyFont="1" applyFill="1" applyBorder="1" applyAlignment="1">
      <alignment vertical="center" wrapText="1"/>
    </xf>
    <xf numFmtId="0" fontId="37" fillId="0" borderId="1" xfId="0" applyFont="1" applyBorder="1" applyAlignment="1">
      <alignment horizontal="center" vertical="center" wrapText="1"/>
    </xf>
    <xf numFmtId="0" fontId="39" fillId="0" borderId="5" xfId="0" applyNumberFormat="1" applyFont="1" applyFill="1" applyBorder="1" applyAlignment="1">
      <alignment horizontal="left" vertical="top" wrapText="1"/>
    </xf>
    <xf numFmtId="0" fontId="5" fillId="0" borderId="54" xfId="0" applyNumberFormat="1" applyFont="1" applyFill="1" applyBorder="1" applyAlignment="1">
      <alignment horizontal="left" vertical="top" wrapText="1"/>
    </xf>
    <xf numFmtId="0" fontId="5" fillId="0" borderId="60" xfId="0" applyNumberFormat="1" applyFont="1" applyFill="1" applyBorder="1" applyAlignment="1">
      <alignment horizontal="left" vertical="top" wrapText="1"/>
    </xf>
    <xf numFmtId="0" fontId="36" fillId="0" borderId="5" xfId="0" applyFont="1" applyBorder="1" applyAlignment="1">
      <alignment horizontal="center" vertical="center"/>
    </xf>
    <xf numFmtId="0" fontId="26" fillId="0" borderId="17" xfId="0" applyFont="1" applyFill="1" applyBorder="1" applyAlignment="1">
      <alignment horizontal="left" vertical="top" wrapText="1"/>
    </xf>
    <xf numFmtId="0" fontId="26" fillId="34" borderId="5" xfId="0" applyFont="1" applyFill="1" applyBorder="1" applyAlignment="1">
      <alignment horizontal="center" vertical="top" wrapText="1"/>
    </xf>
    <xf numFmtId="0" fontId="26" fillId="0" borderId="15" xfId="0" applyFont="1" applyFill="1" applyBorder="1" applyAlignment="1">
      <alignment vertical="top" wrapText="1"/>
    </xf>
    <xf numFmtId="0" fontId="28" fillId="0" borderId="43" xfId="0" applyFont="1" applyFill="1" applyBorder="1" applyAlignment="1">
      <alignment horizontal="left" vertical="top" wrapText="1"/>
    </xf>
    <xf numFmtId="2" fontId="26" fillId="15" borderId="5" xfId="0" applyNumberFormat="1" applyFont="1" applyFill="1" applyBorder="1" applyAlignment="1">
      <alignment horizontal="center" vertical="top" wrapText="1"/>
    </xf>
    <xf numFmtId="0" fontId="37" fillId="0" borderId="5" xfId="0" applyFont="1" applyBorder="1" applyAlignment="1">
      <alignment horizontal="center" vertical="center" wrapText="1"/>
    </xf>
    <xf numFmtId="1" fontId="75" fillId="0" borderId="23" xfId="0" applyNumberFormat="1" applyFont="1" applyBorder="1" applyAlignment="1">
      <alignment horizontal="center" vertical="center"/>
    </xf>
    <xf numFmtId="0" fontId="76" fillId="0" borderId="0" xfId="0" applyFont="1" applyAlignment="1">
      <alignment vertical="center"/>
    </xf>
    <xf numFmtId="0" fontId="13" fillId="0" borderId="5" xfId="0" applyFont="1" applyFill="1" applyBorder="1" applyAlignment="1">
      <alignment horizontal="center" vertical="center"/>
    </xf>
    <xf numFmtId="0" fontId="79" fillId="0" borderId="11" xfId="0" applyFont="1" applyFill="1" applyBorder="1" applyAlignment="1">
      <alignment vertical="top" wrapText="1"/>
    </xf>
    <xf numFmtId="2" fontId="79" fillId="35" borderId="5" xfId="0" applyNumberFormat="1" applyFont="1" applyFill="1" applyBorder="1" applyAlignment="1">
      <alignment horizontal="center" vertical="top" wrapText="1"/>
    </xf>
    <xf numFmtId="0" fontId="79" fillId="35" borderId="5" xfId="0" applyFont="1" applyFill="1" applyBorder="1" applyAlignment="1">
      <alignment horizontal="center" vertical="top" wrapText="1"/>
    </xf>
    <xf numFmtId="0" fontId="79" fillId="0" borderId="19" xfId="0" applyFont="1" applyFill="1" applyBorder="1" applyAlignment="1">
      <alignment vertical="top" wrapText="1"/>
    </xf>
    <xf numFmtId="0" fontId="79" fillId="0" borderId="60" xfId="0" applyFont="1" applyFill="1" applyBorder="1" applyAlignment="1">
      <alignment vertical="top" wrapText="1"/>
    </xf>
    <xf numFmtId="0" fontId="79" fillId="0" borderId="14" xfId="0" applyFont="1" applyBorder="1" applyAlignment="1">
      <alignment horizontal="left" vertical="top" wrapText="1"/>
    </xf>
    <xf numFmtId="0" fontId="79" fillId="0" borderId="15" xfId="0" applyFont="1" applyBorder="1" applyAlignment="1">
      <alignment horizontal="left" vertical="top" wrapText="1"/>
    </xf>
    <xf numFmtId="0" fontId="79" fillId="0" borderId="6" xfId="0" applyFont="1" applyBorder="1" applyAlignment="1">
      <alignment horizontal="left" vertical="top" wrapText="1"/>
    </xf>
    <xf numFmtId="0" fontId="79" fillId="0" borderId="50" xfId="0" applyFont="1" applyBorder="1" applyAlignment="1">
      <alignment horizontal="left" vertical="top" wrapText="1"/>
    </xf>
    <xf numFmtId="0" fontId="79" fillId="0" borderId="17" xfId="0" applyFont="1" applyBorder="1" applyAlignment="1">
      <alignment horizontal="left" vertical="top" wrapText="1"/>
    </xf>
    <xf numFmtId="0" fontId="79" fillId="0" borderId="51" xfId="0" applyFont="1" applyFill="1" applyBorder="1" applyAlignment="1">
      <alignment horizontal="center" vertical="top" wrapText="1"/>
    </xf>
    <xf numFmtId="1" fontId="37" fillId="0" borderId="23" xfId="0" applyNumberFormat="1" applyFont="1" applyBorder="1" applyAlignment="1">
      <alignment horizontal="center" vertical="center" wrapText="1"/>
    </xf>
    <xf numFmtId="0" fontId="5" fillId="25" borderId="1" xfId="0" applyFont="1" applyFill="1" applyBorder="1" applyAlignment="1">
      <alignment horizontal="left" vertical="center" wrapText="1"/>
    </xf>
    <xf numFmtId="0" fontId="5" fillId="25" borderId="39" xfId="0" applyFont="1" applyFill="1" applyBorder="1" applyAlignment="1">
      <alignment horizontal="left" vertical="center" wrapText="1"/>
    </xf>
    <xf numFmtId="0" fontId="5" fillId="0" borderId="55" xfId="0" applyFont="1" applyBorder="1" applyAlignment="1">
      <alignment horizontal="left" vertical="center" wrapText="1"/>
    </xf>
    <xf numFmtId="0" fontId="5" fillId="25" borderId="47" xfId="0" applyFont="1" applyFill="1" applyBorder="1" applyAlignment="1">
      <alignment horizontal="left" vertical="center" wrapText="1"/>
    </xf>
    <xf numFmtId="0" fontId="5" fillId="0" borderId="40" xfId="0" applyFont="1" applyBorder="1" applyAlignment="1">
      <alignment horizontal="left" vertical="center" wrapText="1"/>
    </xf>
    <xf numFmtId="0" fontId="41" fillId="0" borderId="23" xfId="0" applyFont="1" applyFill="1" applyBorder="1" applyAlignment="1">
      <alignment horizontal="left" vertical="top" wrapText="1"/>
    </xf>
    <xf numFmtId="0" fontId="5" fillId="0" borderId="18" xfId="0" applyFont="1" applyBorder="1" applyAlignment="1">
      <alignment horizontal="left" vertical="top" wrapText="1"/>
    </xf>
    <xf numFmtId="2" fontId="5" fillId="0" borderId="73" xfId="0" applyNumberFormat="1" applyFont="1" applyBorder="1" applyAlignment="1">
      <alignment horizontal="center" vertical="center"/>
    </xf>
    <xf numFmtId="2" fontId="5" fillId="0" borderId="33" xfId="0" applyNumberFormat="1" applyFont="1" applyBorder="1" applyAlignment="1">
      <alignment horizontal="center" vertical="center"/>
    </xf>
    <xf numFmtId="2" fontId="5" fillId="0" borderId="77" xfId="0" applyNumberFormat="1" applyFont="1" applyBorder="1" applyAlignment="1">
      <alignment horizontal="center" vertical="center"/>
    </xf>
    <xf numFmtId="2" fontId="6" fillId="15" borderId="43" xfId="0" applyNumberFormat="1" applyFont="1" applyFill="1" applyBorder="1" applyAlignment="1" applyProtection="1">
      <alignment horizontal="center" vertical="center" wrapText="1"/>
    </xf>
    <xf numFmtId="0" fontId="5" fillId="15" borderId="61" xfId="0" applyFont="1" applyFill="1" applyBorder="1" applyAlignment="1" applyProtection="1">
      <alignment horizontal="center" vertical="center" wrapText="1"/>
    </xf>
    <xf numFmtId="2" fontId="6" fillId="17" borderId="43" xfId="0" applyNumberFormat="1" applyFont="1" applyFill="1" applyBorder="1" applyAlignment="1" applyProtection="1">
      <alignment horizontal="center" vertical="center" wrapText="1"/>
    </xf>
    <xf numFmtId="0" fontId="5" fillId="17" borderId="61" xfId="0" applyFont="1" applyFill="1" applyBorder="1" applyAlignment="1" applyProtection="1">
      <alignment horizontal="center" vertical="center" wrapText="1"/>
    </xf>
    <xf numFmtId="2" fontId="85" fillId="0" borderId="0" xfId="0" applyNumberFormat="1" applyFont="1" applyFill="1">
      <alignment vertical="top"/>
    </xf>
    <xf numFmtId="0" fontId="41" fillId="0" borderId="23" xfId="0" applyFont="1" applyFill="1" applyBorder="1" applyAlignment="1">
      <alignment horizontal="left" vertical="top" wrapText="1"/>
    </xf>
    <xf numFmtId="0" fontId="41" fillId="0" borderId="46" xfId="0" applyFont="1" applyFill="1" applyBorder="1" applyAlignment="1">
      <alignment horizontal="left" vertical="top" wrapText="1"/>
    </xf>
    <xf numFmtId="0" fontId="5" fillId="0" borderId="22" xfId="0" applyFont="1" applyBorder="1" applyAlignment="1">
      <alignment vertical="top" wrapText="1"/>
    </xf>
    <xf numFmtId="0" fontId="72" fillId="21" borderId="68" xfId="0" applyNumberFormat="1" applyFont="1" applyFill="1" applyBorder="1" applyAlignment="1">
      <alignment horizontal="center" vertical="center" wrapText="1"/>
    </xf>
    <xf numFmtId="0" fontId="41" fillId="0" borderId="53" xfId="0" applyNumberFormat="1" applyFont="1" applyFill="1" applyBorder="1" applyAlignment="1">
      <alignment horizontal="left" vertical="top" wrapText="1"/>
    </xf>
    <xf numFmtId="0" fontId="41" fillId="0" borderId="25" xfId="0" applyFont="1" applyFill="1" applyBorder="1" applyAlignment="1">
      <alignment vertical="center" wrapText="1"/>
    </xf>
    <xf numFmtId="0" fontId="41" fillId="0" borderId="26" xfId="0" applyFont="1" applyFill="1" applyBorder="1" applyAlignment="1">
      <alignment vertical="center" wrapText="1"/>
    </xf>
    <xf numFmtId="49" fontId="41" fillId="0" borderId="26" xfId="0" applyNumberFormat="1" applyFont="1" applyFill="1" applyBorder="1" applyAlignment="1">
      <alignment vertical="center" wrapText="1"/>
    </xf>
    <xf numFmtId="49" fontId="41" fillId="0" borderId="20" xfId="0" applyNumberFormat="1" applyFont="1" applyFill="1" applyBorder="1" applyAlignment="1">
      <alignment vertical="center" wrapText="1"/>
    </xf>
    <xf numFmtId="49" fontId="41" fillId="0" borderId="78" xfId="0" applyNumberFormat="1" applyFont="1" applyFill="1" applyBorder="1" applyAlignment="1">
      <alignment vertical="center" wrapText="1"/>
    </xf>
    <xf numFmtId="0" fontId="41" fillId="0" borderId="25" xfId="0" applyFont="1" applyFill="1" applyBorder="1" applyAlignment="1">
      <alignment horizontal="left" vertical="top" wrapText="1"/>
    </xf>
    <xf numFmtId="0" fontId="41" fillId="0" borderId="26" xfId="0" applyFont="1" applyFill="1" applyBorder="1" applyAlignment="1">
      <alignment horizontal="left" vertical="top" wrapText="1"/>
    </xf>
    <xf numFmtId="0" fontId="41" fillId="0" borderId="20" xfId="0" applyFont="1" applyFill="1" applyBorder="1" applyAlignment="1">
      <alignment horizontal="left" vertical="top" wrapText="1"/>
    </xf>
    <xf numFmtId="0" fontId="41" fillId="0" borderId="34" xfId="0" applyFont="1" applyFill="1" applyBorder="1" applyAlignment="1">
      <alignment horizontal="left" vertical="top" wrapText="1"/>
    </xf>
    <xf numFmtId="0" fontId="41" fillId="0" borderId="78" xfId="0" applyFont="1" applyFill="1" applyBorder="1" applyAlignment="1">
      <alignment horizontal="left" vertical="top" wrapText="1"/>
    </xf>
    <xf numFmtId="0" fontId="41" fillId="0" borderId="25" xfId="0" applyFont="1" applyFill="1" applyBorder="1" applyAlignment="1">
      <alignment vertical="top" wrapText="1"/>
    </xf>
    <xf numFmtId="0" fontId="41" fillId="0" borderId="26" xfId="0" applyFont="1" applyFill="1" applyBorder="1" applyAlignment="1">
      <alignment vertical="top" wrapText="1"/>
    </xf>
    <xf numFmtId="0" fontId="41" fillId="0" borderId="64" xfId="0" applyFont="1" applyFill="1" applyBorder="1" applyAlignment="1">
      <alignment vertical="top" wrapText="1"/>
    </xf>
    <xf numFmtId="0" fontId="41" fillId="0" borderId="20" xfId="0" applyFont="1" applyFill="1" applyBorder="1" applyAlignment="1">
      <alignment vertical="top" wrapText="1"/>
    </xf>
    <xf numFmtId="0" fontId="41" fillId="0" borderId="53" xfId="0" applyFont="1" applyBorder="1" applyAlignment="1">
      <alignment horizontal="left" vertical="top"/>
    </xf>
    <xf numFmtId="0" fontId="41" fillId="0" borderId="14" xfId="0" applyFont="1" applyBorder="1" applyAlignment="1">
      <alignment horizontal="left" vertical="top" wrapText="1"/>
    </xf>
    <xf numFmtId="0" fontId="41" fillId="0" borderId="15" xfId="0" applyFont="1" applyFill="1" applyBorder="1" applyAlignment="1">
      <alignment horizontal="left" vertical="top" wrapText="1"/>
    </xf>
    <xf numFmtId="0" fontId="41" fillId="0" borderId="36" xfId="0" applyFont="1" applyFill="1" applyBorder="1" applyAlignment="1">
      <alignment horizontal="left" vertical="top" wrapText="1"/>
    </xf>
    <xf numFmtId="0" fontId="41" fillId="0" borderId="19" xfId="0" applyFont="1" applyFill="1" applyBorder="1" applyAlignment="1">
      <alignment horizontal="left" vertical="top" wrapText="1"/>
    </xf>
    <xf numFmtId="0" fontId="41" fillId="0" borderId="34" xfId="0" applyFont="1" applyBorder="1" applyAlignment="1">
      <alignment vertical="top" wrapText="1"/>
    </xf>
    <xf numFmtId="0" fontId="41" fillId="0" borderId="19" xfId="0" applyFont="1" applyBorder="1" applyAlignment="1">
      <alignment vertical="top" wrapText="1"/>
    </xf>
    <xf numFmtId="0" fontId="41" fillId="0" borderId="26" xfId="0" applyFont="1" applyBorder="1" applyAlignment="1">
      <alignment vertical="top" wrapText="1"/>
    </xf>
    <xf numFmtId="0" fontId="41" fillId="0" borderId="20" xfId="0" applyFont="1" applyBorder="1" applyAlignment="1">
      <alignment vertical="top" wrapText="1"/>
    </xf>
    <xf numFmtId="0" fontId="41" fillId="0" borderId="68" xfId="0" applyFont="1" applyFill="1" applyBorder="1" applyAlignment="1">
      <alignment horizontal="left" vertical="top" wrapText="1"/>
    </xf>
    <xf numFmtId="0" fontId="41" fillId="0" borderId="22" xfId="0" applyFont="1" applyFill="1" applyBorder="1" applyAlignment="1">
      <alignment horizontal="left" vertical="top" wrapText="1"/>
    </xf>
    <xf numFmtId="0" fontId="41" fillId="0" borderId="64" xfId="0" applyFont="1" applyFill="1" applyBorder="1" applyAlignment="1">
      <alignment horizontal="left" vertical="top" wrapText="1"/>
    </xf>
    <xf numFmtId="0" fontId="41" fillId="0" borderId="34" xfId="0" applyFont="1" applyFill="1" applyBorder="1" applyAlignment="1">
      <alignment vertical="top" wrapText="1"/>
    </xf>
    <xf numFmtId="0" fontId="41" fillId="0" borderId="26" xfId="0" applyFont="1" applyFill="1" applyBorder="1" applyAlignment="1" applyProtection="1">
      <alignment horizontal="left" vertical="top" wrapText="1"/>
    </xf>
    <xf numFmtId="0" fontId="41" fillId="0" borderId="20" xfId="0" applyFont="1" applyFill="1" applyBorder="1" applyAlignment="1" applyProtection="1">
      <alignment horizontal="left" vertical="top" wrapText="1"/>
    </xf>
    <xf numFmtId="0" fontId="5" fillId="4" borderId="18" xfId="0" applyFont="1" applyFill="1" applyBorder="1" applyAlignment="1" applyProtection="1">
      <alignment horizontal="left" vertical="top" wrapText="1"/>
      <protection locked="0"/>
    </xf>
    <xf numFmtId="0" fontId="5" fillId="0" borderId="21" xfId="0" applyFont="1" applyFill="1" applyBorder="1" applyAlignment="1" applyProtection="1">
      <alignment horizontal="center" vertical="top" wrapText="1"/>
      <protection locked="0"/>
    </xf>
    <xf numFmtId="0" fontId="5" fillId="0" borderId="72" xfId="0" applyFont="1" applyFill="1" applyBorder="1" applyAlignment="1" applyProtection="1">
      <alignment horizontal="center" vertical="top" wrapText="1"/>
      <protection locked="0"/>
    </xf>
    <xf numFmtId="0" fontId="5" fillId="0" borderId="42" xfId="0" applyFont="1" applyFill="1" applyBorder="1" applyAlignment="1" applyProtection="1">
      <alignment horizontal="center" vertical="top" wrapText="1"/>
      <protection locked="0"/>
    </xf>
    <xf numFmtId="0" fontId="5" fillId="0" borderId="24" xfId="0" applyFont="1" applyFill="1" applyBorder="1" applyAlignment="1" applyProtection="1">
      <alignment horizontal="center" vertical="top" wrapText="1"/>
      <protection locked="0"/>
    </xf>
    <xf numFmtId="0" fontId="5" fillId="0" borderId="18" xfId="0" applyFont="1" applyFill="1" applyBorder="1" applyAlignment="1" applyProtection="1">
      <alignment horizontal="center" vertical="top"/>
      <protection locked="0"/>
    </xf>
    <xf numFmtId="0" fontId="5" fillId="0" borderId="21" xfId="0" applyFont="1" applyFill="1" applyBorder="1" applyAlignment="1" applyProtection="1">
      <alignment horizontal="center" vertical="top"/>
      <protection locked="0"/>
    </xf>
    <xf numFmtId="0" fontId="5" fillId="0" borderId="72" xfId="0" applyFont="1" applyFill="1" applyBorder="1" applyAlignment="1" applyProtection="1">
      <alignment horizontal="center" vertical="top"/>
      <protection locked="0"/>
    </xf>
    <xf numFmtId="0" fontId="5" fillId="4" borderId="21" xfId="0" applyFont="1" applyFill="1" applyBorder="1" applyAlignment="1" applyProtection="1">
      <alignment horizontal="center" vertical="top" wrapText="1"/>
      <protection locked="0"/>
    </xf>
    <xf numFmtId="0" fontId="41" fillId="0" borderId="23" xfId="0" applyFont="1" applyFill="1" applyBorder="1" applyAlignment="1">
      <alignment vertical="top" wrapText="1"/>
    </xf>
    <xf numFmtId="0" fontId="41" fillId="0" borderId="46" xfId="0" applyFont="1" applyFill="1" applyBorder="1" applyAlignment="1">
      <alignment vertical="top" wrapText="1"/>
    </xf>
    <xf numFmtId="0" fontId="41" fillId="0" borderId="42" xfId="0" applyFont="1" applyFill="1" applyBorder="1" applyAlignment="1">
      <alignment vertical="top" wrapText="1"/>
    </xf>
    <xf numFmtId="2" fontId="5" fillId="0" borderId="26" xfId="0" applyNumberFormat="1" applyFont="1" applyBorder="1" applyAlignment="1">
      <alignment vertical="top" wrapText="1"/>
    </xf>
    <xf numFmtId="0" fontId="5" fillId="29" borderId="34" xfId="1" applyFont="1" applyFill="1" applyBorder="1" applyAlignment="1">
      <alignment vertical="top" wrapText="1"/>
    </xf>
    <xf numFmtId="0" fontId="5" fillId="28" borderId="29" xfId="1" applyFont="1" applyFill="1" applyBorder="1" applyAlignment="1" applyProtection="1">
      <alignment horizontal="center" vertical="top" wrapText="1"/>
      <protection locked="0"/>
    </xf>
    <xf numFmtId="0" fontId="5" fillId="28" borderId="21" xfId="1" applyFont="1" applyFill="1" applyBorder="1" applyAlignment="1" applyProtection="1">
      <alignment horizontal="center" vertical="top" wrapText="1"/>
      <protection locked="0"/>
    </xf>
    <xf numFmtId="0" fontId="5" fillId="0" borderId="21" xfId="1" applyFont="1" applyFill="1" applyBorder="1" applyAlignment="1" applyProtection="1">
      <alignment horizontal="center" vertical="center"/>
      <protection locked="0"/>
    </xf>
    <xf numFmtId="0" fontId="5" fillId="28" borderId="21" xfId="1" applyFont="1" applyFill="1" applyBorder="1" applyAlignment="1" applyProtection="1">
      <alignment horizontal="center" vertical="center" wrapText="1"/>
      <protection locked="0"/>
    </xf>
    <xf numFmtId="0" fontId="5" fillId="0" borderId="72" xfId="1" applyFont="1" applyFill="1" applyBorder="1" applyAlignment="1" applyProtection="1">
      <alignment horizontal="center" vertical="center"/>
      <protection locked="0"/>
    </xf>
    <xf numFmtId="0" fontId="5" fillId="0" borderId="24" xfId="1" applyFont="1" applyFill="1" applyBorder="1" applyAlignment="1" applyProtection="1">
      <alignment horizontal="center" vertical="center"/>
      <protection locked="0"/>
    </xf>
    <xf numFmtId="1" fontId="10" fillId="0" borderId="27" xfId="1" applyNumberFormat="1" applyFont="1" applyBorder="1" applyAlignment="1" applyProtection="1">
      <alignment horizontal="center" vertical="center"/>
      <protection locked="0"/>
    </xf>
    <xf numFmtId="0" fontId="0" fillId="0" borderId="21" xfId="0" applyFill="1" applyBorder="1" applyAlignment="1" applyProtection="1">
      <alignment horizontal="center" vertical="top"/>
      <protection locked="0"/>
    </xf>
    <xf numFmtId="0" fontId="5" fillId="0" borderId="18" xfId="0" applyFont="1" applyBorder="1" applyAlignment="1" applyProtection="1">
      <alignment horizontal="center" vertical="top" wrapText="1"/>
      <protection locked="0"/>
    </xf>
    <xf numFmtId="0" fontId="5" fillId="0" borderId="21" xfId="0" applyFont="1" applyBorder="1" applyAlignment="1" applyProtection="1">
      <alignment horizontal="center" vertical="top" wrapText="1"/>
      <protection locked="0"/>
    </xf>
    <xf numFmtId="0" fontId="5" fillId="0" borderId="72" xfId="0" applyFont="1" applyBorder="1" applyAlignment="1" applyProtection="1">
      <alignment horizontal="center" vertical="top" wrapText="1"/>
      <protection locked="0"/>
    </xf>
    <xf numFmtId="1" fontId="0" fillId="0" borderId="21" xfId="0" applyNumberFormat="1" applyFill="1" applyBorder="1" applyAlignment="1" applyProtection="1">
      <alignment horizontal="center" vertical="center"/>
      <protection locked="0"/>
    </xf>
    <xf numFmtId="0" fontId="5" fillId="0" borderId="21" xfId="0" applyFont="1" applyBorder="1" applyAlignment="1" applyProtection="1">
      <alignment horizontal="center" vertical="top"/>
      <protection locked="0"/>
    </xf>
    <xf numFmtId="0" fontId="5" fillId="0" borderId="72" xfId="0" applyFont="1" applyBorder="1" applyAlignment="1" applyProtection="1">
      <alignment horizontal="center" vertical="top"/>
      <protection locked="0"/>
    </xf>
    <xf numFmtId="2" fontId="1" fillId="0" borderId="5" xfId="0" applyNumberFormat="1" applyFont="1" applyBorder="1" applyAlignment="1" applyProtection="1">
      <alignment vertical="center"/>
      <protection locked="0"/>
    </xf>
    <xf numFmtId="0" fontId="5" fillId="0" borderId="18" xfId="0" applyFont="1" applyBorder="1" applyAlignment="1" applyProtection="1">
      <alignment horizontal="center" vertical="top"/>
      <protection locked="0"/>
    </xf>
    <xf numFmtId="0" fontId="1" fillId="0" borderId="5" xfId="0" applyFont="1" applyBorder="1" applyAlignment="1" applyProtection="1">
      <alignment horizontal="center" vertical="center"/>
      <protection locked="0"/>
    </xf>
    <xf numFmtId="0" fontId="5" fillId="0" borderId="5" xfId="0" applyFont="1" applyBorder="1" applyAlignment="1" applyProtection="1">
      <alignment horizontal="center" vertical="top"/>
      <protection locked="0"/>
    </xf>
    <xf numFmtId="0" fontId="0" fillId="0" borderId="5" xfId="0" applyFill="1" applyBorder="1" applyAlignment="1" applyProtection="1">
      <alignment horizontal="center" vertical="top"/>
      <protection locked="0"/>
    </xf>
    <xf numFmtId="0" fontId="5" fillId="0" borderId="42" xfId="0" applyFont="1" applyFill="1" applyBorder="1" applyAlignment="1" applyProtection="1">
      <alignment horizontal="center" vertical="top"/>
      <protection locked="0"/>
    </xf>
    <xf numFmtId="0" fontId="44" fillId="0" borderId="5" xfId="0" applyFont="1" applyBorder="1" applyAlignment="1" applyProtection="1">
      <alignment horizontal="center" vertical="top" wrapText="1"/>
      <protection locked="0"/>
    </xf>
    <xf numFmtId="0" fontId="5" fillId="0" borderId="42" xfId="0" applyFont="1" applyBorder="1" applyAlignment="1" applyProtection="1">
      <alignment horizontal="center" vertical="top"/>
      <protection locked="0"/>
    </xf>
    <xf numFmtId="1" fontId="5" fillId="0" borderId="24" xfId="0" applyNumberFormat="1" applyFont="1" applyBorder="1" applyAlignment="1" applyProtection="1">
      <alignment horizontal="center" vertical="top"/>
      <protection locked="0"/>
    </xf>
    <xf numFmtId="0" fontId="44" fillId="0" borderId="21" xfId="0" applyFont="1" applyBorder="1" applyAlignment="1" applyProtection="1">
      <alignment horizontal="center" vertical="top" wrapText="1"/>
      <protection locked="0"/>
    </xf>
    <xf numFmtId="0" fontId="44" fillId="0" borderId="18" xfId="0" applyFont="1" applyBorder="1" applyAlignment="1" applyProtection="1">
      <alignment horizontal="center" vertical="top" wrapText="1"/>
      <protection locked="0"/>
    </xf>
    <xf numFmtId="0" fontId="44" fillId="0" borderId="24" xfId="0" applyFont="1" applyBorder="1" applyAlignment="1" applyProtection="1">
      <alignment horizontal="center" vertical="top" wrapText="1"/>
      <protection locked="0"/>
    </xf>
    <xf numFmtId="0" fontId="5" fillId="0" borderId="28" xfId="0" applyFont="1" applyBorder="1" applyAlignment="1">
      <alignment horizontal="center" vertical="center"/>
    </xf>
    <xf numFmtId="0" fontId="5" fillId="0" borderId="27" xfId="0" applyFont="1" applyBorder="1" applyAlignment="1">
      <alignment horizontal="center" vertical="center"/>
    </xf>
    <xf numFmtId="0" fontId="5" fillId="0" borderId="62" xfId="0" applyFont="1" applyBorder="1" applyAlignment="1">
      <alignment horizontal="center" vertical="center"/>
    </xf>
    <xf numFmtId="2" fontId="5" fillId="0" borderId="12" xfId="0" applyNumberFormat="1" applyFont="1" applyBorder="1" applyAlignment="1">
      <alignment horizontal="center" vertical="center"/>
    </xf>
    <xf numFmtId="2" fontId="5" fillId="0" borderId="66" xfId="0" applyNumberFormat="1" applyFont="1" applyBorder="1" applyAlignment="1">
      <alignment horizontal="center" vertical="center"/>
    </xf>
    <xf numFmtId="0" fontId="5" fillId="0" borderId="55" xfId="0" applyFont="1" applyBorder="1" applyAlignment="1">
      <alignment horizontal="center" vertical="center"/>
    </xf>
    <xf numFmtId="2" fontId="5" fillId="0" borderId="50" xfId="0" applyNumberFormat="1" applyFont="1" applyBorder="1" applyAlignment="1">
      <alignment horizontal="center" vertical="center"/>
    </xf>
    <xf numFmtId="0" fontId="5" fillId="0" borderId="40" xfId="0" applyFont="1" applyBorder="1" applyAlignment="1">
      <alignment horizontal="center" vertical="center"/>
    </xf>
    <xf numFmtId="2" fontId="108" fillId="14" borderId="0" xfId="0" applyNumberFormat="1" applyFont="1" applyFill="1" applyBorder="1" applyAlignment="1">
      <alignment horizontal="center"/>
    </xf>
    <xf numFmtId="0" fontId="108" fillId="14" borderId="0" xfId="0" applyFont="1" applyFill="1" applyBorder="1" applyAlignment="1">
      <alignment horizontal="center"/>
    </xf>
    <xf numFmtId="2" fontId="108" fillId="14" borderId="0" xfId="0" applyNumberFormat="1" applyFont="1" applyFill="1" applyBorder="1" applyAlignment="1">
      <alignment horizontal="center" vertical="top"/>
    </xf>
    <xf numFmtId="2" fontId="109" fillId="14" borderId="0" xfId="0" applyNumberFormat="1" applyFont="1" applyFill="1" applyBorder="1" applyAlignment="1">
      <alignment horizontal="center" vertical="top"/>
    </xf>
    <xf numFmtId="2" fontId="109" fillId="14" borderId="0" xfId="0" applyNumberFormat="1" applyFont="1" applyFill="1" applyBorder="1" applyAlignment="1" applyProtection="1">
      <alignment horizontal="center" vertical="top" wrapText="1"/>
    </xf>
    <xf numFmtId="0" fontId="87" fillId="0" borderId="68" xfId="0" applyFont="1" applyFill="1" applyBorder="1" applyAlignment="1">
      <alignment horizontal="center" vertical="center" wrapText="1"/>
    </xf>
    <xf numFmtId="0" fontId="87" fillId="0" borderId="59" xfId="0" applyFont="1" applyFill="1" applyBorder="1" applyAlignment="1">
      <alignment vertical="center" wrapText="1"/>
    </xf>
    <xf numFmtId="2" fontId="87" fillId="0" borderId="59" xfId="0" applyNumberFormat="1" applyFont="1" applyBorder="1" applyAlignment="1">
      <alignment horizontal="left" vertical="center" wrapText="1"/>
    </xf>
    <xf numFmtId="2" fontId="87" fillId="0" borderId="59" xfId="0" applyNumberFormat="1" applyFont="1" applyFill="1" applyBorder="1" applyAlignment="1">
      <alignment horizontal="left" vertical="center" wrapText="1"/>
    </xf>
    <xf numFmtId="2" fontId="87" fillId="0" borderId="30" xfId="0" applyNumberFormat="1" applyFont="1" applyBorder="1" applyAlignment="1">
      <alignment horizontal="left" vertical="center" wrapText="1"/>
    </xf>
    <xf numFmtId="0" fontId="90" fillId="27" borderId="61" xfId="0" applyFont="1" applyFill="1" applyBorder="1" applyAlignment="1" applyProtection="1">
      <alignment horizontal="center" vertical="center" wrapText="1"/>
    </xf>
    <xf numFmtId="0" fontId="5" fillId="19" borderId="27" xfId="0" applyFont="1" applyFill="1" applyBorder="1" applyAlignment="1" applyProtection="1">
      <alignment horizontal="center" vertical="center" wrapText="1"/>
      <protection locked="0"/>
    </xf>
    <xf numFmtId="0" fontId="5" fillId="0" borderId="27" xfId="0" applyFont="1" applyBorder="1" applyAlignment="1" applyProtection="1">
      <alignment horizontal="center" vertical="center" wrapText="1"/>
      <protection locked="0"/>
    </xf>
    <xf numFmtId="0" fontId="10" fillId="0" borderId="27" xfId="0" applyFont="1" applyBorder="1" applyAlignment="1" applyProtection="1">
      <alignment horizontal="center" vertical="center"/>
      <protection locked="0"/>
    </xf>
    <xf numFmtId="0" fontId="10" fillId="19" borderId="27" xfId="0" applyFont="1" applyFill="1" applyBorder="1" applyAlignment="1" applyProtection="1">
      <alignment horizontal="center" vertical="center"/>
      <protection locked="0"/>
    </xf>
    <xf numFmtId="1" fontId="45" fillId="19" borderId="27" xfId="1" applyNumberFormat="1" applyFont="1" applyFill="1" applyBorder="1" applyAlignment="1" applyProtection="1">
      <alignment horizontal="center" vertical="center"/>
    </xf>
    <xf numFmtId="2" fontId="45" fillId="19" borderId="27" xfId="1" applyNumberFormat="1" applyFont="1" applyFill="1" applyBorder="1" applyAlignment="1" applyProtection="1">
      <alignment horizontal="center" vertical="center"/>
    </xf>
    <xf numFmtId="0" fontId="5" fillId="0" borderId="28" xfId="0" applyFont="1" applyFill="1" applyBorder="1" applyAlignment="1" applyProtection="1">
      <alignment horizontal="center" vertical="center" wrapText="1"/>
      <protection locked="0"/>
    </xf>
    <xf numFmtId="0" fontId="5" fillId="19" borderId="27" xfId="0" applyFont="1" applyFill="1" applyBorder="1" applyAlignment="1" applyProtection="1">
      <alignment horizontal="center" vertical="top" wrapText="1"/>
      <protection locked="0"/>
    </xf>
    <xf numFmtId="0" fontId="53" fillId="19" borderId="27" xfId="0" applyFont="1" applyFill="1" applyBorder="1" applyAlignment="1" applyProtection="1">
      <alignment horizontal="center" vertical="top"/>
      <protection locked="0"/>
    </xf>
    <xf numFmtId="0" fontId="10" fillId="0" borderId="27" xfId="0" applyFont="1" applyBorder="1" applyAlignment="1" applyProtection="1">
      <alignment horizontal="center" vertical="top"/>
      <protection locked="0"/>
    </xf>
    <xf numFmtId="2" fontId="45" fillId="19" borderId="40" xfId="1" applyNumberFormat="1" applyFont="1" applyFill="1" applyBorder="1" applyAlignment="1" applyProtection="1">
      <alignment horizontal="center" vertical="center"/>
    </xf>
    <xf numFmtId="49" fontId="6" fillId="0" borderId="18" xfId="0" applyNumberFormat="1" applyFont="1" applyFill="1" applyBorder="1" applyAlignment="1" applyProtection="1">
      <alignment horizontal="center" wrapText="1"/>
      <protection locked="0"/>
    </xf>
    <xf numFmtId="49" fontId="4" fillId="0" borderId="21" xfId="0" applyNumberFormat="1" applyFont="1" applyFill="1" applyBorder="1" applyAlignment="1" applyProtection="1">
      <alignment horizontal="center" vertical="top" wrapText="1"/>
      <protection locked="0"/>
    </xf>
    <xf numFmtId="49" fontId="4" fillId="0" borderId="21" xfId="0" applyNumberFormat="1" applyFont="1" applyBorder="1" applyAlignment="1" applyProtection="1">
      <alignment horizontal="center" vertical="top" wrapText="1"/>
      <protection locked="0"/>
    </xf>
    <xf numFmtId="49" fontId="5" fillId="0" borderId="46" xfId="0" applyNumberFormat="1" applyFont="1" applyBorder="1" applyAlignment="1" applyProtection="1">
      <alignment horizontal="center" vertical="top" wrapText="1"/>
      <protection locked="0"/>
    </xf>
    <xf numFmtId="49" fontId="17" fillId="0" borderId="24" xfId="0" applyNumberFormat="1" applyFont="1" applyBorder="1" applyAlignment="1" applyProtection="1">
      <alignment vertical="top" wrapText="1"/>
      <protection locked="0"/>
    </xf>
    <xf numFmtId="0" fontId="108" fillId="14" borderId="0" xfId="0" applyFont="1" applyFill="1" applyBorder="1" applyAlignment="1">
      <alignment horizontal="center" vertical="top"/>
    </xf>
    <xf numFmtId="0" fontId="94" fillId="19" borderId="5" xfId="0" applyFont="1" applyFill="1" applyBorder="1" applyAlignment="1" applyProtection="1">
      <alignment horizontal="center" vertical="center" wrapText="1"/>
      <protection locked="0"/>
    </xf>
    <xf numFmtId="0" fontId="44" fillId="0" borderId="21" xfId="0" applyFont="1" applyBorder="1" applyAlignment="1" applyProtection="1">
      <alignment horizontal="center" vertical="top"/>
      <protection locked="0"/>
    </xf>
    <xf numFmtId="0" fontId="44" fillId="36" borderId="21" xfId="0" applyFont="1" applyFill="1" applyBorder="1" applyAlignment="1" applyProtection="1">
      <alignment horizontal="center" vertical="top" wrapText="1"/>
      <protection locked="0"/>
    </xf>
    <xf numFmtId="0" fontId="44" fillId="37" borderId="21" xfId="0" applyFont="1" applyFill="1" applyBorder="1" applyAlignment="1" applyProtection="1">
      <alignment horizontal="center" vertical="top"/>
      <protection locked="0"/>
    </xf>
    <xf numFmtId="0" fontId="44" fillId="0" borderId="72" xfId="0" applyFont="1" applyBorder="1" applyAlignment="1" applyProtection="1">
      <alignment horizontal="center" vertical="top" wrapText="1"/>
      <protection locked="0"/>
    </xf>
    <xf numFmtId="0" fontId="44" fillId="36" borderId="18" xfId="0" applyFont="1" applyFill="1" applyBorder="1" applyAlignment="1" applyProtection="1">
      <alignment horizontal="center" vertical="top" wrapText="1"/>
      <protection locked="0"/>
    </xf>
    <xf numFmtId="0" fontId="44" fillId="0" borderId="21" xfId="0" applyFont="1" applyFill="1" applyBorder="1" applyAlignment="1" applyProtection="1">
      <alignment horizontal="center" vertical="top" wrapText="1"/>
      <protection locked="0"/>
    </xf>
    <xf numFmtId="0" fontId="44" fillId="0" borderId="21" xfId="0" applyFont="1" applyFill="1" applyBorder="1" applyAlignment="1" applyProtection="1">
      <alignment horizontal="center" vertical="top"/>
      <protection locked="0"/>
    </xf>
    <xf numFmtId="0" fontId="106" fillId="38" borderId="21" xfId="0" applyFont="1" applyFill="1" applyBorder="1" applyAlignment="1" applyProtection="1">
      <alignment horizontal="center" vertical="top"/>
      <protection locked="0"/>
    </xf>
    <xf numFmtId="0" fontId="0" fillId="0" borderId="5" xfId="0" applyBorder="1" applyAlignment="1" applyProtection="1">
      <alignment horizontal="center" vertical="center"/>
      <protection locked="0"/>
    </xf>
    <xf numFmtId="164" fontId="44" fillId="0" borderId="21" xfId="0" applyNumberFormat="1" applyFont="1" applyBorder="1" applyAlignment="1" applyProtection="1">
      <alignment horizontal="center" vertical="top"/>
      <protection locked="0"/>
    </xf>
    <xf numFmtId="0" fontId="44" fillId="0" borderId="72" xfId="0" applyFont="1" applyBorder="1" applyAlignment="1" applyProtection="1">
      <alignment horizontal="center" vertical="top"/>
      <protection locked="0"/>
    </xf>
    <xf numFmtId="0" fontId="44" fillId="36" borderId="29" xfId="0" applyFont="1" applyFill="1" applyBorder="1" applyAlignment="1" applyProtection="1">
      <alignment horizontal="center" vertical="top" wrapText="1"/>
      <protection locked="0"/>
    </xf>
    <xf numFmtId="0" fontId="5" fillId="0" borderId="21" xfId="0" applyFont="1" applyFill="1" applyBorder="1" applyAlignment="1" applyProtection="1">
      <alignment horizontal="left" vertical="top"/>
      <protection locked="0"/>
    </xf>
    <xf numFmtId="0" fontId="44" fillId="36" borderId="24" xfId="0" applyFont="1" applyFill="1" applyBorder="1" applyAlignment="1" applyProtection="1">
      <alignment horizontal="center" vertical="top" wrapText="1"/>
      <protection locked="0"/>
    </xf>
    <xf numFmtId="0" fontId="25" fillId="19" borderId="5" xfId="0" applyFont="1" applyFill="1" applyBorder="1" applyAlignment="1" applyProtection="1">
      <alignment horizontal="center" vertical="center" wrapText="1"/>
      <protection locked="0"/>
    </xf>
    <xf numFmtId="0" fontId="79" fillId="0" borderId="42" xfId="0" applyFont="1" applyFill="1" applyBorder="1" applyAlignment="1">
      <alignment vertical="top" wrapText="1"/>
    </xf>
    <xf numFmtId="0" fontId="79" fillId="0" borderId="33" xfId="0" applyFont="1" applyBorder="1" applyAlignment="1">
      <alignment vertical="top" wrapText="1"/>
    </xf>
    <xf numFmtId="0" fontId="79" fillId="0" borderId="54" xfId="0" applyFont="1" applyBorder="1" applyAlignment="1">
      <alignment vertical="top" wrapText="1"/>
    </xf>
    <xf numFmtId="1" fontId="79" fillId="2" borderId="65" xfId="0" applyNumberFormat="1" applyFont="1" applyFill="1" applyBorder="1" applyAlignment="1">
      <alignment horizontal="center" vertical="top" wrapText="1"/>
    </xf>
    <xf numFmtId="0" fontId="79" fillId="2" borderId="66" xfId="0" applyFont="1" applyFill="1" applyBorder="1" applyAlignment="1">
      <alignment horizontal="center" vertical="top" wrapText="1"/>
    </xf>
    <xf numFmtId="0" fontId="79" fillId="2" borderId="35" xfId="0" applyFont="1" applyFill="1" applyBorder="1" applyAlignment="1">
      <alignment horizontal="center" vertical="top" wrapText="1"/>
    </xf>
    <xf numFmtId="2" fontId="79" fillId="7" borderId="5" xfId="0" applyNumberFormat="1" applyFont="1" applyFill="1" applyBorder="1" applyAlignment="1">
      <alignment horizontal="center" vertical="top" wrapText="1"/>
    </xf>
    <xf numFmtId="2" fontId="79" fillId="2" borderId="28" xfId="0" applyNumberFormat="1" applyFont="1" applyFill="1" applyBorder="1" applyAlignment="1">
      <alignment horizontal="center" vertical="top" wrapText="1"/>
    </xf>
    <xf numFmtId="2" fontId="79" fillId="2" borderId="27" xfId="0" applyNumberFormat="1" applyFont="1" applyFill="1" applyBorder="1" applyAlignment="1">
      <alignment horizontal="center" vertical="top" wrapText="1"/>
    </xf>
    <xf numFmtId="2" fontId="79" fillId="2" borderId="40" xfId="0" applyNumberFormat="1" applyFont="1" applyFill="1" applyBorder="1" applyAlignment="1">
      <alignment horizontal="center" vertical="top" wrapText="1"/>
    </xf>
    <xf numFmtId="0" fontId="55" fillId="21" borderId="1" xfId="0" applyFont="1" applyFill="1" applyBorder="1" applyAlignment="1">
      <alignment horizontal="center" vertical="center"/>
    </xf>
    <xf numFmtId="0" fontId="71" fillId="21" borderId="1" xfId="0" applyFont="1" applyFill="1" applyBorder="1" applyAlignment="1">
      <alignment horizontal="center" vertical="center" wrapText="1"/>
    </xf>
    <xf numFmtId="0" fontId="72" fillId="21" borderId="1" xfId="0" applyNumberFormat="1" applyFont="1" applyFill="1" applyBorder="1" applyAlignment="1">
      <alignment horizontal="left" vertical="center" wrapText="1"/>
    </xf>
    <xf numFmtId="0" fontId="72" fillId="21" borderId="1" xfId="0" applyNumberFormat="1" applyFont="1" applyFill="1" applyBorder="1" applyAlignment="1">
      <alignment horizontal="center" vertical="center" wrapText="1"/>
    </xf>
    <xf numFmtId="0" fontId="0" fillId="0" borderId="0" xfId="0" applyAlignment="1"/>
    <xf numFmtId="0" fontId="71" fillId="0" borderId="1" xfId="0" applyNumberFormat="1" applyFont="1" applyBorder="1" applyAlignment="1">
      <alignment horizontal="left" vertical="center" wrapText="1"/>
    </xf>
    <xf numFmtId="0" fontId="41" fillId="0" borderId="1" xfId="0" applyNumberFormat="1" applyFont="1" applyBorder="1" applyAlignment="1">
      <alignment horizontal="left" vertical="center" wrapText="1"/>
    </xf>
    <xf numFmtId="0" fontId="71" fillId="0" borderId="1" xfId="0" applyFont="1" applyBorder="1" applyAlignment="1">
      <alignment horizontal="left" vertical="center" wrapText="1"/>
    </xf>
    <xf numFmtId="0" fontId="41" fillId="0" borderId="1" xfId="0" applyFont="1" applyBorder="1" applyAlignment="1">
      <alignment horizontal="left" vertical="center" wrapText="1"/>
    </xf>
    <xf numFmtId="0" fontId="0" fillId="0" borderId="0" xfId="0" applyBorder="1" applyAlignment="1"/>
    <xf numFmtId="49" fontId="41" fillId="0" borderId="1" xfId="0" applyNumberFormat="1" applyFont="1" applyBorder="1" applyAlignment="1">
      <alignment horizontal="left" vertical="center" wrapText="1"/>
    </xf>
    <xf numFmtId="0" fontId="5" fillId="0" borderId="1" xfId="0" applyFont="1" applyBorder="1" applyAlignment="1">
      <alignment horizontal="center" vertical="center"/>
    </xf>
    <xf numFmtId="0" fontId="41" fillId="0" borderId="1" xfId="0" applyFont="1" applyBorder="1" applyAlignment="1">
      <alignment horizontal="center" vertical="center" wrapText="1"/>
    </xf>
    <xf numFmtId="0" fontId="5" fillId="18" borderId="1" xfId="0" applyFont="1" applyFill="1" applyBorder="1" applyAlignment="1">
      <alignment horizontal="center" vertical="center"/>
    </xf>
    <xf numFmtId="0" fontId="41" fillId="18" borderId="1" xfId="0" applyFont="1" applyFill="1" applyBorder="1" applyAlignment="1">
      <alignment horizontal="center" vertical="center" wrapText="1"/>
    </xf>
    <xf numFmtId="0" fontId="71" fillId="18" borderId="1" xfId="0" applyFont="1" applyFill="1" applyBorder="1" applyAlignment="1">
      <alignment horizontal="left" vertical="center" wrapText="1"/>
    </xf>
    <xf numFmtId="0" fontId="0" fillId="18" borderId="0" xfId="0" applyFill="1" applyAlignment="1"/>
    <xf numFmtId="0" fontId="0" fillId="0" borderId="0" xfId="0" applyBorder="1" applyAlignment="1">
      <alignment horizontal="center" vertical="center"/>
    </xf>
    <xf numFmtId="0" fontId="0" fillId="0" borderId="0" xfId="0" applyBorder="1" applyAlignment="1">
      <alignment horizontal="left" vertical="center"/>
    </xf>
    <xf numFmtId="0" fontId="10" fillId="0" borderId="0" xfId="0" applyFont="1">
      <alignment vertical="top"/>
    </xf>
    <xf numFmtId="0" fontId="5" fillId="0" borderId="1" xfId="0" applyFont="1" applyFill="1" applyBorder="1" applyAlignment="1">
      <alignment horizontal="center" vertical="center"/>
    </xf>
    <xf numFmtId="0" fontId="41" fillId="0" borderId="1" xfId="0" applyFont="1" applyFill="1" applyBorder="1" applyAlignment="1">
      <alignment horizontal="center" vertical="center" wrapText="1"/>
    </xf>
    <xf numFmtId="0" fontId="71" fillId="0" borderId="1" xfId="0" applyFont="1" applyFill="1" applyBorder="1" applyAlignment="1">
      <alignment horizontal="left" vertical="center" wrapText="1"/>
    </xf>
    <xf numFmtId="0" fontId="0" fillId="0" borderId="0" xfId="0" applyFill="1" applyAlignment="1"/>
    <xf numFmtId="0" fontId="5" fillId="0" borderId="23" xfId="0" applyFont="1" applyFill="1" applyBorder="1" applyAlignment="1">
      <alignment horizontal="left" vertical="top" wrapText="1"/>
    </xf>
    <xf numFmtId="0" fontId="5" fillId="0" borderId="46" xfId="0" applyFont="1" applyFill="1" applyBorder="1" applyAlignment="1">
      <alignment horizontal="left" vertical="top" wrapText="1"/>
    </xf>
    <xf numFmtId="0" fontId="5" fillId="0" borderId="42" xfId="0" applyFont="1" applyFill="1" applyBorder="1" applyAlignment="1">
      <alignment horizontal="left" vertical="top" wrapText="1"/>
    </xf>
    <xf numFmtId="0" fontId="5" fillId="0" borderId="23" xfId="0" applyFont="1" applyBorder="1" applyAlignment="1">
      <alignment horizontal="left" vertical="top" wrapText="1"/>
    </xf>
    <xf numFmtId="0" fontId="5" fillId="0" borderId="46" xfId="0" applyFont="1" applyBorder="1" applyAlignment="1">
      <alignment horizontal="left" vertical="top" wrapText="1"/>
    </xf>
    <xf numFmtId="0" fontId="5" fillId="0" borderId="42" xfId="0" applyFont="1" applyBorder="1" applyAlignment="1">
      <alignment horizontal="left" vertical="top" wrapText="1"/>
    </xf>
    <xf numFmtId="0" fontId="41" fillId="0" borderId="23" xfId="0" applyFont="1" applyFill="1" applyBorder="1" applyAlignment="1">
      <alignment horizontal="left" vertical="top" wrapText="1"/>
    </xf>
    <xf numFmtId="0" fontId="41" fillId="0" borderId="46" xfId="0" applyFont="1" applyFill="1" applyBorder="1" applyAlignment="1">
      <alignment horizontal="left" vertical="top" wrapText="1"/>
    </xf>
    <xf numFmtId="0" fontId="41" fillId="0" borderId="42" xfId="0" applyFont="1" applyFill="1" applyBorder="1" applyAlignment="1">
      <alignment horizontal="left" vertical="top" wrapText="1"/>
    </xf>
    <xf numFmtId="0" fontId="41" fillId="0" borderId="23" xfId="0" applyFont="1" applyFill="1" applyBorder="1" applyAlignment="1" applyProtection="1">
      <alignment horizontal="left" vertical="top" wrapText="1"/>
    </xf>
    <xf numFmtId="0" fontId="41" fillId="0" borderId="46" xfId="0" applyFont="1" applyFill="1" applyBorder="1" applyAlignment="1" applyProtection="1">
      <alignment horizontal="left" vertical="top" wrapText="1"/>
    </xf>
    <xf numFmtId="0" fontId="41" fillId="0" borderId="42" xfId="0" applyFont="1" applyFill="1" applyBorder="1" applyAlignment="1" applyProtection="1">
      <alignment horizontal="left" vertical="top" wrapText="1"/>
    </xf>
    <xf numFmtId="0" fontId="6" fillId="0" borderId="34" xfId="0" applyFont="1" applyFill="1" applyBorder="1" applyAlignment="1" applyProtection="1">
      <alignment horizontal="left" vertical="top" wrapText="1"/>
      <protection locked="0"/>
    </xf>
    <xf numFmtId="0" fontId="64" fillId="0" borderId="41" xfId="0" applyFont="1" applyFill="1" applyBorder="1" applyAlignment="1" applyProtection="1">
      <alignment horizontal="left" vertical="top" wrapText="1"/>
      <protection locked="0"/>
    </xf>
    <xf numFmtId="0" fontId="71" fillId="0" borderId="34" xfId="0" applyFont="1" applyFill="1" applyBorder="1" applyAlignment="1" applyProtection="1">
      <alignment horizontal="left" vertical="top"/>
      <protection locked="0"/>
    </xf>
    <xf numFmtId="0" fontId="71" fillId="0" borderId="41" xfId="0" applyFont="1" applyFill="1" applyBorder="1" applyAlignment="1" applyProtection="1">
      <alignment horizontal="left" vertical="top"/>
      <protection locked="0"/>
    </xf>
    <xf numFmtId="1" fontId="5" fillId="0" borderId="23" xfId="0" applyNumberFormat="1" applyFont="1" applyFill="1" applyBorder="1" applyAlignment="1">
      <alignment horizontal="left" vertical="top" wrapText="1"/>
    </xf>
    <xf numFmtId="1" fontId="5" fillId="0" borderId="46" xfId="0" applyNumberFormat="1" applyFont="1" applyFill="1" applyBorder="1" applyAlignment="1">
      <alignment horizontal="left" vertical="top" wrapText="1"/>
    </xf>
    <xf numFmtId="1" fontId="5" fillId="0" borderId="42" xfId="0" applyNumberFormat="1" applyFont="1" applyFill="1" applyBorder="1" applyAlignment="1">
      <alignment horizontal="left" vertical="top" wrapText="1"/>
    </xf>
    <xf numFmtId="0" fontId="53" fillId="11" borderId="34" xfId="0" applyFont="1" applyFill="1" applyBorder="1" applyAlignment="1" applyProtection="1">
      <alignment horizontal="left" vertical="top" wrapText="1"/>
      <protection locked="0"/>
    </xf>
    <xf numFmtId="0" fontId="53" fillId="11" borderId="53" xfId="0" applyFont="1" applyFill="1" applyBorder="1" applyAlignment="1" applyProtection="1">
      <alignment horizontal="left" vertical="top" wrapText="1"/>
      <protection locked="0"/>
    </xf>
    <xf numFmtId="0" fontId="53" fillId="11" borderId="41" xfId="0" applyFont="1" applyFill="1" applyBorder="1" applyAlignment="1" applyProtection="1">
      <alignment horizontal="left" vertical="top" wrapText="1"/>
      <protection locked="0"/>
    </xf>
    <xf numFmtId="0" fontId="41" fillId="0" borderId="23" xfId="0" applyFont="1" applyBorder="1" applyAlignment="1">
      <alignment horizontal="left" vertical="top" wrapText="1"/>
    </xf>
    <xf numFmtId="0" fontId="41" fillId="0" borderId="46" xfId="0" applyFont="1" applyBorder="1" applyAlignment="1">
      <alignment horizontal="left" vertical="top" wrapText="1"/>
    </xf>
    <xf numFmtId="0" fontId="41" fillId="0" borderId="42" xfId="0" applyFont="1" applyBorder="1" applyAlignment="1">
      <alignment horizontal="lef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41" fillId="0" borderId="3" xfId="0" applyFont="1" applyBorder="1" applyAlignment="1">
      <alignment horizontal="center" vertical="center" wrapText="1"/>
    </xf>
    <xf numFmtId="0" fontId="41" fillId="0" borderId="4" xfId="0" applyFont="1" applyBorder="1" applyAlignment="1">
      <alignment horizontal="center" vertical="center" wrapText="1"/>
    </xf>
    <xf numFmtId="0" fontId="41" fillId="0" borderId="3" xfId="0" applyNumberFormat="1" applyFont="1" applyBorder="1" applyAlignment="1">
      <alignment horizontal="center" vertical="center" wrapText="1"/>
    </xf>
    <xf numFmtId="0" fontId="41" fillId="0" borderId="4" xfId="0" applyNumberFormat="1" applyFont="1" applyBorder="1" applyAlignment="1">
      <alignment horizontal="center" vertical="center" wrapText="1"/>
    </xf>
    <xf numFmtId="0" fontId="41" fillId="18" borderId="3" xfId="0" applyFont="1" applyFill="1" applyBorder="1" applyAlignment="1">
      <alignment horizontal="center" vertical="center" wrapText="1"/>
    </xf>
    <xf numFmtId="0" fontId="41" fillId="18" borderId="4" xfId="0" applyFont="1" applyFill="1" applyBorder="1" applyAlignment="1">
      <alignment horizontal="center" vertical="center" wrapText="1"/>
    </xf>
    <xf numFmtId="1" fontId="5" fillId="0" borderId="3" xfId="0" applyNumberFormat="1" applyFont="1" applyBorder="1" applyAlignment="1">
      <alignment horizontal="center" vertical="center"/>
    </xf>
    <xf numFmtId="1" fontId="5" fillId="0" borderId="4" xfId="0" applyNumberFormat="1" applyFont="1" applyBorder="1" applyAlignment="1">
      <alignment horizontal="center" vertical="center"/>
    </xf>
    <xf numFmtId="0" fontId="5" fillId="18" borderId="3" xfId="0" applyFont="1" applyFill="1" applyBorder="1" applyAlignment="1">
      <alignment horizontal="center" vertical="center"/>
    </xf>
    <xf numFmtId="0" fontId="5" fillId="18" borderId="4" xfId="0" applyFont="1" applyFill="1" applyBorder="1" applyAlignment="1">
      <alignment horizontal="center" vertical="center"/>
    </xf>
    <xf numFmtId="0" fontId="25" fillId="0" borderId="46" xfId="0" applyFont="1" applyFill="1" applyBorder="1" applyAlignment="1">
      <alignment horizontal="left" vertical="top" wrapText="1"/>
    </xf>
    <xf numFmtId="0" fontId="0" fillId="0" borderId="46" xfId="0" applyBorder="1" applyAlignment="1">
      <alignment vertical="top"/>
    </xf>
    <xf numFmtId="0" fontId="5" fillId="0" borderId="68" xfId="0" applyFont="1" applyFill="1" applyBorder="1" applyAlignment="1" applyProtection="1">
      <alignment horizontal="left" vertical="top" wrapText="1"/>
    </xf>
    <xf numFmtId="0" fontId="5" fillId="0" borderId="64" xfId="0" applyFont="1" applyFill="1" applyBorder="1" applyAlignment="1" applyProtection="1">
      <alignment horizontal="left" vertical="top" wrapText="1"/>
    </xf>
    <xf numFmtId="0" fontId="25" fillId="0" borderId="23" xfId="0" applyFont="1" applyFill="1" applyBorder="1" applyAlignment="1" applyProtection="1">
      <alignment horizontal="left" vertical="top" wrapText="1"/>
    </xf>
    <xf numFmtId="0" fontId="5" fillId="0" borderId="64" xfId="0" applyFont="1" applyBorder="1" applyAlignment="1">
      <alignment vertical="top" wrapText="1"/>
    </xf>
    <xf numFmtId="0" fontId="5" fillId="0" borderId="68" xfId="0" applyFont="1" applyBorder="1" applyAlignment="1">
      <alignment vertical="top" wrapText="1"/>
    </xf>
    <xf numFmtId="0" fontId="5" fillId="0" borderId="22" xfId="0" applyFont="1" applyBorder="1" applyAlignment="1">
      <alignment vertical="top" wrapText="1"/>
    </xf>
    <xf numFmtId="0" fontId="5" fillId="0" borderId="68" xfId="0" applyFont="1" applyBorder="1" applyAlignment="1">
      <alignment horizontal="left" vertical="top" wrapText="1"/>
    </xf>
    <xf numFmtId="0" fontId="5" fillId="0" borderId="64" xfId="0" applyFont="1" applyBorder="1" applyAlignment="1">
      <alignment horizontal="left" vertical="top" wrapText="1"/>
    </xf>
    <xf numFmtId="0" fontId="5" fillId="0" borderId="22" xfId="0" applyFont="1" applyBorder="1" applyAlignment="1">
      <alignment horizontal="left" vertical="top" wrapText="1"/>
    </xf>
    <xf numFmtId="0" fontId="5" fillId="0" borderId="64" xfId="0" applyFont="1" applyFill="1" applyBorder="1" applyAlignment="1">
      <alignment vertical="top" wrapText="1"/>
    </xf>
    <xf numFmtId="0" fontId="5" fillId="0" borderId="64" xfId="0" applyFont="1" applyBorder="1" applyAlignment="1">
      <alignment horizontal="left" vertical="top"/>
    </xf>
    <xf numFmtId="0" fontId="5" fillId="0" borderId="22" xfId="0" applyFont="1" applyBorder="1" applyAlignment="1">
      <alignment horizontal="left" vertical="top"/>
    </xf>
    <xf numFmtId="0" fontId="25" fillId="0" borderId="46" xfId="0" applyFont="1" applyBorder="1" applyAlignment="1">
      <alignment vertical="top" wrapText="1"/>
    </xf>
    <xf numFmtId="0" fontId="98" fillId="11" borderId="34" xfId="0" applyFont="1" applyFill="1" applyBorder="1" applyAlignment="1">
      <alignment horizontal="left" vertical="center" wrapText="1"/>
    </xf>
    <xf numFmtId="0" fontId="98" fillId="11" borderId="53" xfId="0" applyFont="1" applyFill="1" applyBorder="1" applyAlignment="1">
      <alignment horizontal="left" vertical="center" wrapText="1"/>
    </xf>
    <xf numFmtId="0" fontId="25" fillId="0" borderId="23" xfId="0" applyFont="1" applyBorder="1" applyAlignment="1">
      <alignment horizontal="left" vertical="top" wrapText="1"/>
    </xf>
    <xf numFmtId="0" fontId="0" fillId="0" borderId="42" xfId="0" applyBorder="1" applyAlignment="1">
      <alignment vertical="top"/>
    </xf>
    <xf numFmtId="0" fontId="25" fillId="0" borderId="46" xfId="0" applyFont="1" applyBorder="1" applyAlignment="1">
      <alignment horizontal="left" vertical="top" wrapText="1"/>
    </xf>
    <xf numFmtId="0" fontId="25" fillId="0" borderId="68" xfId="0" applyFont="1" applyBorder="1" applyAlignment="1">
      <alignment vertical="top" wrapText="1"/>
    </xf>
    <xf numFmtId="0" fontId="25" fillId="0" borderId="64" xfId="0" applyFont="1" applyBorder="1" applyAlignment="1">
      <alignment vertical="top" wrapText="1"/>
    </xf>
    <xf numFmtId="0" fontId="25" fillId="0" borderId="22" xfId="0" applyFont="1" applyBorder="1" applyAlignment="1">
      <alignment vertical="top" wrapText="1"/>
    </xf>
    <xf numFmtId="0" fontId="25" fillId="0" borderId="23" xfId="0" applyFont="1" applyBorder="1" applyAlignment="1">
      <alignment vertical="top" wrapText="1"/>
    </xf>
    <xf numFmtId="0" fontId="25" fillId="0" borderId="46" xfId="0" applyFont="1" applyFill="1" applyBorder="1" applyAlignment="1">
      <alignment vertical="top" wrapText="1"/>
    </xf>
    <xf numFmtId="0" fontId="5" fillId="0" borderId="68" xfId="0" applyFont="1" applyBorder="1" applyAlignment="1">
      <alignment vertical="top"/>
    </xf>
    <xf numFmtId="0" fontId="5" fillId="0" borderId="64" xfId="0" applyFont="1" applyBorder="1" applyAlignment="1">
      <alignment vertical="top"/>
    </xf>
    <xf numFmtId="0" fontId="5" fillId="0" borderId="22" xfId="0" applyFont="1" applyBorder="1" applyAlignment="1">
      <alignment vertical="top"/>
    </xf>
    <xf numFmtId="0" fontId="25" fillId="0" borderId="23" xfId="0" applyFont="1" applyFill="1" applyBorder="1" applyAlignment="1">
      <alignment vertical="top" wrapText="1"/>
    </xf>
    <xf numFmtId="0" fontId="0" fillId="0" borderId="46" xfId="0" applyFill="1" applyBorder="1" applyAlignment="1">
      <alignment vertical="top"/>
    </xf>
    <xf numFmtId="0" fontId="0" fillId="0" borderId="64" xfId="0" applyBorder="1" applyAlignment="1">
      <alignment vertical="top"/>
    </xf>
    <xf numFmtId="0" fontId="0" fillId="0" borderId="22" xfId="0" applyBorder="1" applyAlignment="1">
      <alignment vertical="top"/>
    </xf>
    <xf numFmtId="1" fontId="5" fillId="0" borderId="64" xfId="0" applyNumberFormat="1" applyFont="1" applyFill="1" applyBorder="1" applyAlignment="1">
      <alignment horizontal="left" vertical="top" wrapText="1"/>
    </xf>
    <xf numFmtId="0" fontId="10" fillId="0" borderId="46" xfId="0" applyFont="1" applyBorder="1" applyAlignment="1">
      <alignment vertical="top"/>
    </xf>
    <xf numFmtId="0" fontId="5" fillId="0" borderId="23" xfId="0" applyFont="1" applyBorder="1" applyAlignment="1">
      <alignment vertical="top" wrapText="1"/>
    </xf>
    <xf numFmtId="0" fontId="10" fillId="0" borderId="42" xfId="0" applyFont="1" applyBorder="1" applyAlignment="1">
      <alignment vertical="top"/>
    </xf>
    <xf numFmtId="0" fontId="5" fillId="0" borderId="46" xfId="0" applyFont="1" applyBorder="1" applyAlignment="1">
      <alignment vertical="top" wrapText="1"/>
    </xf>
    <xf numFmtId="0" fontId="94" fillId="30" borderId="34" xfId="0" applyFont="1" applyFill="1" applyBorder="1" applyAlignment="1">
      <alignment horizontal="left" vertical="top" wrapText="1"/>
    </xf>
    <xf numFmtId="0" fontId="94" fillId="30" borderId="53" xfId="0" applyFont="1" applyFill="1" applyBorder="1" applyAlignment="1">
      <alignment horizontal="left" vertical="top" wrapText="1"/>
    </xf>
    <xf numFmtId="0" fontId="5" fillId="0" borderId="64" xfId="0" applyFont="1" applyFill="1" applyBorder="1" applyAlignment="1">
      <alignment horizontal="left" vertical="top" wrapText="1"/>
    </xf>
    <xf numFmtId="0" fontId="5" fillId="18" borderId="68" xfId="0" applyFont="1" applyFill="1" applyBorder="1" applyAlignment="1">
      <alignment horizontal="left" vertical="top" wrapText="1"/>
    </xf>
    <xf numFmtId="0" fontId="5" fillId="18" borderId="64" xfId="0" applyFont="1" applyFill="1" applyBorder="1" applyAlignment="1">
      <alignment horizontal="left" vertical="top" wrapText="1"/>
    </xf>
    <xf numFmtId="0" fontId="25" fillId="18" borderId="23" xfId="0" applyFont="1" applyFill="1" applyBorder="1" applyAlignment="1">
      <alignment horizontal="left" vertical="top" wrapText="1"/>
    </xf>
    <xf numFmtId="0" fontId="25" fillId="18" borderId="46" xfId="0" applyFont="1" applyFill="1" applyBorder="1" applyAlignment="1">
      <alignment horizontal="left" vertical="top" wrapText="1"/>
    </xf>
    <xf numFmtId="0" fontId="5" fillId="0" borderId="46" xfId="0" applyFont="1" applyFill="1" applyBorder="1" applyAlignment="1">
      <alignment vertical="top" wrapText="1"/>
    </xf>
    <xf numFmtId="0" fontId="5" fillId="18" borderId="23" xfId="0" applyFont="1" applyFill="1" applyBorder="1" applyAlignment="1">
      <alignment horizontal="left" vertical="top" wrapText="1"/>
    </xf>
    <xf numFmtId="0" fontId="5" fillId="18" borderId="46" xfId="0" applyFont="1" applyFill="1" applyBorder="1" applyAlignment="1">
      <alignment horizontal="left" vertical="top" wrapText="1"/>
    </xf>
    <xf numFmtId="0" fontId="5" fillId="0" borderId="23" xfId="0" applyFont="1" applyFill="1" applyBorder="1" applyAlignment="1" applyProtection="1">
      <alignment horizontal="left" vertical="top" wrapText="1"/>
    </xf>
    <xf numFmtId="0" fontId="5" fillId="0" borderId="42" xfId="0" applyFont="1" applyBorder="1" applyAlignment="1">
      <alignment vertical="top" wrapText="1"/>
    </xf>
    <xf numFmtId="0" fontId="53" fillId="11" borderId="34" xfId="0" applyFont="1" applyFill="1" applyBorder="1" applyAlignment="1">
      <alignment horizontal="left" vertical="top" wrapText="1"/>
    </xf>
    <xf numFmtId="0" fontId="53" fillId="11" borderId="53" xfId="0" applyFont="1" applyFill="1" applyBorder="1" applyAlignment="1">
      <alignment horizontal="left" vertical="top" wrapText="1"/>
    </xf>
    <xf numFmtId="0" fontId="53" fillId="11" borderId="41" xfId="0" applyFont="1" applyFill="1" applyBorder="1" applyAlignment="1">
      <alignment horizontal="left" vertical="top" wrapText="1"/>
    </xf>
    <xf numFmtId="0" fontId="6" fillId="0" borderId="34" xfId="0" applyFont="1" applyFill="1" applyBorder="1" applyAlignment="1" applyProtection="1">
      <alignment horizontal="left" vertical="top"/>
      <protection locked="0"/>
    </xf>
    <xf numFmtId="0" fontId="6" fillId="0" borderId="41" xfId="0" applyFont="1" applyFill="1" applyBorder="1" applyAlignment="1" applyProtection="1">
      <alignment horizontal="left" vertical="top"/>
      <protection locked="0"/>
    </xf>
    <xf numFmtId="0" fontId="6" fillId="0" borderId="23" xfId="0" applyFont="1" applyFill="1" applyBorder="1" applyAlignment="1" applyProtection="1">
      <alignment horizontal="center" vertical="top"/>
      <protection locked="0"/>
    </xf>
    <xf numFmtId="0" fontId="6" fillId="0" borderId="42" xfId="0" applyFont="1" applyFill="1" applyBorder="1" applyAlignment="1" applyProtection="1">
      <alignment horizontal="center" vertical="top"/>
      <protection locked="0"/>
    </xf>
    <xf numFmtId="0" fontId="6" fillId="0" borderId="18" xfId="0" applyFont="1" applyFill="1" applyBorder="1" applyAlignment="1" applyProtection="1">
      <alignment horizontal="center" vertical="top"/>
      <protection locked="0"/>
    </xf>
    <xf numFmtId="0" fontId="25" fillId="31" borderId="34" xfId="0" applyFont="1" applyFill="1" applyBorder="1" applyAlignment="1">
      <alignment horizontal="left" vertical="center" wrapText="1"/>
    </xf>
    <xf numFmtId="0" fontId="25" fillId="31" borderId="53" xfId="0" applyFont="1" applyFill="1" applyBorder="1" applyAlignment="1">
      <alignment horizontal="left" vertical="center" wrapText="1"/>
    </xf>
    <xf numFmtId="0" fontId="94" fillId="30" borderId="34" xfId="0" applyFont="1" applyFill="1" applyBorder="1" applyAlignment="1">
      <alignment horizontal="left" vertical="center" wrapText="1"/>
    </xf>
    <xf numFmtId="0" fontId="94" fillId="30" borderId="53" xfId="0" applyFont="1" applyFill="1" applyBorder="1" applyAlignment="1">
      <alignment horizontal="left" vertical="center" wrapText="1"/>
    </xf>
    <xf numFmtId="0" fontId="6" fillId="18" borderId="34" xfId="0" applyFont="1" applyFill="1" applyBorder="1" applyAlignment="1" applyProtection="1">
      <alignment horizontal="left" vertical="top"/>
      <protection locked="0"/>
    </xf>
    <xf numFmtId="0" fontId="6" fillId="18" borderId="41" xfId="0" applyFont="1" applyFill="1" applyBorder="1" applyAlignment="1" applyProtection="1">
      <alignment horizontal="left" vertical="top"/>
      <protection locked="0"/>
    </xf>
    <xf numFmtId="0" fontId="5" fillId="0" borderId="30" xfId="0" applyFont="1" applyFill="1" applyBorder="1" applyAlignment="1">
      <alignment vertical="top" wrapText="1"/>
    </xf>
    <xf numFmtId="0" fontId="5" fillId="0" borderId="69" xfId="0" applyFont="1" applyFill="1" applyBorder="1" applyAlignment="1">
      <alignment vertical="top" wrapText="1"/>
    </xf>
    <xf numFmtId="0" fontId="10" fillId="0" borderId="69" xfId="0" applyFont="1" applyBorder="1" applyAlignment="1">
      <alignment vertical="top"/>
    </xf>
    <xf numFmtId="0" fontId="10" fillId="0" borderId="71" xfId="0" applyFont="1" applyBorder="1" applyAlignment="1">
      <alignment vertical="top"/>
    </xf>
    <xf numFmtId="0" fontId="5" fillId="0" borderId="26" xfId="1" applyFont="1" applyFill="1" applyBorder="1" applyAlignment="1">
      <alignment vertical="center" wrapText="1"/>
    </xf>
    <xf numFmtId="0" fontId="0" fillId="0" borderId="15" xfId="0" applyFill="1" applyBorder="1" applyAlignment="1">
      <alignment vertical="center" wrapText="1"/>
    </xf>
    <xf numFmtId="0" fontId="5" fillId="0" borderId="20" xfId="1" applyFont="1" applyFill="1" applyBorder="1" applyAlignment="1">
      <alignment vertical="center" wrapText="1"/>
    </xf>
    <xf numFmtId="0" fontId="0" fillId="0" borderId="36" xfId="0" applyFill="1" applyBorder="1" applyAlignment="1">
      <alignment vertical="center" wrapText="1"/>
    </xf>
    <xf numFmtId="0" fontId="12" fillId="32" borderId="53" xfId="1" applyFont="1" applyFill="1" applyBorder="1" applyAlignment="1">
      <alignment vertical="center" wrapText="1"/>
    </xf>
    <xf numFmtId="0" fontId="34" fillId="32" borderId="53" xfId="0" applyFont="1" applyFill="1" applyBorder="1" applyAlignment="1">
      <alignment vertical="center" wrapText="1"/>
    </xf>
    <xf numFmtId="0" fontId="49" fillId="0" borderId="1" xfId="1" applyFont="1" applyBorder="1" applyAlignment="1">
      <alignment vertical="center" wrapText="1"/>
    </xf>
    <xf numFmtId="0" fontId="63" fillId="0" borderId="1" xfId="0" applyFont="1" applyBorder="1" applyAlignment="1">
      <alignment vertical="center" wrapText="1"/>
    </xf>
    <xf numFmtId="0" fontId="63" fillId="0" borderId="2" xfId="0" applyFont="1" applyBorder="1" applyAlignment="1">
      <alignment vertical="center" wrapText="1"/>
    </xf>
    <xf numFmtId="49" fontId="21" fillId="32" borderId="15" xfId="1" applyNumberFormat="1" applyFont="1" applyFill="1" applyBorder="1" applyAlignment="1">
      <alignment horizontal="left" vertical="center" wrapText="1"/>
    </xf>
    <xf numFmtId="2" fontId="47" fillId="0" borderId="10" xfId="1" applyNumberFormat="1" applyFont="1" applyFill="1" applyBorder="1" applyAlignment="1">
      <alignment horizontal="right" vertical="center" wrapText="1"/>
    </xf>
    <xf numFmtId="2" fontId="46" fillId="0" borderId="10" xfId="0" applyNumberFormat="1" applyFont="1" applyFill="1" applyBorder="1" applyAlignment="1">
      <alignment horizontal="right" vertical="center" wrapText="1"/>
    </xf>
    <xf numFmtId="0" fontId="5" fillId="0" borderId="25" xfId="1" applyFont="1" applyFill="1" applyBorder="1" applyAlignment="1">
      <alignment vertical="center" wrapText="1"/>
    </xf>
    <xf numFmtId="0" fontId="0" fillId="0" borderId="63" xfId="0" applyFill="1" applyBorder="1" applyAlignment="1">
      <alignment vertical="center" wrapText="1"/>
    </xf>
    <xf numFmtId="49" fontId="47" fillId="0" borderId="26" xfId="1" applyNumberFormat="1" applyFont="1" applyFill="1" applyBorder="1" applyAlignment="1">
      <alignment horizontal="right" vertical="center" wrapText="1"/>
    </xf>
    <xf numFmtId="49" fontId="47" fillId="0" borderId="15" xfId="1" applyNumberFormat="1" applyFont="1" applyFill="1" applyBorder="1" applyAlignment="1">
      <alignment horizontal="right" vertical="center" wrapText="1"/>
    </xf>
    <xf numFmtId="49" fontId="47" fillId="0" borderId="16" xfId="1" applyNumberFormat="1" applyFont="1" applyFill="1" applyBorder="1" applyAlignment="1">
      <alignment horizontal="right" vertical="center" wrapText="1"/>
    </xf>
    <xf numFmtId="0" fontId="5" fillId="0" borderId="23" xfId="1" applyFont="1" applyBorder="1" applyAlignment="1">
      <alignment vertical="top" wrapText="1"/>
    </xf>
    <xf numFmtId="0" fontId="0" fillId="0" borderId="46" xfId="0" applyBorder="1" applyAlignment="1">
      <alignment vertical="top" wrapText="1"/>
    </xf>
    <xf numFmtId="0" fontId="0" fillId="0" borderId="42" xfId="0" applyBorder="1" applyAlignment="1">
      <alignment vertical="top" wrapText="1"/>
    </xf>
    <xf numFmtId="0" fontId="14" fillId="0" borderId="53" xfId="1" applyFont="1" applyFill="1" applyBorder="1" applyAlignment="1">
      <alignment vertical="center" wrapText="1"/>
    </xf>
    <xf numFmtId="0" fontId="0" fillId="0" borderId="53" xfId="0" applyFill="1" applyBorder="1" applyAlignment="1">
      <alignment vertical="center" wrapText="1"/>
    </xf>
    <xf numFmtId="2" fontId="2" fillId="0" borderId="10" xfId="1" applyNumberFormat="1" applyFont="1" applyFill="1" applyBorder="1" applyAlignment="1">
      <alignment horizontal="right" vertical="center" wrapText="1"/>
    </xf>
    <xf numFmtId="2" fontId="0" fillId="0" borderId="10" xfId="0" applyNumberFormat="1" applyFill="1" applyBorder="1" applyAlignment="1">
      <alignment horizontal="right" vertical="center" wrapText="1"/>
    </xf>
    <xf numFmtId="0" fontId="0" fillId="0" borderId="6" xfId="0" applyFill="1" applyBorder="1" applyAlignment="1">
      <alignment vertical="center" wrapText="1"/>
    </xf>
    <xf numFmtId="0" fontId="4" fillId="0" borderId="53" xfId="0" applyFont="1" applyFill="1" applyBorder="1" applyAlignment="1">
      <alignment vertical="center" wrapText="1"/>
    </xf>
    <xf numFmtId="49" fontId="47" fillId="0" borderId="14" xfId="1" applyNumberFormat="1" applyFont="1" applyFill="1" applyBorder="1" applyAlignment="1">
      <alignment horizontal="right" vertical="center" wrapText="1"/>
    </xf>
    <xf numFmtId="49" fontId="47" fillId="0" borderId="0" xfId="1" applyNumberFormat="1" applyFont="1" applyFill="1" applyBorder="1" applyAlignment="1">
      <alignment horizontal="right" vertical="center" wrapText="1"/>
    </xf>
    <xf numFmtId="0" fontId="0" fillId="32" borderId="53" xfId="0" applyFill="1" applyBorder="1" applyAlignment="1">
      <alignment vertical="center" wrapText="1"/>
    </xf>
    <xf numFmtId="0" fontId="5" fillId="0" borderId="23" xfId="1" applyFont="1" applyBorder="1" applyAlignment="1">
      <alignment horizontal="left" vertical="top" wrapText="1"/>
    </xf>
    <xf numFmtId="0" fontId="5" fillId="0" borderId="46" xfId="1" applyFont="1" applyBorder="1" applyAlignment="1">
      <alignment horizontal="left" vertical="top" wrapText="1"/>
    </xf>
    <xf numFmtId="0" fontId="5" fillId="0" borderId="42" xfId="1" applyFont="1" applyBorder="1" applyAlignment="1">
      <alignment horizontal="left" vertical="top" wrapText="1"/>
    </xf>
    <xf numFmtId="0" fontId="14" fillId="0" borderId="53" xfId="1" applyFont="1" applyFill="1" applyBorder="1" applyAlignment="1">
      <alignment horizontal="left" vertical="center" wrapText="1"/>
    </xf>
    <xf numFmtId="0" fontId="34" fillId="32" borderId="53" xfId="1" applyFont="1" applyFill="1" applyBorder="1" applyAlignment="1">
      <alignment vertical="center" wrapText="1"/>
    </xf>
    <xf numFmtId="0" fontId="49" fillId="0" borderId="1" xfId="1" applyFont="1" applyBorder="1" applyAlignment="1">
      <alignment horizontal="left" vertical="center" wrapText="1"/>
    </xf>
    <xf numFmtId="0" fontId="49" fillId="0" borderId="2" xfId="1" applyFont="1" applyBorder="1" applyAlignment="1">
      <alignment horizontal="left" vertical="center" wrapText="1"/>
    </xf>
    <xf numFmtId="165" fontId="46" fillId="0" borderId="34" xfId="1" applyNumberFormat="1" applyFont="1" applyFill="1" applyBorder="1" applyAlignment="1" applyProtection="1">
      <alignment horizontal="left" vertical="top"/>
      <protection locked="0"/>
    </xf>
    <xf numFmtId="0" fontId="46" fillId="0" borderId="41" xfId="1" applyFont="1" applyFill="1" applyBorder="1" applyAlignment="1" applyProtection="1">
      <alignment horizontal="left" vertical="top"/>
      <protection locked="0"/>
    </xf>
    <xf numFmtId="0" fontId="57" fillId="32" borderId="34" xfId="1" applyFont="1" applyFill="1" applyBorder="1" applyAlignment="1">
      <alignment horizontal="left" vertical="center" wrapText="1"/>
    </xf>
    <xf numFmtId="0" fontId="57" fillId="32" borderId="53" xfId="1" applyFont="1" applyFill="1" applyBorder="1" applyAlignment="1">
      <alignment horizontal="left" vertical="center" wrapText="1"/>
    </xf>
    <xf numFmtId="0" fontId="6" fillId="0" borderId="34" xfId="1" applyFont="1" applyBorder="1" applyAlignment="1" applyProtection="1">
      <alignment horizontal="left" vertical="top"/>
      <protection locked="0"/>
    </xf>
    <xf numFmtId="0" fontId="6" fillId="0" borderId="41" xfId="1" applyFont="1" applyBorder="1" applyAlignment="1" applyProtection="1">
      <alignment horizontal="left" vertical="top"/>
      <protection locked="0"/>
    </xf>
    <xf numFmtId="0" fontId="46" fillId="0" borderId="34" xfId="1" applyFont="1" applyFill="1" applyBorder="1" applyAlignment="1" applyProtection="1">
      <alignment horizontal="left" vertical="top"/>
      <protection locked="0"/>
    </xf>
    <xf numFmtId="0" fontId="49" fillId="0" borderId="2" xfId="1" applyFont="1" applyBorder="1" applyAlignment="1">
      <alignment vertical="center" wrapText="1"/>
    </xf>
    <xf numFmtId="0" fontId="100" fillId="33" borderId="34" xfId="0" applyFont="1" applyFill="1" applyBorder="1" applyAlignment="1">
      <alignment horizontal="center" vertical="center" wrapText="1"/>
    </xf>
    <xf numFmtId="0" fontId="100" fillId="33" borderId="53" xfId="0" applyFont="1" applyFill="1" applyBorder="1" applyAlignment="1">
      <alignment horizontal="center" vertical="center" wrapText="1"/>
    </xf>
    <xf numFmtId="0" fontId="100" fillId="33" borderId="41" xfId="0" applyFont="1" applyFill="1" applyBorder="1" applyAlignment="1">
      <alignment horizontal="center" vertical="center" wrapText="1"/>
    </xf>
    <xf numFmtId="0" fontId="84" fillId="0" borderId="34" xfId="0" applyFont="1" applyBorder="1" applyAlignment="1" applyProtection="1">
      <alignment horizontal="left" vertical="top" wrapText="1"/>
      <protection locked="0"/>
    </xf>
    <xf numFmtId="0" fontId="84" fillId="0" borderId="53" xfId="0" applyFont="1" applyBorder="1" applyAlignment="1" applyProtection="1">
      <alignment horizontal="left" vertical="top" wrapText="1"/>
      <protection locked="0"/>
    </xf>
    <xf numFmtId="0" fontId="84" fillId="0" borderId="41" xfId="0" applyFont="1" applyBorder="1" applyAlignment="1" applyProtection="1">
      <alignment horizontal="left" vertical="top" wrapText="1"/>
      <protection locked="0"/>
    </xf>
    <xf numFmtId="2" fontId="4" fillId="0" borderId="34" xfId="0" applyNumberFormat="1" applyFont="1" applyFill="1" applyBorder="1" applyAlignment="1">
      <alignment horizontal="left" vertical="top" wrapText="1"/>
    </xf>
    <xf numFmtId="2" fontId="85" fillId="0" borderId="53" xfId="0" applyNumberFormat="1" applyFont="1" applyFill="1" applyBorder="1" applyAlignment="1">
      <alignment horizontal="left" vertical="top" wrapText="1"/>
    </xf>
    <xf numFmtId="2" fontId="85" fillId="0" borderId="41" xfId="0" applyNumberFormat="1" applyFont="1" applyFill="1" applyBorder="1" applyAlignment="1">
      <alignment horizontal="left" vertical="top" wrapText="1"/>
    </xf>
    <xf numFmtId="0" fontId="17" fillId="0" borderId="5" xfId="0" applyFont="1" applyBorder="1" applyAlignment="1" applyProtection="1">
      <alignment horizontal="left" vertical="top" wrapText="1"/>
      <protection locked="0"/>
    </xf>
    <xf numFmtId="0" fontId="84" fillId="0" borderId="5" xfId="0" applyFont="1" applyBorder="1" applyAlignment="1" applyProtection="1">
      <alignment horizontal="left" vertical="top" wrapText="1"/>
      <protection locked="0"/>
    </xf>
    <xf numFmtId="2" fontId="107" fillId="24" borderId="59" xfId="0" applyNumberFormat="1" applyFont="1" applyFill="1" applyBorder="1" applyAlignment="1">
      <alignment horizontal="center" wrapText="1"/>
    </xf>
    <xf numFmtId="0" fontId="28" fillId="0" borderId="68" xfId="0" applyFont="1" applyFill="1" applyBorder="1" applyAlignment="1">
      <alignment horizontal="left" vertical="top" wrapText="1"/>
    </xf>
    <xf numFmtId="0" fontId="28" fillId="0" borderId="64" xfId="0" applyFont="1" applyBorder="1" applyAlignment="1">
      <alignment horizontal="left" vertical="top" wrapText="1"/>
    </xf>
    <xf numFmtId="0" fontId="28" fillId="0" borderId="22" xfId="0" applyFont="1" applyBorder="1" applyAlignment="1">
      <alignment horizontal="left" vertical="top" wrapText="1"/>
    </xf>
    <xf numFmtId="0" fontId="28" fillId="0" borderId="23" xfId="0" applyFont="1" applyBorder="1" applyAlignment="1">
      <alignment horizontal="left" vertical="top" wrapText="1"/>
    </xf>
    <xf numFmtId="0" fontId="28" fillId="0" borderId="46" xfId="0" applyFont="1" applyBorder="1" applyAlignment="1">
      <alignment horizontal="left" vertical="top" wrapText="1"/>
    </xf>
    <xf numFmtId="0" fontId="28" fillId="0" borderId="42" xfId="0" applyFont="1" applyBorder="1" applyAlignment="1">
      <alignment horizontal="left" vertical="top" wrapText="1"/>
    </xf>
    <xf numFmtId="0" fontId="5" fillId="0" borderId="68" xfId="0" applyFont="1" applyFill="1" applyBorder="1" applyAlignment="1">
      <alignment vertical="top" wrapText="1"/>
    </xf>
    <xf numFmtId="0" fontId="5" fillId="0" borderId="22" xfId="0" applyFont="1" applyFill="1" applyBorder="1" applyAlignment="1">
      <alignment vertical="top" wrapText="1"/>
    </xf>
    <xf numFmtId="0" fontId="5" fillId="0" borderId="29" xfId="0" applyFont="1" applyBorder="1" applyAlignment="1">
      <alignment horizontal="left" vertical="top" wrapText="1"/>
    </xf>
    <xf numFmtId="0" fontId="5" fillId="0" borderId="21" xfId="0" applyFont="1" applyBorder="1" applyAlignment="1">
      <alignment horizontal="left" vertical="top" wrapText="1"/>
    </xf>
    <xf numFmtId="0" fontId="5" fillId="0" borderId="72" xfId="0" applyFont="1" applyBorder="1" applyAlignment="1">
      <alignment horizontal="left" vertical="top" wrapText="1"/>
    </xf>
    <xf numFmtId="0" fontId="5" fillId="0" borderId="24" xfId="0" applyFont="1" applyBorder="1" applyAlignment="1">
      <alignment horizontal="left" vertical="top" wrapText="1"/>
    </xf>
    <xf numFmtId="0" fontId="28" fillId="0" borderId="68" xfId="0" applyFont="1" applyBorder="1" applyAlignment="1">
      <alignment horizontal="left" vertical="top" wrapText="1"/>
    </xf>
    <xf numFmtId="0" fontId="5" fillId="0" borderId="18" xfId="0" applyFont="1" applyBorder="1" applyAlignment="1">
      <alignment horizontal="left" vertical="top" wrapText="1"/>
    </xf>
    <xf numFmtId="1" fontId="28" fillId="0" borderId="23" xfId="0" applyNumberFormat="1" applyFont="1" applyBorder="1" applyAlignment="1">
      <alignment horizontal="left" vertical="top" wrapText="1"/>
    </xf>
    <xf numFmtId="1" fontId="28" fillId="0" borderId="46" xfId="0" applyNumberFormat="1" applyFont="1" applyBorder="1" applyAlignment="1">
      <alignment horizontal="left" vertical="top" wrapText="1"/>
    </xf>
    <xf numFmtId="1" fontId="28" fillId="0" borderId="42" xfId="0" applyNumberFormat="1" applyFont="1" applyBorder="1" applyAlignment="1">
      <alignment horizontal="left" vertical="top" wrapText="1"/>
    </xf>
    <xf numFmtId="1" fontId="28" fillId="0" borderId="68" xfId="0" applyNumberFormat="1" applyFont="1" applyFill="1" applyBorder="1" applyAlignment="1">
      <alignment horizontal="left" vertical="top" wrapText="1"/>
    </xf>
    <xf numFmtId="0" fontId="28" fillId="0" borderId="64" xfId="0" applyFont="1" applyFill="1" applyBorder="1" applyAlignment="1">
      <alignment horizontal="left" vertical="top" wrapText="1"/>
    </xf>
    <xf numFmtId="0" fontId="28" fillId="0" borderId="22" xfId="0" applyFont="1" applyFill="1" applyBorder="1" applyAlignment="1">
      <alignment horizontal="left" vertical="top" wrapText="1"/>
    </xf>
    <xf numFmtId="0" fontId="28" fillId="0" borderId="46" xfId="0" applyFont="1" applyBorder="1" applyAlignment="1">
      <alignment horizontal="left" vertical="top"/>
    </xf>
    <xf numFmtId="0" fontId="28" fillId="0" borderId="13" xfId="0" applyFont="1" applyBorder="1" applyAlignment="1">
      <alignment horizontal="left" vertical="top" wrapText="1"/>
    </xf>
    <xf numFmtId="0" fontId="28" fillId="0" borderId="23" xfId="0" applyFont="1" applyFill="1" applyBorder="1" applyAlignment="1">
      <alignment horizontal="left" vertical="top" wrapText="1"/>
    </xf>
    <xf numFmtId="49" fontId="29" fillId="0" borderId="34" xfId="0" applyNumberFormat="1" applyFont="1" applyBorder="1" applyAlignment="1">
      <alignment horizontal="left" vertical="center" wrapText="1"/>
    </xf>
    <xf numFmtId="49" fontId="29" fillId="0" borderId="53" xfId="0" applyNumberFormat="1" applyFont="1" applyBorder="1" applyAlignment="1">
      <alignment horizontal="left" vertical="center" wrapText="1"/>
    </xf>
    <xf numFmtId="49" fontId="29" fillId="0" borderId="41" xfId="0" applyNumberFormat="1" applyFont="1" applyBorder="1" applyAlignment="1">
      <alignment horizontal="left" vertical="center" wrapText="1"/>
    </xf>
    <xf numFmtId="0" fontId="5" fillId="6" borderId="54" xfId="0" applyFont="1" applyFill="1" applyBorder="1" applyAlignment="1" applyProtection="1">
      <alignment horizontal="left" vertical="center" wrapText="1"/>
      <protection hidden="1"/>
    </xf>
    <xf numFmtId="0" fontId="5" fillId="6" borderId="39" xfId="0" applyFont="1" applyFill="1" applyBorder="1" applyAlignment="1" applyProtection="1">
      <alignment horizontal="left" vertical="center" wrapText="1"/>
      <protection hidden="1"/>
    </xf>
    <xf numFmtId="0" fontId="5" fillId="25" borderId="33" xfId="0" applyFont="1" applyFill="1" applyBorder="1" applyAlignment="1" applyProtection="1">
      <alignment horizontal="left" vertical="center" wrapText="1"/>
      <protection hidden="1"/>
    </xf>
    <xf numFmtId="0" fontId="5" fillId="25" borderId="1" xfId="0" applyFont="1" applyFill="1" applyBorder="1" applyAlignment="1" applyProtection="1">
      <alignment horizontal="left" vertical="center" wrapText="1"/>
      <protection hidden="1"/>
    </xf>
    <xf numFmtId="0" fontId="5" fillId="6" borderId="60" xfId="0" applyFont="1" applyFill="1" applyBorder="1" applyAlignment="1" applyProtection="1">
      <alignment horizontal="left" vertical="center" wrapText="1"/>
      <protection hidden="1"/>
    </xf>
    <xf numFmtId="0" fontId="5" fillId="6" borderId="47" xfId="0" applyFont="1" applyFill="1" applyBorder="1" applyAlignment="1" applyProtection="1">
      <alignment horizontal="left" vertical="center" wrapText="1"/>
      <protection hidden="1"/>
    </xf>
    <xf numFmtId="0" fontId="28" fillId="0" borderId="46" xfId="0" applyFont="1" applyFill="1" applyBorder="1" applyAlignment="1">
      <alignment horizontal="left" vertical="top" wrapText="1"/>
    </xf>
    <xf numFmtId="0" fontId="28" fillId="0" borderId="42" xfId="0" applyFont="1" applyFill="1" applyBorder="1" applyAlignment="1">
      <alignment horizontal="left" vertical="top" wrapText="1"/>
    </xf>
    <xf numFmtId="1" fontId="28" fillId="0" borderId="13" xfId="0" applyNumberFormat="1" applyFont="1" applyBorder="1" applyAlignment="1">
      <alignment horizontal="left" vertical="top" wrapText="1"/>
    </xf>
    <xf numFmtId="1" fontId="28" fillId="0" borderId="34" xfId="0" applyNumberFormat="1" applyFont="1" applyBorder="1" applyAlignment="1" applyProtection="1">
      <alignment horizontal="left" vertical="center" wrapText="1"/>
      <protection hidden="1"/>
    </xf>
    <xf numFmtId="1" fontId="28" fillId="0" borderId="53" xfId="0" applyNumberFormat="1" applyFont="1" applyBorder="1" applyAlignment="1" applyProtection="1">
      <alignment horizontal="left" vertical="center" wrapText="1"/>
      <protection hidden="1"/>
    </xf>
    <xf numFmtId="0" fontId="5" fillId="18" borderId="68" xfId="0" applyFont="1" applyFill="1" applyBorder="1" applyAlignment="1">
      <alignment vertical="top" wrapText="1"/>
    </xf>
    <xf numFmtId="0" fontId="5" fillId="18" borderId="64" xfId="0" applyFont="1" applyFill="1" applyBorder="1" applyAlignment="1">
      <alignment vertical="top" wrapText="1"/>
    </xf>
    <xf numFmtId="0" fontId="5" fillId="18" borderId="22" xfId="0" applyFont="1" applyFill="1" applyBorder="1" applyAlignment="1">
      <alignment vertical="top" wrapText="1"/>
    </xf>
    <xf numFmtId="0" fontId="38" fillId="11" borderId="68" xfId="0" applyFont="1" applyFill="1" applyBorder="1" applyAlignment="1">
      <alignment horizontal="center" vertical="center" wrapText="1"/>
    </xf>
    <xf numFmtId="0" fontId="38" fillId="11" borderId="30" xfId="0" applyFont="1" applyFill="1" applyBorder="1" applyAlignment="1">
      <alignment horizontal="center" vertical="center" wrapText="1"/>
    </xf>
    <xf numFmtId="0" fontId="5" fillId="0" borderId="34" xfId="0" applyFont="1" applyFill="1" applyBorder="1" applyAlignment="1">
      <alignment horizontal="left" vertical="center" wrapText="1"/>
    </xf>
    <xf numFmtId="0" fontId="5" fillId="0" borderId="41" xfId="0" applyFont="1" applyFill="1" applyBorder="1" applyAlignment="1">
      <alignment horizontal="left" vertical="center" wrapText="1"/>
    </xf>
    <xf numFmtId="0" fontId="5" fillId="0" borderId="34" xfId="0" applyFont="1" applyFill="1" applyBorder="1" applyAlignment="1">
      <alignment horizontal="left" wrapText="1"/>
    </xf>
    <xf numFmtId="0" fontId="5" fillId="0" borderId="41" xfId="0" applyFont="1" applyFill="1" applyBorder="1" applyAlignment="1">
      <alignment horizontal="left" wrapText="1"/>
    </xf>
    <xf numFmtId="0" fontId="5" fillId="0" borderId="23" xfId="0" applyFont="1" applyFill="1" applyBorder="1" applyAlignment="1">
      <alignment vertical="top" wrapText="1"/>
    </xf>
    <xf numFmtId="0" fontId="5" fillId="0" borderId="42" xfId="0" applyFont="1" applyFill="1" applyBorder="1" applyAlignment="1">
      <alignment vertical="top" wrapText="1"/>
    </xf>
    <xf numFmtId="0" fontId="5" fillId="0" borderId="33" xfId="0" applyFont="1" applyBorder="1" applyAlignment="1">
      <alignment horizontal="left" vertical="top" wrapText="1"/>
    </xf>
    <xf numFmtId="0" fontId="5" fillId="0" borderId="27" xfId="0" applyFont="1" applyBorder="1" applyAlignment="1">
      <alignment horizontal="left" vertical="top" wrapText="1"/>
    </xf>
    <xf numFmtId="0" fontId="5" fillId="0" borderId="60" xfId="0" applyFont="1" applyBorder="1" applyAlignment="1">
      <alignment horizontal="left" vertical="top" wrapText="1"/>
    </xf>
    <xf numFmtId="0" fontId="5" fillId="0" borderId="40" xfId="0" applyFont="1" applyBorder="1" applyAlignment="1">
      <alignment horizontal="left" vertical="top" wrapText="1"/>
    </xf>
    <xf numFmtId="0" fontId="41" fillId="0" borderId="33" xfId="0" applyFont="1" applyFill="1" applyBorder="1" applyAlignment="1">
      <alignment horizontal="left" vertical="top" wrapText="1"/>
    </xf>
    <xf numFmtId="0" fontId="41" fillId="0" borderId="27" xfId="0" applyFont="1" applyFill="1" applyBorder="1" applyAlignment="1">
      <alignment horizontal="left" vertical="top" wrapText="1"/>
    </xf>
    <xf numFmtId="0" fontId="5" fillId="0" borderId="33" xfId="0" applyFont="1" applyFill="1" applyBorder="1" applyAlignment="1">
      <alignment horizontal="left" vertical="top" wrapText="1"/>
    </xf>
    <xf numFmtId="0" fontId="5" fillId="0" borderId="27" xfId="0" applyFont="1" applyFill="1" applyBorder="1" applyAlignment="1">
      <alignment horizontal="left" vertical="top" wrapText="1"/>
    </xf>
    <xf numFmtId="0" fontId="8" fillId="0" borderId="43" xfId="0" applyFont="1" applyBorder="1" applyAlignment="1">
      <alignment horizontal="center" vertical="center" wrapText="1"/>
    </xf>
    <xf numFmtId="0" fontId="8" fillId="0" borderId="61" xfId="0" applyFont="1" applyBorder="1" applyAlignment="1">
      <alignment horizontal="center" vertical="center" wrapText="1"/>
    </xf>
    <xf numFmtId="0" fontId="5" fillId="0" borderId="73" xfId="0" applyFont="1" applyBorder="1" applyAlignment="1">
      <alignment horizontal="left" vertical="top" wrapText="1"/>
    </xf>
    <xf numFmtId="0" fontId="5" fillId="0" borderId="28" xfId="0" applyFont="1" applyBorder="1" applyAlignment="1">
      <alignment horizontal="left" vertical="top" wrapText="1"/>
    </xf>
    <xf numFmtId="0" fontId="5" fillId="0" borderId="22" xfId="0" applyFont="1" applyBorder="1" applyAlignment="1">
      <alignment horizontal="left" vertical="center" wrapText="1"/>
    </xf>
    <xf numFmtId="0" fontId="5" fillId="0" borderId="10" xfId="0" applyFont="1" applyBorder="1" applyAlignment="1">
      <alignment horizontal="left" vertical="center" wrapText="1"/>
    </xf>
    <xf numFmtId="0" fontId="5" fillId="0" borderId="59" xfId="0" applyFont="1" applyBorder="1" applyAlignment="1">
      <alignment horizontal="center" vertical="top" wrapText="1"/>
    </xf>
    <xf numFmtId="0" fontId="38" fillId="11" borderId="48" xfId="0" applyFont="1" applyFill="1" applyBorder="1" applyAlignment="1">
      <alignment horizontal="center" vertical="center" wrapText="1"/>
    </xf>
    <xf numFmtId="0" fontId="38" fillId="11" borderId="32" xfId="0" applyFont="1" applyFill="1" applyBorder="1" applyAlignment="1">
      <alignment horizontal="center" vertical="center" wrapText="1"/>
    </xf>
    <xf numFmtId="0" fontId="5" fillId="0" borderId="60" xfId="0" applyNumberFormat="1" applyFont="1" applyBorder="1" applyAlignment="1">
      <alignment horizontal="left" vertical="top" wrapText="1"/>
    </xf>
    <xf numFmtId="0" fontId="5" fillId="0" borderId="40" xfId="0" applyNumberFormat="1" applyFont="1" applyBorder="1" applyAlignment="1">
      <alignment horizontal="left" vertical="top" wrapText="1"/>
    </xf>
    <xf numFmtId="0" fontId="8" fillId="0" borderId="34" xfId="0" applyFont="1" applyBorder="1" applyAlignment="1">
      <alignment horizontal="center" vertical="center" wrapText="1"/>
    </xf>
    <xf numFmtId="0" fontId="8" fillId="0" borderId="41" xfId="0" applyFont="1" applyBorder="1" applyAlignment="1">
      <alignment horizontal="center" vertical="center" wrapText="1"/>
    </xf>
    <xf numFmtId="0" fontId="5" fillId="0" borderId="30" xfId="0" applyFont="1" applyBorder="1" applyAlignment="1">
      <alignment horizontal="left" vertical="top" wrapText="1"/>
    </xf>
    <xf numFmtId="0" fontId="5" fillId="0" borderId="22" xfId="0" applyFont="1" applyFill="1" applyBorder="1" applyAlignment="1">
      <alignment horizontal="left" vertical="top" wrapText="1"/>
    </xf>
    <xf numFmtId="0" fontId="5" fillId="0" borderId="13" xfId="0" applyFont="1" applyBorder="1" applyAlignment="1">
      <alignment horizontal="left" vertical="top" wrapText="1"/>
    </xf>
    <xf numFmtId="0" fontId="5" fillId="0" borderId="64" xfId="0" applyFont="1" applyBorder="1" applyAlignment="1">
      <alignment horizontal="center" vertical="top" wrapText="1"/>
    </xf>
    <xf numFmtId="0" fontId="5" fillId="0" borderId="22" xfId="0" applyFont="1" applyBorder="1" applyAlignment="1">
      <alignment horizontal="center" vertical="top" wrapText="1"/>
    </xf>
    <xf numFmtId="49" fontId="6" fillId="0" borderId="34" xfId="0" applyNumberFormat="1" applyFont="1" applyBorder="1" applyAlignment="1">
      <alignment horizontal="left" vertical="center" wrapText="1"/>
    </xf>
    <xf numFmtId="49" fontId="6" fillId="0" borderId="53" xfId="0" applyNumberFormat="1" applyFont="1" applyBorder="1" applyAlignment="1">
      <alignment horizontal="left" vertical="center" wrapText="1"/>
    </xf>
    <xf numFmtId="49" fontId="6" fillId="0" borderId="41" xfId="0" applyNumberFormat="1" applyFont="1" applyBorder="1" applyAlignment="1">
      <alignment horizontal="left" vertical="center" wrapText="1"/>
    </xf>
    <xf numFmtId="0" fontId="5" fillId="0" borderId="0" xfId="0" applyFont="1" applyBorder="1" applyAlignment="1">
      <alignment horizontal="center" vertical="top" wrapText="1"/>
    </xf>
    <xf numFmtId="0" fontId="28" fillId="0" borderId="0" xfId="0" applyNumberFormat="1" applyFont="1" applyBorder="1" applyAlignment="1">
      <alignment horizontal="center" vertical="top" wrapText="1"/>
    </xf>
    <xf numFmtId="0" fontId="28" fillId="0" borderId="69" xfId="0" applyNumberFormat="1" applyFont="1" applyBorder="1" applyAlignment="1">
      <alignment horizontal="center" vertical="top" wrapText="1"/>
    </xf>
    <xf numFmtId="0" fontId="5" fillId="6" borderId="60" xfId="0" applyFont="1" applyFill="1" applyBorder="1" applyAlignment="1">
      <alignment horizontal="left" vertical="center" wrapText="1"/>
    </xf>
    <xf numFmtId="0" fontId="5" fillId="6" borderId="47" xfId="0" applyFont="1" applyFill="1" applyBorder="1" applyAlignment="1">
      <alignment horizontal="left" vertical="center" wrapText="1"/>
    </xf>
    <xf numFmtId="0" fontId="5" fillId="6" borderId="54" xfId="0" applyFont="1" applyFill="1" applyBorder="1" applyAlignment="1">
      <alignment horizontal="left" vertical="center" wrapText="1"/>
    </xf>
    <xf numFmtId="0" fontId="5" fillId="6" borderId="39" xfId="0" applyFont="1" applyFill="1" applyBorder="1" applyAlignment="1">
      <alignment horizontal="left" vertical="center" wrapText="1"/>
    </xf>
    <xf numFmtId="0" fontId="5" fillId="6" borderId="26" xfId="0" applyFont="1" applyFill="1" applyBorder="1" applyAlignment="1">
      <alignment horizontal="left" vertical="center" wrapText="1"/>
    </xf>
    <xf numFmtId="0" fontId="5" fillId="6" borderId="15" xfId="0" applyFont="1" applyFill="1" applyBorder="1" applyAlignment="1">
      <alignment horizontal="left" vertical="center" wrapText="1"/>
    </xf>
    <xf numFmtId="0" fontId="5" fillId="6" borderId="6" xfId="0" applyFont="1" applyFill="1" applyBorder="1" applyAlignment="1">
      <alignment horizontal="left" vertical="center" wrapText="1"/>
    </xf>
    <xf numFmtId="0" fontId="5" fillId="0" borderId="60" xfId="0" applyFont="1" applyFill="1" applyBorder="1" applyAlignment="1">
      <alignment horizontal="left" vertical="top" wrapText="1"/>
    </xf>
    <xf numFmtId="0" fontId="5" fillId="0" borderId="40" xfId="0" applyFont="1" applyFill="1" applyBorder="1" applyAlignment="1">
      <alignment horizontal="left" vertical="top" wrapText="1"/>
    </xf>
    <xf numFmtId="0" fontId="5" fillId="0" borderId="68" xfId="0" applyFont="1" applyFill="1" applyBorder="1" applyAlignment="1">
      <alignment horizontal="left" vertical="center" wrapText="1"/>
    </xf>
    <xf numFmtId="0" fontId="5" fillId="0" borderId="30" xfId="0" applyFont="1" applyFill="1" applyBorder="1" applyAlignment="1">
      <alignment horizontal="left" vertical="center" wrapText="1"/>
    </xf>
    <xf numFmtId="0" fontId="5" fillId="0" borderId="23" xfId="0" applyFont="1" applyFill="1" applyBorder="1" applyAlignment="1">
      <alignment horizontal="left" vertical="top"/>
    </xf>
    <xf numFmtId="0" fontId="5" fillId="0" borderId="46" xfId="0" applyFont="1" applyFill="1" applyBorder="1" applyAlignment="1">
      <alignment horizontal="left" vertical="top"/>
    </xf>
    <xf numFmtId="0" fontId="5" fillId="0" borderId="42" xfId="0" applyFont="1" applyFill="1" applyBorder="1" applyAlignment="1">
      <alignment horizontal="left" vertical="top"/>
    </xf>
    <xf numFmtId="1" fontId="5" fillId="0" borderId="22" xfId="0" applyNumberFormat="1" applyFont="1" applyBorder="1" applyAlignment="1">
      <alignment horizontal="left" vertical="center"/>
    </xf>
    <xf numFmtId="1" fontId="5" fillId="0" borderId="10" xfId="0" applyNumberFormat="1" applyFont="1" applyBorder="1" applyAlignment="1">
      <alignment horizontal="left" vertical="center"/>
    </xf>
    <xf numFmtId="0" fontId="31" fillId="0" borderId="34" xfId="0" applyFont="1" applyFill="1" applyBorder="1" applyAlignment="1">
      <alignment horizontal="center" vertical="center" wrapText="1"/>
    </xf>
    <xf numFmtId="0" fontId="31" fillId="0" borderId="41" xfId="0" applyFont="1" applyFill="1" applyBorder="1" applyAlignment="1">
      <alignment horizontal="center" vertical="center" wrapText="1"/>
    </xf>
    <xf numFmtId="0" fontId="5" fillId="0" borderId="0" xfId="0" applyFont="1" applyAlignment="1">
      <alignment horizontal="center" vertical="top"/>
    </xf>
    <xf numFmtId="0" fontId="5" fillId="0" borderId="69" xfId="0" applyFont="1" applyBorder="1" applyAlignment="1">
      <alignment horizontal="center" vertical="top" wrapText="1"/>
    </xf>
    <xf numFmtId="1" fontId="5" fillId="0" borderId="13" xfId="0" applyNumberFormat="1" applyFont="1" applyFill="1" applyBorder="1" applyAlignment="1">
      <alignment horizontal="left" vertical="top" wrapText="1"/>
    </xf>
    <xf numFmtId="0" fontId="38" fillId="11" borderId="34" xfId="0" applyFont="1" applyFill="1" applyBorder="1" applyAlignment="1">
      <alignment horizontal="center" vertical="center" wrapText="1"/>
    </xf>
    <xf numFmtId="0" fontId="38" fillId="11" borderId="41" xfId="0" applyFont="1" applyFill="1" applyBorder="1" applyAlignment="1">
      <alignment horizontal="center" vertical="center" wrapText="1"/>
    </xf>
    <xf numFmtId="0" fontId="5" fillId="0" borderId="68" xfId="0" applyFont="1" applyFill="1" applyBorder="1" applyAlignment="1">
      <alignment horizontal="left" vertical="top" wrapText="1"/>
    </xf>
    <xf numFmtId="1" fontId="5" fillId="0" borderId="68" xfId="0" applyNumberFormat="1" applyFont="1" applyBorder="1" applyAlignment="1">
      <alignment horizontal="left" vertical="top" wrapText="1"/>
    </xf>
    <xf numFmtId="1" fontId="5" fillId="0" borderId="64" xfId="0" applyNumberFormat="1" applyFont="1" applyBorder="1" applyAlignment="1">
      <alignment horizontal="left" vertical="top" wrapText="1"/>
    </xf>
    <xf numFmtId="1" fontId="5" fillId="0" borderId="22" xfId="0" applyNumberFormat="1" applyFont="1" applyBorder="1" applyAlignment="1">
      <alignment horizontal="left" vertical="top" wrapText="1"/>
    </xf>
    <xf numFmtId="0" fontId="5" fillId="0" borderId="8" xfId="0" applyFont="1" applyBorder="1" applyAlignment="1">
      <alignment horizontal="left" vertical="top" wrapText="1"/>
    </xf>
    <xf numFmtId="1" fontId="28" fillId="0" borderId="68" xfId="0" applyNumberFormat="1" applyFont="1" applyBorder="1" applyAlignment="1">
      <alignment horizontal="left" vertical="top" wrapText="1"/>
    </xf>
    <xf numFmtId="1" fontId="28" fillId="0" borderId="64" xfId="0" applyNumberFormat="1" applyFont="1" applyBorder="1" applyAlignment="1">
      <alignment horizontal="left" vertical="top" wrapText="1"/>
    </xf>
    <xf numFmtId="1" fontId="28" fillId="0" borderId="22" xfId="0" applyNumberFormat="1" applyFont="1" applyBorder="1" applyAlignment="1">
      <alignment horizontal="left" vertical="top" wrapText="1"/>
    </xf>
    <xf numFmtId="0" fontId="28" fillId="0" borderId="13" xfId="0" applyFont="1" applyFill="1" applyBorder="1" applyAlignment="1">
      <alignment horizontal="left" vertical="top" wrapText="1"/>
    </xf>
    <xf numFmtId="1" fontId="28" fillId="0" borderId="23" xfId="0" applyNumberFormat="1" applyFont="1" applyFill="1" applyBorder="1" applyAlignment="1">
      <alignment horizontal="left" vertical="top" wrapText="1"/>
    </xf>
    <xf numFmtId="1" fontId="28" fillId="0" borderId="18" xfId="0" applyNumberFormat="1" applyFont="1" applyFill="1" applyBorder="1" applyAlignment="1">
      <alignment horizontal="left" vertical="top" wrapText="1"/>
    </xf>
    <xf numFmtId="0" fontId="28" fillId="0" borderId="21" xfId="0" applyFont="1" applyFill="1" applyBorder="1" applyAlignment="1">
      <alignment horizontal="left" vertical="top" wrapText="1"/>
    </xf>
    <xf numFmtId="0" fontId="28" fillId="0" borderId="72" xfId="0" applyFont="1" applyFill="1" applyBorder="1" applyAlignment="1">
      <alignment horizontal="left" vertical="top" wrapText="1"/>
    </xf>
    <xf numFmtId="0" fontId="28" fillId="0" borderId="46" xfId="0" applyFont="1" applyFill="1" applyBorder="1" applyAlignment="1">
      <alignment vertical="top" wrapText="1"/>
    </xf>
    <xf numFmtId="0" fontId="28" fillId="0" borderId="13" xfId="0" applyFont="1" applyFill="1" applyBorder="1" applyAlignment="1">
      <alignment vertical="top" wrapText="1"/>
    </xf>
    <xf numFmtId="1" fontId="28" fillId="0" borderId="29" xfId="0" applyNumberFormat="1" applyFont="1" applyFill="1" applyBorder="1" applyAlignment="1">
      <alignment horizontal="left" vertical="top" wrapText="1"/>
    </xf>
    <xf numFmtId="0" fontId="28" fillId="0" borderId="24" xfId="0" applyFont="1" applyFill="1" applyBorder="1" applyAlignment="1">
      <alignment horizontal="left" vertical="top" wrapText="1"/>
    </xf>
    <xf numFmtId="0" fontId="28" fillId="0" borderId="67" xfId="0" applyFont="1" applyFill="1" applyBorder="1" applyAlignment="1">
      <alignment horizontal="left" vertical="top" wrapText="1"/>
    </xf>
    <xf numFmtId="0" fontId="28" fillId="0" borderId="38" xfId="0" applyFont="1" applyFill="1" applyBorder="1" applyAlignment="1">
      <alignment horizontal="left" vertical="top" wrapText="1"/>
    </xf>
    <xf numFmtId="0" fontId="28" fillId="0" borderId="70" xfId="0" applyFont="1" applyFill="1" applyBorder="1" applyAlignment="1">
      <alignment horizontal="left" vertical="top" wrapText="1"/>
    </xf>
    <xf numFmtId="1" fontId="28" fillId="0" borderId="64" xfId="0" applyNumberFormat="1" applyFont="1" applyFill="1" applyBorder="1" applyAlignment="1">
      <alignment horizontal="left" vertical="top" wrapText="1"/>
    </xf>
    <xf numFmtId="1" fontId="28" fillId="0" borderId="22" xfId="0" applyNumberFormat="1" applyFont="1" applyFill="1" applyBorder="1" applyAlignment="1">
      <alignment horizontal="left" vertical="top" wrapText="1"/>
    </xf>
    <xf numFmtId="0" fontId="28" fillId="0" borderId="23" xfId="0" applyFont="1" applyFill="1" applyBorder="1" applyAlignment="1">
      <alignment vertical="top" wrapText="1"/>
    </xf>
    <xf numFmtId="0" fontId="28" fillId="0" borderId="46" xfId="0" applyFont="1" applyBorder="1" applyAlignment="1">
      <alignment vertical="top" wrapText="1"/>
    </xf>
    <xf numFmtId="0" fontId="28" fillId="0" borderId="42" xfId="0" applyFont="1" applyBorder="1" applyAlignment="1">
      <alignment vertical="top" wrapText="1"/>
    </xf>
    <xf numFmtId="1" fontId="28" fillId="0" borderId="46" xfId="0" applyNumberFormat="1" applyFont="1" applyFill="1" applyBorder="1" applyAlignment="1">
      <alignment horizontal="left" vertical="top" wrapText="1"/>
    </xf>
    <xf numFmtId="1" fontId="28" fillId="0" borderId="42" xfId="0" applyNumberFormat="1" applyFont="1" applyFill="1" applyBorder="1" applyAlignment="1">
      <alignment horizontal="left" vertical="top" wrapText="1"/>
    </xf>
    <xf numFmtId="1" fontId="5" fillId="6" borderId="33" xfId="0" applyNumberFormat="1" applyFont="1" applyFill="1" applyBorder="1" applyAlignment="1">
      <alignment vertical="center" wrapText="1"/>
    </xf>
    <xf numFmtId="1" fontId="5" fillId="6" borderId="1" xfId="0" applyNumberFormat="1" applyFont="1" applyFill="1" applyBorder="1" applyAlignment="1">
      <alignment vertical="center" wrapText="1"/>
    </xf>
    <xf numFmtId="0" fontId="28" fillId="0" borderId="42" xfId="0" applyFont="1" applyFill="1" applyBorder="1" applyAlignment="1">
      <alignment vertical="top" wrapText="1"/>
    </xf>
    <xf numFmtId="1" fontId="31" fillId="0" borderId="22" xfId="0" applyNumberFormat="1" applyFont="1" applyBorder="1" applyAlignment="1">
      <alignment horizontal="center" vertical="center" wrapText="1"/>
    </xf>
    <xf numFmtId="1" fontId="31" fillId="0" borderId="10" xfId="0" applyNumberFormat="1" applyFont="1" applyBorder="1" applyAlignment="1">
      <alignment horizontal="center" vertical="center" wrapText="1"/>
    </xf>
    <xf numFmtId="0" fontId="28" fillId="0" borderId="0" xfId="0" applyFont="1" applyFill="1" applyBorder="1" applyAlignment="1">
      <alignment horizontal="center" vertical="top" wrapText="1"/>
    </xf>
    <xf numFmtId="0" fontId="28" fillId="0" borderId="69" xfId="0" applyFont="1" applyFill="1" applyBorder="1" applyAlignment="1">
      <alignment horizontal="center" vertical="top" wrapText="1"/>
    </xf>
    <xf numFmtId="1" fontId="5" fillId="6" borderId="60" xfId="0" applyNumberFormat="1" applyFont="1" applyFill="1" applyBorder="1" applyAlignment="1">
      <alignment vertical="center" wrapText="1"/>
    </xf>
    <xf numFmtId="1" fontId="5" fillId="6" borderId="47" xfId="0" applyNumberFormat="1" applyFont="1" applyFill="1" applyBorder="1" applyAlignment="1">
      <alignment vertical="center" wrapText="1"/>
    </xf>
    <xf numFmtId="0" fontId="28" fillId="0" borderId="59" xfId="0" applyFont="1" applyFill="1" applyBorder="1" applyAlignment="1">
      <alignment horizontal="center" vertical="top" wrapText="1"/>
    </xf>
    <xf numFmtId="1" fontId="5" fillId="6" borderId="54" xfId="0" applyNumberFormat="1" applyFont="1" applyFill="1" applyBorder="1" applyAlignment="1">
      <alignment vertical="center" wrapText="1"/>
    </xf>
    <xf numFmtId="1" fontId="5" fillId="6" borderId="39" xfId="0" applyNumberFormat="1" applyFont="1" applyFill="1" applyBorder="1" applyAlignment="1">
      <alignment vertical="center" wrapText="1"/>
    </xf>
    <xf numFmtId="0" fontId="6" fillId="0" borderId="34"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38" fillId="11" borderId="9" xfId="0" applyFont="1" applyFill="1" applyBorder="1" applyAlignment="1">
      <alignment horizontal="center" vertical="center" wrapText="1"/>
    </xf>
    <xf numFmtId="0" fontId="38" fillId="11" borderId="16" xfId="0" applyFont="1" applyFill="1" applyBorder="1" applyAlignment="1">
      <alignment horizontal="center" vertical="center" wrapText="1"/>
    </xf>
    <xf numFmtId="0" fontId="28" fillId="0" borderId="68" xfId="0" applyFont="1" applyBorder="1" applyAlignment="1">
      <alignment vertical="top" wrapText="1"/>
    </xf>
    <xf numFmtId="0" fontId="28" fillId="0" borderId="64" xfId="0" applyFont="1" applyBorder="1" applyAlignment="1">
      <alignment vertical="top" wrapText="1"/>
    </xf>
    <xf numFmtId="0" fontId="28" fillId="0" borderId="22" xfId="0" applyFont="1" applyBorder="1" applyAlignment="1">
      <alignment vertical="top" wrapText="1"/>
    </xf>
    <xf numFmtId="0" fontId="28" fillId="0" borderId="64" xfId="0" applyFont="1" applyFill="1" applyBorder="1" applyAlignment="1">
      <alignment vertical="top" wrapText="1"/>
    </xf>
    <xf numFmtId="0" fontId="28" fillId="0" borderId="22" xfId="0" applyFont="1" applyFill="1" applyBorder="1" applyAlignment="1">
      <alignment vertical="top" wrapText="1"/>
    </xf>
    <xf numFmtId="1" fontId="31" fillId="0" borderId="64" xfId="0" applyNumberFormat="1" applyFont="1" applyBorder="1" applyAlignment="1">
      <alignment horizontal="center" vertical="center" wrapText="1"/>
    </xf>
    <xf numFmtId="1" fontId="31" fillId="0" borderId="0" xfId="0" applyNumberFormat="1" applyFont="1" applyBorder="1" applyAlignment="1">
      <alignment horizontal="center" vertical="center" wrapText="1"/>
    </xf>
    <xf numFmtId="1" fontId="28" fillId="0" borderId="68" xfId="0" applyNumberFormat="1" applyFont="1" applyFill="1" applyBorder="1" applyAlignment="1">
      <alignment vertical="top" wrapText="1"/>
    </xf>
    <xf numFmtId="0" fontId="28" fillId="0" borderId="68" xfId="0" applyFont="1" applyFill="1" applyBorder="1" applyAlignment="1">
      <alignment vertical="top" wrapText="1"/>
    </xf>
    <xf numFmtId="0" fontId="5" fillId="6" borderId="33" xfId="0" applyFont="1" applyFill="1" applyBorder="1" applyAlignment="1">
      <alignment horizontal="left" vertical="center" wrapText="1"/>
    </xf>
    <xf numFmtId="0" fontId="5" fillId="6" borderId="1" xfId="0" applyFont="1" applyFill="1" applyBorder="1" applyAlignment="1">
      <alignment horizontal="left" vertical="center" wrapText="1"/>
    </xf>
    <xf numFmtId="0" fontId="28" fillId="0" borderId="59" xfId="0" applyFont="1" applyBorder="1" applyAlignment="1">
      <alignment horizontal="center" vertical="top" wrapText="1"/>
    </xf>
    <xf numFmtId="0" fontId="28" fillId="0" borderId="0" xfId="0" applyFont="1" applyAlignment="1">
      <alignment horizontal="center" vertical="top" wrapText="1"/>
    </xf>
    <xf numFmtId="0" fontId="28" fillId="0" borderId="0" xfId="0" applyFont="1" applyBorder="1" applyAlignment="1">
      <alignment horizontal="center" vertical="top" wrapText="1"/>
    </xf>
    <xf numFmtId="0" fontId="5" fillId="0" borderId="69" xfId="0" applyFont="1" applyBorder="1" applyAlignment="1">
      <alignment horizontal="left" vertical="top" wrapText="1"/>
    </xf>
    <xf numFmtId="0" fontId="5" fillId="0" borderId="25" xfId="0" applyFont="1" applyBorder="1" applyAlignment="1">
      <alignment horizontal="left" vertical="top" wrapText="1"/>
    </xf>
    <xf numFmtId="0" fontId="5" fillId="0" borderId="26" xfId="0" applyFont="1" applyBorder="1" applyAlignment="1">
      <alignment horizontal="left" vertical="top" wrapText="1"/>
    </xf>
    <xf numFmtId="0" fontId="5" fillId="0" borderId="20" xfId="0" applyFont="1" applyBorder="1" applyAlignment="1">
      <alignment horizontal="left" vertical="top" wrapText="1"/>
    </xf>
    <xf numFmtId="0" fontId="45" fillId="0" borderId="54" xfId="0" applyFont="1" applyBorder="1" applyAlignment="1">
      <alignment horizontal="left" vertical="top" wrapText="1"/>
    </xf>
    <xf numFmtId="0" fontId="45" fillId="0" borderId="55" xfId="0" applyFont="1" applyBorder="1" applyAlignment="1">
      <alignment horizontal="left" vertical="top" wrapText="1"/>
    </xf>
    <xf numFmtId="0" fontId="45" fillId="0" borderId="33" xfId="0" applyFont="1" applyBorder="1" applyAlignment="1">
      <alignment horizontal="left" vertical="top" wrapText="1"/>
    </xf>
    <xf numFmtId="0" fontId="45" fillId="0" borderId="27" xfId="0" applyFont="1" applyBorder="1" applyAlignment="1">
      <alignment horizontal="left" vertical="top" wrapText="1"/>
    </xf>
    <xf numFmtId="0" fontId="8" fillId="0" borderId="68" xfId="0" applyFont="1" applyBorder="1" applyAlignment="1">
      <alignment horizontal="center" vertical="center" wrapText="1"/>
    </xf>
    <xf numFmtId="0" fontId="8" fillId="0" borderId="30" xfId="0" applyFont="1" applyBorder="1" applyAlignment="1">
      <alignment horizontal="center" vertical="center" wrapText="1"/>
    </xf>
    <xf numFmtId="0" fontId="28" fillId="0" borderId="69" xfId="0" applyFont="1" applyBorder="1" applyAlignment="1">
      <alignment horizontal="center" vertical="top" wrapText="1"/>
    </xf>
    <xf numFmtId="0" fontId="45" fillId="0" borderId="33" xfId="0" applyFont="1" applyFill="1" applyBorder="1" applyAlignment="1">
      <alignment horizontal="left" vertical="top" wrapText="1"/>
    </xf>
    <xf numFmtId="0" fontId="45" fillId="0" borderId="27" xfId="0" applyFont="1" applyFill="1" applyBorder="1" applyAlignment="1">
      <alignment horizontal="left" vertical="top" wrapText="1"/>
    </xf>
    <xf numFmtId="0" fontId="45" fillId="0" borderId="60" xfId="0" applyFont="1" applyBorder="1" applyAlignment="1">
      <alignment horizontal="left" vertical="top" wrapText="1"/>
    </xf>
    <xf numFmtId="0" fontId="45" fillId="0" borderId="40" xfId="0" applyFont="1" applyBorder="1" applyAlignment="1">
      <alignment horizontal="left" vertical="top" wrapText="1"/>
    </xf>
    <xf numFmtId="0" fontId="45" fillId="0" borderId="33" xfId="0" applyNumberFormat="1" applyFont="1" applyFill="1" applyBorder="1" applyAlignment="1">
      <alignment horizontal="left" vertical="top" wrapText="1"/>
    </xf>
    <xf numFmtId="0" fontId="45" fillId="0" borderId="27" xfId="0" applyNumberFormat="1" applyFont="1" applyFill="1" applyBorder="1" applyAlignment="1">
      <alignment horizontal="left" vertical="top" wrapText="1"/>
    </xf>
    <xf numFmtId="0" fontId="5" fillId="0" borderId="38" xfId="0" applyFont="1" applyBorder="1" applyAlignment="1">
      <alignment horizontal="left" vertical="top" wrapText="1"/>
    </xf>
    <xf numFmtId="0" fontId="5" fillId="0" borderId="70" xfId="0" applyFont="1" applyBorder="1" applyAlignment="1">
      <alignment horizontal="left" vertical="top" wrapText="1"/>
    </xf>
    <xf numFmtId="1" fontId="5" fillId="0" borderId="29" xfId="0" applyNumberFormat="1" applyFont="1" applyFill="1" applyBorder="1" applyAlignment="1">
      <alignment horizontal="left" vertical="top" wrapText="1"/>
    </xf>
    <xf numFmtId="0" fontId="5" fillId="0" borderId="21" xfId="0" applyFont="1" applyFill="1" applyBorder="1" applyAlignment="1">
      <alignment horizontal="left" vertical="top" wrapText="1"/>
    </xf>
    <xf numFmtId="0" fontId="5" fillId="0" borderId="24" xfId="0" applyFont="1" applyFill="1" applyBorder="1" applyAlignment="1">
      <alignment horizontal="left" vertical="top" wrapText="1"/>
    </xf>
    <xf numFmtId="0" fontId="5" fillId="0" borderId="23" xfId="0" applyNumberFormat="1" applyFont="1" applyFill="1" applyBorder="1" applyAlignment="1">
      <alignment horizontal="left" vertical="top" wrapText="1"/>
    </xf>
    <xf numFmtId="0" fontId="5" fillId="0" borderId="46" xfId="0" applyNumberFormat="1" applyFont="1" applyFill="1" applyBorder="1" applyAlignment="1">
      <alignment horizontal="left" vertical="top" wrapText="1"/>
    </xf>
    <xf numFmtId="0" fontId="5" fillId="0" borderId="42" xfId="0" applyNumberFormat="1" applyFont="1" applyFill="1" applyBorder="1" applyAlignment="1">
      <alignment horizontal="left" vertical="top" wrapText="1"/>
    </xf>
    <xf numFmtId="0" fontId="5" fillId="0" borderId="9" xfId="0" applyFont="1" applyBorder="1" applyAlignment="1">
      <alignment horizontal="left" vertical="top" wrapText="1"/>
    </xf>
    <xf numFmtId="0" fontId="5" fillId="0" borderId="18" xfId="0" applyFont="1" applyFill="1" applyBorder="1" applyAlignment="1">
      <alignment horizontal="left" vertical="top" wrapText="1"/>
    </xf>
    <xf numFmtId="0" fontId="5" fillId="0" borderId="13" xfId="0" applyFont="1" applyBorder="1" applyAlignment="1">
      <alignment vertical="top" wrapText="1"/>
    </xf>
    <xf numFmtId="1" fontId="5" fillId="0" borderId="23" xfId="0" applyNumberFormat="1" applyFont="1" applyBorder="1" applyAlignment="1">
      <alignment horizontal="left" vertical="top" wrapText="1"/>
    </xf>
    <xf numFmtId="1" fontId="5" fillId="0" borderId="46" xfId="0" applyNumberFormat="1" applyFont="1" applyBorder="1" applyAlignment="1">
      <alignment horizontal="left" vertical="top" wrapText="1"/>
    </xf>
    <xf numFmtId="1" fontId="5" fillId="0" borderId="42" xfId="0" applyNumberFormat="1" applyFont="1" applyBorder="1" applyAlignment="1">
      <alignment horizontal="left" vertical="top" wrapText="1"/>
    </xf>
    <xf numFmtId="49" fontId="6" fillId="0" borderId="34" xfId="0" applyNumberFormat="1" applyFont="1" applyBorder="1" applyAlignment="1">
      <alignment vertical="center" wrapText="1"/>
    </xf>
    <xf numFmtId="49" fontId="6" fillId="0" borderId="53" xfId="0" applyNumberFormat="1" applyFont="1" applyBorder="1" applyAlignment="1">
      <alignment vertical="center" wrapText="1"/>
    </xf>
    <xf numFmtId="49" fontId="6" fillId="0" borderId="41" xfId="0" applyNumberFormat="1" applyFont="1" applyBorder="1" applyAlignment="1">
      <alignment vertical="center" wrapText="1"/>
    </xf>
    <xf numFmtId="1" fontId="5" fillId="6" borderId="54" xfId="0" applyNumberFormat="1" applyFont="1" applyFill="1" applyBorder="1" applyAlignment="1">
      <alignment horizontal="left" vertical="center" wrapText="1"/>
    </xf>
    <xf numFmtId="1" fontId="5" fillId="6" borderId="39" xfId="0" applyNumberFormat="1" applyFont="1" applyFill="1" applyBorder="1" applyAlignment="1">
      <alignment horizontal="left" vertical="center" wrapText="1"/>
    </xf>
    <xf numFmtId="1" fontId="5" fillId="6" borderId="33" xfId="0" applyNumberFormat="1" applyFont="1" applyFill="1" applyBorder="1" applyAlignment="1">
      <alignment horizontal="left" vertical="center" wrapText="1"/>
    </xf>
    <xf numFmtId="1" fontId="5" fillId="6" borderId="1" xfId="0" applyNumberFormat="1" applyFont="1" applyFill="1" applyBorder="1" applyAlignment="1">
      <alignment horizontal="left" vertical="center" wrapText="1"/>
    </xf>
    <xf numFmtId="1" fontId="5" fillId="6" borderId="60" xfId="0" applyNumberFormat="1" applyFont="1" applyFill="1" applyBorder="1" applyAlignment="1">
      <alignment horizontal="left" vertical="center" wrapText="1"/>
    </xf>
    <xf numFmtId="1" fontId="5" fillId="6" borderId="47" xfId="0" applyNumberFormat="1" applyFont="1" applyFill="1" applyBorder="1" applyAlignment="1">
      <alignment horizontal="left" vertical="center" wrapText="1"/>
    </xf>
    <xf numFmtId="0" fontId="5" fillId="0" borderId="2" xfId="0" applyFont="1" applyBorder="1" applyAlignment="1">
      <alignment horizontal="left" vertical="top" wrapText="1"/>
    </xf>
    <xf numFmtId="1" fontId="5" fillId="0" borderId="68" xfId="0" applyNumberFormat="1" applyFont="1" applyFill="1" applyBorder="1" applyAlignment="1">
      <alignment horizontal="left" vertical="top" wrapText="1"/>
    </xf>
    <xf numFmtId="0" fontId="5" fillId="0" borderId="0" xfId="0" applyFont="1" applyAlignment="1">
      <alignment horizontal="center" vertical="top" wrapText="1"/>
    </xf>
    <xf numFmtId="0" fontId="5" fillId="0" borderId="68" xfId="0" applyNumberFormat="1" applyFont="1" applyFill="1" applyBorder="1" applyAlignment="1">
      <alignment horizontal="left" vertical="top" wrapText="1"/>
    </xf>
    <xf numFmtId="0" fontId="5" fillId="0" borderId="64" xfId="0" applyNumberFormat="1" applyFont="1" applyFill="1" applyBorder="1" applyAlignment="1">
      <alignment horizontal="left" vertical="top" wrapText="1"/>
    </xf>
    <xf numFmtId="0" fontId="5" fillId="0" borderId="22" xfId="0" applyNumberFormat="1" applyFont="1" applyFill="1" applyBorder="1" applyAlignment="1">
      <alignment horizontal="left" vertical="top" wrapText="1"/>
    </xf>
    <xf numFmtId="0" fontId="5" fillId="0" borderId="71" xfId="0" applyFont="1" applyBorder="1" applyAlignment="1">
      <alignment horizontal="left" vertical="top" wrapText="1"/>
    </xf>
    <xf numFmtId="0" fontId="5" fillId="0" borderId="18" xfId="0" applyFont="1" applyBorder="1" applyAlignment="1">
      <alignment vertical="top" wrapText="1"/>
    </xf>
    <xf numFmtId="0" fontId="5" fillId="0" borderId="21" xfId="0" applyFont="1" applyBorder="1" applyAlignment="1">
      <alignment vertical="top" wrapText="1"/>
    </xf>
    <xf numFmtId="0" fontId="5" fillId="0" borderId="72" xfId="0" applyFont="1" applyBorder="1" applyAlignment="1">
      <alignment vertical="top" wrapText="1"/>
    </xf>
    <xf numFmtId="0" fontId="5" fillId="0" borderId="29" xfId="0" applyFont="1" applyFill="1" applyBorder="1" applyAlignment="1">
      <alignment horizontal="left" vertical="top" wrapText="1"/>
    </xf>
    <xf numFmtId="0" fontId="5" fillId="0" borderId="72" xfId="0" applyFont="1" applyFill="1" applyBorder="1" applyAlignment="1">
      <alignment horizontal="left" vertical="top" wrapText="1"/>
    </xf>
    <xf numFmtId="2" fontId="5" fillId="0" borderId="34" xfId="0" applyNumberFormat="1" applyFont="1" applyBorder="1" applyAlignment="1">
      <alignment horizontal="left" vertical="center" wrapText="1"/>
    </xf>
    <xf numFmtId="2" fontId="5" fillId="0" borderId="41" xfId="0" applyNumberFormat="1" applyFont="1" applyBorder="1" applyAlignment="1">
      <alignment horizontal="left" vertical="center" wrapText="1"/>
    </xf>
    <xf numFmtId="0" fontId="5" fillId="0" borderId="30" xfId="0" applyFont="1" applyFill="1" applyBorder="1" applyAlignment="1">
      <alignment horizontal="left" vertical="top" wrapText="1"/>
    </xf>
    <xf numFmtId="0" fontId="5" fillId="0" borderId="23" xfId="0" applyFont="1" applyBorder="1" applyAlignment="1">
      <alignment horizontal="left" vertical="center" wrapText="1"/>
    </xf>
    <xf numFmtId="0" fontId="5" fillId="0" borderId="46" xfId="0" applyFont="1" applyBorder="1" applyAlignment="1">
      <alignment horizontal="left" vertical="center" wrapText="1"/>
    </xf>
    <xf numFmtId="0" fontId="5" fillId="0" borderId="42" xfId="0" applyFont="1" applyBorder="1" applyAlignment="1">
      <alignment horizontal="left" vertical="center" wrapText="1"/>
    </xf>
    <xf numFmtId="0" fontId="41" fillId="0" borderId="33" xfId="0" applyFont="1" applyBorder="1" applyAlignment="1">
      <alignment horizontal="left" vertical="top" wrapText="1"/>
    </xf>
    <xf numFmtId="0" fontId="41" fillId="0" borderId="27" xfId="0" applyFont="1" applyBorder="1" applyAlignment="1">
      <alignment horizontal="left" vertical="top" wrapText="1"/>
    </xf>
    <xf numFmtId="0" fontId="5" fillId="0" borderId="33" xfId="0" applyNumberFormat="1" applyFont="1" applyFill="1" applyBorder="1" applyAlignment="1">
      <alignment horizontal="left" vertical="top" wrapText="1"/>
    </xf>
    <xf numFmtId="0" fontId="5" fillId="0" borderId="27" xfId="0" applyNumberFormat="1" applyFont="1" applyFill="1" applyBorder="1" applyAlignment="1">
      <alignment horizontal="left" vertical="top" wrapText="1"/>
    </xf>
    <xf numFmtId="0" fontId="5" fillId="0" borderId="33"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8" fillId="0" borderId="34" xfId="0" applyFont="1" applyFill="1" applyBorder="1" applyAlignment="1">
      <alignment horizontal="center" vertical="center" wrapText="1"/>
    </xf>
    <xf numFmtId="0" fontId="8" fillId="0" borderId="41" xfId="0" applyFont="1" applyFill="1" applyBorder="1" applyAlignment="1">
      <alignment horizontal="center" vertical="center" wrapText="1"/>
    </xf>
    <xf numFmtId="0" fontId="5" fillId="0" borderId="54" xfId="0" applyFont="1" applyFill="1" applyBorder="1" applyAlignment="1">
      <alignment horizontal="left" vertical="top" wrapText="1"/>
    </xf>
    <xf numFmtId="0" fontId="5" fillId="0" borderId="55" xfId="0" applyFont="1" applyFill="1" applyBorder="1" applyAlignment="1">
      <alignment horizontal="left" vertical="top" wrapText="1"/>
    </xf>
    <xf numFmtId="2" fontId="5" fillId="6" borderId="54" xfId="0" applyNumberFormat="1" applyFont="1" applyFill="1" applyBorder="1" applyAlignment="1">
      <alignment horizontal="left" vertical="center" wrapText="1"/>
    </xf>
    <xf numFmtId="2" fontId="5" fillId="6" borderId="39" xfId="0" applyNumberFormat="1" applyFont="1" applyFill="1" applyBorder="1" applyAlignment="1">
      <alignment horizontal="left" vertical="center" wrapText="1"/>
    </xf>
    <xf numFmtId="2" fontId="5" fillId="0" borderId="23" xfId="0" applyNumberFormat="1" applyFont="1" applyFill="1" applyBorder="1" applyAlignment="1">
      <alignment horizontal="left" vertical="top" wrapText="1"/>
    </xf>
    <xf numFmtId="2" fontId="5" fillId="0" borderId="46" xfId="0" applyNumberFormat="1" applyFont="1" applyFill="1" applyBorder="1" applyAlignment="1">
      <alignment horizontal="left" vertical="top" wrapText="1"/>
    </xf>
    <xf numFmtId="2" fontId="5" fillId="0" borderId="42" xfId="0" applyNumberFormat="1" applyFont="1" applyFill="1" applyBorder="1" applyAlignment="1">
      <alignment horizontal="left" vertical="top" wrapText="1"/>
    </xf>
    <xf numFmtId="2" fontId="5" fillId="6" borderId="33" xfId="0" applyNumberFormat="1" applyFont="1" applyFill="1" applyBorder="1" applyAlignment="1">
      <alignment horizontal="left" vertical="center" wrapText="1"/>
    </xf>
    <xf numFmtId="2" fontId="5" fillId="6" borderId="1" xfId="0" applyNumberFormat="1" applyFont="1" applyFill="1" applyBorder="1" applyAlignment="1">
      <alignment horizontal="left" vertical="center" wrapText="1"/>
    </xf>
    <xf numFmtId="2" fontId="5" fillId="6" borderId="60" xfId="0" applyNumberFormat="1" applyFont="1" applyFill="1" applyBorder="1" applyAlignment="1">
      <alignment horizontal="left" vertical="center" wrapText="1"/>
    </xf>
    <xf numFmtId="2" fontId="5" fillId="6" borderId="47" xfId="0" applyNumberFormat="1" applyFont="1" applyFill="1" applyBorder="1" applyAlignment="1">
      <alignment horizontal="left" vertical="center" wrapText="1"/>
    </xf>
    <xf numFmtId="0" fontId="5" fillId="0" borderId="10" xfId="0" applyFont="1" applyBorder="1" applyAlignment="1">
      <alignment horizontal="center" vertical="top" wrapText="1"/>
    </xf>
    <xf numFmtId="0" fontId="5" fillId="0" borderId="34" xfId="0" applyFont="1" applyBorder="1" applyAlignment="1">
      <alignment horizontal="left" vertical="center" wrapText="1"/>
    </xf>
    <xf numFmtId="0" fontId="5" fillId="0" borderId="41" xfId="0" applyFont="1" applyBorder="1" applyAlignment="1">
      <alignment horizontal="left" vertical="center" wrapText="1"/>
    </xf>
    <xf numFmtId="0" fontId="5" fillId="0" borderId="69" xfId="0" applyFont="1" applyFill="1" applyBorder="1" applyAlignment="1">
      <alignment horizontal="left" vertical="top" wrapText="1"/>
    </xf>
    <xf numFmtId="2" fontId="5" fillId="0" borderId="64" xfId="0" applyNumberFormat="1" applyFont="1" applyFill="1" applyBorder="1" applyAlignment="1">
      <alignment horizontal="left" vertical="top" wrapText="1"/>
    </xf>
    <xf numFmtId="0" fontId="105" fillId="0" borderId="32" xfId="0" applyFont="1" applyBorder="1" applyAlignment="1">
      <alignment horizontal="center" vertical="center" wrapText="1"/>
    </xf>
    <xf numFmtId="0" fontId="5" fillId="0" borderId="67" xfId="0" applyFont="1" applyBorder="1" applyAlignment="1">
      <alignment horizontal="left" vertical="top" wrapText="1"/>
    </xf>
    <xf numFmtId="0" fontId="5" fillId="0" borderId="54" xfId="0" applyFont="1" applyBorder="1" applyAlignment="1">
      <alignment horizontal="left" vertical="top" wrapText="1"/>
    </xf>
    <xf numFmtId="0" fontId="5" fillId="0" borderId="55" xfId="0" applyFont="1" applyBorder="1" applyAlignment="1">
      <alignment horizontal="left" vertical="top" wrapText="1"/>
    </xf>
    <xf numFmtId="0" fontId="5" fillId="0" borderId="29" xfId="0" applyFont="1" applyFill="1" applyBorder="1" applyAlignment="1">
      <alignment vertical="top" wrapText="1"/>
    </xf>
    <xf numFmtId="0" fontId="5" fillId="0" borderId="21" xfId="0" applyFont="1" applyFill="1" applyBorder="1" applyAlignment="1">
      <alignment vertical="top" wrapText="1"/>
    </xf>
    <xf numFmtId="0" fontId="5" fillId="0" borderId="24" xfId="0" applyFont="1" applyFill="1" applyBorder="1" applyAlignment="1">
      <alignment vertical="top" wrapText="1"/>
    </xf>
    <xf numFmtId="0" fontId="5" fillId="0" borderId="18" xfId="0" applyFont="1" applyFill="1" applyBorder="1" applyAlignment="1">
      <alignment vertical="top" wrapText="1"/>
    </xf>
    <xf numFmtId="0" fontId="5" fillId="0" borderId="72" xfId="0" applyFont="1" applyFill="1" applyBorder="1" applyAlignment="1">
      <alignment vertical="top" wrapText="1"/>
    </xf>
    <xf numFmtId="1" fontId="5" fillId="0" borderId="59" xfId="0" applyNumberFormat="1" applyFont="1" applyFill="1" applyBorder="1" applyAlignment="1">
      <alignment horizontal="center" vertical="top" wrapText="1"/>
    </xf>
    <xf numFmtId="1" fontId="5" fillId="6" borderId="33" xfId="0" applyNumberFormat="1" applyFont="1" applyFill="1" applyBorder="1" applyAlignment="1">
      <alignment horizontal="right" vertical="center" wrapText="1"/>
    </xf>
    <xf numFmtId="1" fontId="5" fillId="6" borderId="1" xfId="0" applyNumberFormat="1" applyFont="1" applyFill="1" applyBorder="1" applyAlignment="1">
      <alignment horizontal="right" vertical="center" wrapText="1"/>
    </xf>
    <xf numFmtId="0" fontId="5" fillId="0" borderId="13" xfId="0" applyFont="1" applyFill="1" applyBorder="1" applyAlignment="1">
      <alignment vertical="top" wrapText="1"/>
    </xf>
    <xf numFmtId="1" fontId="5" fillId="0" borderId="22" xfId="0" applyNumberFormat="1" applyFont="1" applyFill="1" applyBorder="1" applyAlignment="1">
      <alignment horizontal="left" vertical="top" wrapText="1"/>
    </xf>
    <xf numFmtId="0" fontId="5" fillId="6" borderId="33" xfId="0" applyFont="1" applyFill="1" applyBorder="1" applyAlignment="1">
      <alignment vertical="center" wrapText="1"/>
    </xf>
    <xf numFmtId="0" fontId="5" fillId="6" borderId="1" xfId="0" applyFont="1" applyFill="1" applyBorder="1" applyAlignment="1">
      <alignment vertical="center" wrapText="1"/>
    </xf>
    <xf numFmtId="1" fontId="5" fillId="0" borderId="25" xfId="0" applyNumberFormat="1" applyFont="1" applyFill="1" applyBorder="1" applyAlignment="1">
      <alignment horizontal="left" vertical="top" wrapText="1"/>
    </xf>
    <xf numFmtId="1" fontId="5" fillId="0" borderId="26" xfId="0" applyNumberFormat="1" applyFont="1" applyFill="1" applyBorder="1" applyAlignment="1">
      <alignment horizontal="left" vertical="top" wrapText="1"/>
    </xf>
    <xf numFmtId="1" fontId="5" fillId="0" borderId="20" xfId="0" applyNumberFormat="1" applyFont="1" applyFill="1" applyBorder="1" applyAlignment="1">
      <alignment horizontal="left" vertical="top" wrapText="1"/>
    </xf>
    <xf numFmtId="1" fontId="5" fillId="0" borderId="0" xfId="0" applyNumberFormat="1" applyFont="1" applyFill="1" applyBorder="1" applyAlignment="1">
      <alignment horizontal="center" vertical="top" wrapText="1"/>
    </xf>
    <xf numFmtId="0" fontId="5" fillId="0" borderId="38" xfId="0" applyFont="1" applyFill="1" applyBorder="1" applyAlignment="1">
      <alignment horizontal="left" vertical="top" wrapText="1"/>
    </xf>
    <xf numFmtId="1" fontId="5" fillId="0" borderId="18" xfId="0" applyNumberFormat="1" applyFont="1" applyFill="1" applyBorder="1" applyAlignment="1">
      <alignment horizontal="left" vertical="top" wrapText="1"/>
    </xf>
    <xf numFmtId="1" fontId="5" fillId="0" borderId="21" xfId="0" applyNumberFormat="1" applyFont="1" applyFill="1" applyBorder="1" applyAlignment="1">
      <alignment horizontal="left" vertical="top" wrapText="1"/>
    </xf>
    <xf numFmtId="1" fontId="5" fillId="0" borderId="24" xfId="0" applyNumberFormat="1" applyFont="1" applyFill="1" applyBorder="1" applyAlignment="1">
      <alignment horizontal="left" vertical="top" wrapText="1"/>
    </xf>
    <xf numFmtId="1" fontId="5" fillId="0" borderId="67" xfId="0" applyNumberFormat="1" applyFont="1" applyFill="1" applyBorder="1" applyAlignment="1">
      <alignment horizontal="left" vertical="top" wrapText="1"/>
    </xf>
    <xf numFmtId="1" fontId="5" fillId="0" borderId="38" xfId="0" applyNumberFormat="1" applyFont="1" applyFill="1" applyBorder="1" applyAlignment="1">
      <alignment horizontal="left" vertical="top" wrapText="1"/>
    </xf>
    <xf numFmtId="1" fontId="5" fillId="0" borderId="70" xfId="0" applyNumberFormat="1" applyFont="1" applyFill="1" applyBorder="1" applyAlignment="1">
      <alignment horizontal="left" vertical="top" wrapText="1"/>
    </xf>
    <xf numFmtId="0" fontId="5" fillId="0" borderId="13" xfId="0" applyFont="1" applyFill="1" applyBorder="1" applyAlignment="1">
      <alignment horizontal="left" vertical="top" wrapText="1"/>
    </xf>
    <xf numFmtId="0" fontId="5" fillId="0" borderId="34" xfId="0" applyFont="1" applyFill="1" applyBorder="1" applyAlignment="1">
      <alignment horizontal="left" vertical="top" wrapText="1"/>
    </xf>
    <xf numFmtId="0" fontId="5" fillId="0" borderId="41" xfId="0" applyFont="1" applyFill="1" applyBorder="1" applyAlignment="1">
      <alignment horizontal="left" vertical="top" wrapText="1"/>
    </xf>
    <xf numFmtId="0" fontId="8" fillId="0" borderId="6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5" fillId="0" borderId="23" xfId="0" applyFont="1" applyBorder="1" applyAlignment="1">
      <alignment horizontal="left" vertical="top"/>
    </xf>
    <xf numFmtId="0" fontId="5" fillId="0" borderId="46" xfId="0" applyFont="1" applyBorder="1" applyAlignment="1">
      <alignment horizontal="left" vertical="top"/>
    </xf>
    <xf numFmtId="0" fontId="5" fillId="0" borderId="42" xfId="0" applyFont="1" applyBorder="1" applyAlignment="1">
      <alignment horizontal="left" vertical="top"/>
    </xf>
    <xf numFmtId="1" fontId="31" fillId="0" borderId="64" xfId="0" applyNumberFormat="1" applyFont="1" applyBorder="1" applyAlignment="1">
      <alignment horizontal="center" vertical="center"/>
    </xf>
    <xf numFmtId="1" fontId="31" fillId="0" borderId="0" xfId="0" applyNumberFormat="1" applyFont="1" applyBorder="1" applyAlignment="1">
      <alignment horizontal="center" vertical="center"/>
    </xf>
    <xf numFmtId="0" fontId="5" fillId="0" borderId="13" xfId="0" applyNumberFormat="1" applyFont="1" applyFill="1" applyBorder="1" applyAlignment="1">
      <alignment horizontal="left" vertical="top" wrapText="1"/>
    </xf>
    <xf numFmtId="1" fontId="5" fillId="6" borderId="33" xfId="0" applyNumberFormat="1" applyFont="1" applyFill="1" applyBorder="1" applyAlignment="1">
      <alignment horizontal="left" vertical="center"/>
    </xf>
    <xf numFmtId="1" fontId="5" fillId="6" borderId="1" xfId="0" applyNumberFormat="1" applyFont="1" applyFill="1" applyBorder="1" applyAlignment="1">
      <alignment horizontal="left" vertical="center"/>
    </xf>
    <xf numFmtId="1" fontId="5" fillId="6" borderId="60" xfId="0" applyNumberFormat="1" applyFont="1" applyFill="1" applyBorder="1" applyAlignment="1">
      <alignment horizontal="left" vertical="center"/>
    </xf>
    <xf numFmtId="1" fontId="5" fillId="6" borderId="47" xfId="0" applyNumberFormat="1" applyFont="1" applyFill="1" applyBorder="1" applyAlignment="1">
      <alignment horizontal="left" vertical="center"/>
    </xf>
    <xf numFmtId="0" fontId="5" fillId="0" borderId="59" xfId="0" applyFont="1" applyFill="1" applyBorder="1" applyAlignment="1">
      <alignment horizontal="center" vertical="top" wrapText="1"/>
    </xf>
    <xf numFmtId="0" fontId="5" fillId="0" borderId="0" xfId="0" applyFont="1" applyFill="1" applyBorder="1" applyAlignment="1">
      <alignment horizontal="center" vertical="top" wrapText="1"/>
    </xf>
    <xf numFmtId="0" fontId="5" fillId="0" borderId="10" xfId="0" applyFont="1" applyBorder="1" applyAlignment="1">
      <alignment horizontal="center" vertical="top"/>
    </xf>
    <xf numFmtId="0" fontId="5" fillId="0" borderId="0" xfId="0" applyFont="1" applyBorder="1" applyAlignment="1">
      <alignment horizontal="center" vertical="top"/>
    </xf>
    <xf numFmtId="0" fontId="5" fillId="0" borderId="69" xfId="0" applyFont="1" applyBorder="1" applyAlignment="1">
      <alignment horizontal="center" vertical="top"/>
    </xf>
    <xf numFmtId="0" fontId="5" fillId="0" borderId="70" xfId="0" applyFont="1" applyFill="1" applyBorder="1" applyAlignment="1">
      <alignment horizontal="left" vertical="top" wrapText="1"/>
    </xf>
    <xf numFmtId="0" fontId="5" fillId="0" borderId="8" xfId="0" applyFont="1" applyFill="1" applyBorder="1" applyAlignment="1">
      <alignment horizontal="left" vertical="top" wrapText="1"/>
    </xf>
    <xf numFmtId="0" fontId="5" fillId="0" borderId="2" xfId="0" applyFont="1" applyFill="1" applyBorder="1" applyAlignment="1">
      <alignment horizontal="left" vertical="top" wrapText="1"/>
    </xf>
    <xf numFmtId="0" fontId="5" fillId="0" borderId="9" xfId="0" applyFont="1" applyFill="1" applyBorder="1" applyAlignment="1">
      <alignment horizontal="left" vertical="top" wrapText="1"/>
    </xf>
    <xf numFmtId="0" fontId="5" fillId="3" borderId="46" xfId="0" applyFont="1" applyFill="1" applyBorder="1" applyAlignment="1">
      <alignment horizontal="left" vertical="top" wrapText="1"/>
    </xf>
    <xf numFmtId="0" fontId="5" fillId="3" borderId="42" xfId="0" applyFont="1" applyFill="1" applyBorder="1" applyAlignment="1">
      <alignment horizontal="left" vertical="top" wrapText="1"/>
    </xf>
    <xf numFmtId="0" fontId="5" fillId="0" borderId="19" xfId="0" applyFont="1" applyFill="1" applyBorder="1" applyAlignment="1">
      <alignment horizontal="left" vertical="top" wrapText="1"/>
    </xf>
    <xf numFmtId="0" fontId="5" fillId="0" borderId="26" xfId="0" applyFont="1" applyFill="1" applyBorder="1" applyAlignment="1">
      <alignment horizontal="left" vertical="top" wrapText="1"/>
    </xf>
    <xf numFmtId="0" fontId="5" fillId="0" borderId="20" xfId="0" applyFont="1" applyFill="1" applyBorder="1" applyAlignment="1">
      <alignment horizontal="left" vertical="top" wrapText="1"/>
    </xf>
    <xf numFmtId="1" fontId="5" fillId="0" borderId="64" xfId="0" applyNumberFormat="1" applyFont="1" applyBorder="1" applyAlignment="1">
      <alignment horizontal="center" vertical="center"/>
    </xf>
    <xf numFmtId="1" fontId="5" fillId="0" borderId="0" xfId="0" applyNumberFormat="1" applyFont="1" applyBorder="1" applyAlignment="1">
      <alignment horizontal="center" vertical="center"/>
    </xf>
    <xf numFmtId="0" fontId="38" fillId="11" borderId="37" xfId="0" applyFont="1" applyFill="1" applyBorder="1" applyAlignment="1">
      <alignment horizontal="center" vertical="center" wrapText="1"/>
    </xf>
    <xf numFmtId="0" fontId="5" fillId="0" borderId="59" xfId="0" applyNumberFormat="1" applyFont="1" applyBorder="1" applyAlignment="1">
      <alignment horizontal="center" vertical="top" wrapText="1"/>
    </xf>
    <xf numFmtId="0" fontId="5" fillId="0" borderId="0" xfId="0" applyNumberFormat="1" applyFont="1" applyBorder="1" applyAlignment="1">
      <alignment horizontal="center" vertical="top" wrapText="1"/>
    </xf>
    <xf numFmtId="1" fontId="5" fillId="6" borderId="54" xfId="0" applyNumberFormat="1" applyFont="1" applyFill="1" applyBorder="1" applyAlignment="1">
      <alignment horizontal="left" vertical="center"/>
    </xf>
    <xf numFmtId="1" fontId="5" fillId="6" borderId="39" xfId="0" applyNumberFormat="1" applyFont="1" applyFill="1" applyBorder="1" applyAlignment="1">
      <alignment horizontal="left" vertical="center"/>
    </xf>
    <xf numFmtId="0" fontId="5" fillId="0" borderId="62" xfId="0" applyFont="1" applyFill="1" applyBorder="1" applyAlignment="1">
      <alignment horizontal="left" vertical="top" wrapText="1"/>
    </xf>
    <xf numFmtId="1" fontId="5" fillId="0" borderId="13" xfId="0" applyNumberFormat="1" applyFont="1" applyBorder="1" applyAlignment="1">
      <alignment horizontal="left" vertical="top" wrapText="1"/>
    </xf>
    <xf numFmtId="1" fontId="5" fillId="0" borderId="25" xfId="0" applyNumberFormat="1" applyFont="1" applyBorder="1" applyAlignment="1">
      <alignment horizontal="left" vertical="top" wrapText="1"/>
    </xf>
    <xf numFmtId="1" fontId="5" fillId="0" borderId="26" xfId="0" applyNumberFormat="1" applyFont="1" applyBorder="1" applyAlignment="1">
      <alignment horizontal="left" vertical="top" wrapText="1"/>
    </xf>
    <xf numFmtId="1" fontId="5" fillId="0" borderId="20" xfId="0" applyNumberFormat="1" applyFont="1" applyBorder="1" applyAlignment="1">
      <alignment horizontal="left" vertical="top" wrapText="1"/>
    </xf>
    <xf numFmtId="1" fontId="5" fillId="0" borderId="64" xfId="0" applyNumberFormat="1" applyFont="1" applyBorder="1" applyAlignment="1">
      <alignment horizontal="center" vertical="center" wrapText="1"/>
    </xf>
    <xf numFmtId="1" fontId="5" fillId="0" borderId="0" xfId="0" applyNumberFormat="1" applyFont="1" applyBorder="1" applyAlignment="1">
      <alignment horizontal="center" vertical="center" wrapText="1"/>
    </xf>
    <xf numFmtId="0" fontId="5" fillId="0" borderId="71" xfId="0" applyFont="1" applyFill="1" applyBorder="1" applyAlignment="1">
      <alignment horizontal="left" vertical="top" wrapText="1"/>
    </xf>
    <xf numFmtId="0" fontId="5" fillId="0" borderId="0" xfId="0" applyFont="1" applyFill="1" applyBorder="1" applyAlignment="1">
      <alignment horizontal="left" vertical="top" wrapText="1"/>
    </xf>
    <xf numFmtId="0" fontId="5" fillId="0" borderId="10" xfId="0" applyFont="1" applyFill="1" applyBorder="1" applyAlignment="1">
      <alignment horizontal="left" vertical="top" wrapText="1"/>
    </xf>
    <xf numFmtId="0" fontId="5" fillId="0" borderId="0" xfId="0" applyNumberFormat="1" applyFont="1" applyFill="1" applyBorder="1" applyAlignment="1">
      <alignment horizontal="center" vertical="top" wrapText="1"/>
    </xf>
    <xf numFmtId="0" fontId="5" fillId="0" borderId="69" xfId="0" applyNumberFormat="1" applyFont="1" applyFill="1" applyBorder="1" applyAlignment="1">
      <alignment horizontal="center" vertical="top" wrapText="1"/>
    </xf>
    <xf numFmtId="0" fontId="5" fillId="3" borderId="23" xfId="0" applyFont="1" applyFill="1" applyBorder="1" applyAlignment="1">
      <alignment horizontal="left" vertical="top" wrapText="1"/>
    </xf>
    <xf numFmtId="0" fontId="5" fillId="0" borderId="10" xfId="0" applyNumberFormat="1" applyFont="1" applyFill="1" applyBorder="1" applyAlignment="1">
      <alignment horizontal="center" vertical="top" wrapText="1"/>
    </xf>
    <xf numFmtId="0" fontId="41" fillId="0" borderId="60" xfId="0" applyFont="1" applyFill="1" applyBorder="1" applyAlignment="1">
      <alignment horizontal="left" vertical="top" wrapText="1"/>
    </xf>
    <xf numFmtId="0" fontId="41" fillId="0" borderId="40" xfId="0" applyFont="1" applyFill="1" applyBorder="1" applyAlignment="1">
      <alignment horizontal="left" vertical="top" wrapText="1"/>
    </xf>
    <xf numFmtId="1" fontId="31" fillId="0" borderId="64" xfId="0" applyNumberFormat="1" applyFont="1" applyFill="1" applyBorder="1" applyAlignment="1">
      <alignment horizontal="center" vertical="center"/>
    </xf>
    <xf numFmtId="1" fontId="31" fillId="0" borderId="0" xfId="0" applyNumberFormat="1" applyFont="1" applyFill="1" applyBorder="1" applyAlignment="1">
      <alignment horizontal="center" vertical="center"/>
    </xf>
    <xf numFmtId="1" fontId="5" fillId="0" borderId="68" xfId="0" applyNumberFormat="1" applyFont="1" applyFill="1" applyBorder="1" applyAlignment="1">
      <alignment vertical="top" wrapText="1"/>
    </xf>
    <xf numFmtId="1" fontId="5" fillId="0" borderId="64" xfId="0" applyNumberFormat="1" applyFont="1" applyFill="1" applyBorder="1" applyAlignment="1">
      <alignment vertical="top" wrapText="1"/>
    </xf>
    <xf numFmtId="1" fontId="5" fillId="0" borderId="22" xfId="0" applyNumberFormat="1" applyFont="1" applyFill="1" applyBorder="1" applyAlignment="1">
      <alignment vertical="top" wrapText="1"/>
    </xf>
    <xf numFmtId="0" fontId="5" fillId="0" borderId="67" xfId="0" applyFont="1" applyFill="1" applyBorder="1" applyAlignment="1">
      <alignment horizontal="left" vertical="top" wrapText="1"/>
    </xf>
    <xf numFmtId="0" fontId="10" fillId="0" borderId="46" xfId="0" applyFont="1" applyFill="1" applyBorder="1">
      <alignment vertical="top"/>
    </xf>
    <xf numFmtId="0" fontId="10" fillId="0" borderId="42" xfId="0" applyFont="1" applyFill="1" applyBorder="1">
      <alignment vertical="top"/>
    </xf>
    <xf numFmtId="0" fontId="5" fillId="0" borderId="0" xfId="0" applyFont="1" applyBorder="1" applyAlignment="1">
      <alignment horizontal="left" vertical="top" wrapText="1"/>
    </xf>
    <xf numFmtId="0" fontId="5" fillId="0" borderId="10" xfId="0" applyFont="1" applyBorder="1" applyAlignment="1">
      <alignment horizontal="left" vertical="top" wrapText="1"/>
    </xf>
    <xf numFmtId="1" fontId="5" fillId="0" borderId="23" xfId="0" applyNumberFormat="1" applyFont="1" applyFill="1" applyBorder="1" applyAlignment="1">
      <alignment vertical="top" wrapText="1"/>
    </xf>
    <xf numFmtId="0" fontId="5" fillId="0" borderId="69" xfId="0" applyNumberFormat="1" applyFont="1" applyBorder="1" applyAlignment="1">
      <alignment horizontal="center" vertical="top" wrapText="1"/>
    </xf>
    <xf numFmtId="0" fontId="5" fillId="0" borderId="10" xfId="0" applyNumberFormat="1" applyFont="1" applyBorder="1" applyAlignment="1">
      <alignment horizontal="center" vertical="top" wrapText="1"/>
    </xf>
    <xf numFmtId="0" fontId="5" fillId="0" borderId="31" xfId="0" applyFont="1" applyBorder="1" applyAlignment="1">
      <alignment horizontal="left" vertical="top" wrapText="1"/>
    </xf>
    <xf numFmtId="0" fontId="39" fillId="0" borderId="23" xfId="0" applyFont="1" applyFill="1" applyBorder="1" applyAlignment="1">
      <alignment vertical="top" wrapText="1"/>
    </xf>
    <xf numFmtId="0" fontId="39" fillId="0" borderId="46" xfId="0" applyFont="1" applyFill="1" applyBorder="1" applyAlignment="1">
      <alignment vertical="top" wrapText="1"/>
    </xf>
    <xf numFmtId="0" fontId="39" fillId="0" borderId="42" xfId="0" applyFont="1" applyFill="1" applyBorder="1" applyAlignment="1">
      <alignment vertical="top" wrapText="1"/>
    </xf>
    <xf numFmtId="0" fontId="57" fillId="11" borderId="9" xfId="0" applyFont="1" applyFill="1" applyBorder="1" applyAlignment="1">
      <alignment horizontal="center" vertical="center" wrapText="1"/>
    </xf>
    <xf numFmtId="0" fontId="57" fillId="11" borderId="16" xfId="0" applyFont="1" applyFill="1" applyBorder="1" applyAlignment="1">
      <alignment vertical="center" wrapText="1"/>
    </xf>
    <xf numFmtId="0" fontId="39" fillId="0" borderId="23" xfId="0" applyFont="1" applyFill="1" applyBorder="1" applyAlignment="1">
      <alignment horizontal="left" vertical="top" wrapText="1"/>
    </xf>
    <xf numFmtId="0" fontId="39" fillId="0" borderId="46" xfId="0" applyFont="1" applyFill="1" applyBorder="1" applyAlignment="1">
      <alignment horizontal="left" vertical="top" wrapText="1"/>
    </xf>
    <xf numFmtId="0" fontId="39" fillId="0" borderId="42" xfId="0" applyFont="1" applyFill="1" applyBorder="1" applyAlignment="1">
      <alignment horizontal="left" vertical="top" wrapText="1"/>
    </xf>
    <xf numFmtId="0" fontId="5" fillId="0" borderId="58" xfId="0" applyFont="1" applyBorder="1" applyAlignment="1">
      <alignment horizontal="left" vertical="top" wrapText="1"/>
    </xf>
    <xf numFmtId="1" fontId="5" fillId="6" borderId="26" xfId="0" applyNumberFormat="1" applyFont="1" applyFill="1" applyBorder="1" applyAlignment="1">
      <alignment horizontal="left" vertical="center"/>
    </xf>
    <xf numFmtId="1" fontId="5" fillId="6" borderId="15" xfId="0" applyNumberFormat="1" applyFont="1" applyFill="1" applyBorder="1" applyAlignment="1">
      <alignment horizontal="left" vertical="center"/>
    </xf>
    <xf numFmtId="1" fontId="5" fillId="6" borderId="6" xfId="0" applyNumberFormat="1" applyFont="1" applyFill="1" applyBorder="1" applyAlignment="1">
      <alignment horizontal="left" vertical="center"/>
    </xf>
    <xf numFmtId="0" fontId="8" fillId="0" borderId="34" xfId="0" applyFont="1" applyFill="1" applyBorder="1" applyAlignment="1">
      <alignment horizontal="center" wrapText="1"/>
    </xf>
    <xf numFmtId="0" fontId="8" fillId="0" borderId="41" xfId="0" applyFont="1" applyFill="1" applyBorder="1" applyAlignment="1">
      <alignment horizontal="center" wrapText="1"/>
    </xf>
    <xf numFmtId="1" fontId="5" fillId="6" borderId="20" xfId="0" applyNumberFormat="1" applyFont="1" applyFill="1" applyBorder="1" applyAlignment="1">
      <alignment horizontal="left" vertical="center"/>
    </xf>
    <xf numFmtId="1" fontId="5" fillId="6" borderId="36" xfId="0" applyNumberFormat="1" applyFont="1" applyFill="1" applyBorder="1" applyAlignment="1">
      <alignment horizontal="left" vertical="center"/>
    </xf>
    <xf numFmtId="1" fontId="5" fillId="6" borderId="50" xfId="0" applyNumberFormat="1" applyFont="1" applyFill="1" applyBorder="1" applyAlignment="1">
      <alignment horizontal="left" vertical="center"/>
    </xf>
    <xf numFmtId="1" fontId="5" fillId="6" borderId="25" xfId="0" applyNumberFormat="1" applyFont="1" applyFill="1" applyBorder="1" applyAlignment="1">
      <alignment horizontal="left" vertical="center"/>
    </xf>
    <xf numFmtId="1" fontId="5" fillId="6" borderId="63" xfId="0" applyNumberFormat="1" applyFont="1" applyFill="1" applyBorder="1" applyAlignment="1">
      <alignment horizontal="left" vertical="center"/>
    </xf>
    <xf numFmtId="1" fontId="5" fillId="6" borderId="66" xfId="0" applyNumberFormat="1" applyFont="1" applyFill="1" applyBorder="1" applyAlignment="1">
      <alignment horizontal="left" vertical="center"/>
    </xf>
    <xf numFmtId="0" fontId="5" fillId="0" borderId="30" xfId="0" applyFont="1" applyBorder="1" applyAlignment="1">
      <alignment horizontal="left" vertical="top"/>
    </xf>
    <xf numFmtId="0" fontId="5" fillId="0" borderId="69" xfId="0" applyFont="1" applyBorder="1" applyAlignment="1">
      <alignment horizontal="left" vertical="top"/>
    </xf>
    <xf numFmtId="0" fontId="5" fillId="0" borderId="71" xfId="0" applyFont="1" applyBorder="1" applyAlignment="1">
      <alignment horizontal="left" vertical="top"/>
    </xf>
    <xf numFmtId="49" fontId="41" fillId="0" borderId="54" xfId="0" applyNumberFormat="1" applyFont="1" applyBorder="1" applyAlignment="1">
      <alignment horizontal="left" vertical="top" wrapText="1"/>
    </xf>
    <xf numFmtId="49" fontId="41" fillId="0" borderId="55" xfId="0" applyNumberFormat="1" applyFont="1" applyBorder="1" applyAlignment="1">
      <alignment horizontal="left" vertical="top" wrapText="1"/>
    </xf>
    <xf numFmtId="0" fontId="41" fillId="0" borderId="60" xfId="0" applyFont="1" applyBorder="1" applyAlignment="1">
      <alignment horizontal="left" vertical="top" wrapText="1"/>
    </xf>
    <xf numFmtId="0" fontId="41" fillId="0" borderId="40" xfId="0" applyFont="1" applyBorder="1" applyAlignment="1">
      <alignment horizontal="left" vertical="top" wrapText="1"/>
    </xf>
    <xf numFmtId="1" fontId="26" fillId="0" borderId="22" xfId="0" applyNumberFormat="1" applyFont="1" applyBorder="1" applyAlignment="1">
      <alignment horizontal="center" vertical="center"/>
    </xf>
    <xf numFmtId="1" fontId="26" fillId="0" borderId="10" xfId="0" applyNumberFormat="1" applyFont="1" applyBorder="1" applyAlignment="1">
      <alignment horizontal="center" vertical="center"/>
    </xf>
    <xf numFmtId="0" fontId="41" fillId="0" borderId="33" xfId="0" applyNumberFormat="1" applyFont="1" applyFill="1" applyBorder="1" applyAlignment="1">
      <alignment horizontal="left" vertical="top" wrapText="1"/>
    </xf>
    <xf numFmtId="0" fontId="41" fillId="0" borderId="27" xfId="0" applyNumberFormat="1" applyFont="1" applyFill="1" applyBorder="1" applyAlignment="1">
      <alignment horizontal="left" vertical="top" wrapText="1"/>
    </xf>
    <xf numFmtId="0" fontId="5" fillId="0" borderId="31" xfId="0" applyFont="1" applyFill="1" applyBorder="1" applyAlignment="1">
      <alignment horizontal="left" vertical="top" wrapText="1"/>
    </xf>
    <xf numFmtId="0" fontId="41" fillId="0" borderId="26" xfId="0" applyFont="1" applyBorder="1" applyAlignment="1">
      <alignment horizontal="left" vertical="top" wrapText="1"/>
    </xf>
    <xf numFmtId="0" fontId="41" fillId="0" borderId="31" xfId="0" applyFont="1" applyBorder="1" applyAlignment="1">
      <alignment horizontal="left" vertical="top" wrapText="1"/>
    </xf>
    <xf numFmtId="0" fontId="5" fillId="6" borderId="54" xfId="0" applyFont="1" applyFill="1" applyBorder="1" applyAlignment="1">
      <alignment horizontal="left" vertical="center"/>
    </xf>
    <xf numFmtId="0" fontId="5" fillId="6" borderId="39" xfId="0" applyFont="1" applyFill="1" applyBorder="1" applyAlignment="1">
      <alignment horizontal="left" vertical="center"/>
    </xf>
    <xf numFmtId="0" fontId="5" fillId="6" borderId="33" xfId="0" applyFont="1" applyFill="1" applyBorder="1" applyAlignment="1">
      <alignment horizontal="left" vertical="center"/>
    </xf>
    <xf numFmtId="0" fontId="5" fillId="6" borderId="1" xfId="0" applyFont="1" applyFill="1" applyBorder="1" applyAlignment="1">
      <alignment horizontal="left" vertical="center"/>
    </xf>
    <xf numFmtId="0" fontId="5" fillId="6" borderId="60" xfId="0" applyFont="1" applyFill="1" applyBorder="1" applyAlignment="1">
      <alignment horizontal="left" vertical="center"/>
    </xf>
    <xf numFmtId="0" fontId="5" fillId="6" borderId="47" xfId="0" applyFont="1" applyFill="1" applyBorder="1" applyAlignment="1">
      <alignment horizontal="left" vertical="center"/>
    </xf>
    <xf numFmtId="1" fontId="5" fillId="0" borderId="0" xfId="0" applyNumberFormat="1" applyFont="1" applyBorder="1" applyAlignment="1">
      <alignment horizontal="center" vertical="top"/>
    </xf>
    <xf numFmtId="1" fontId="5" fillId="0" borderId="10" xfId="0" applyNumberFormat="1" applyFont="1" applyBorder="1" applyAlignment="1">
      <alignment horizontal="center" vertical="top"/>
    </xf>
    <xf numFmtId="2" fontId="26" fillId="0" borderId="23" xfId="0" applyNumberFormat="1" applyFont="1" applyFill="1" applyBorder="1" applyAlignment="1">
      <alignment horizontal="left" vertical="top" wrapText="1"/>
    </xf>
    <xf numFmtId="2" fontId="26" fillId="0" borderId="46" xfId="0" applyNumberFormat="1" applyFont="1" applyFill="1" applyBorder="1" applyAlignment="1">
      <alignment horizontal="left" vertical="top" wrapText="1"/>
    </xf>
    <xf numFmtId="2" fontId="26" fillId="0" borderId="42" xfId="0" applyNumberFormat="1" applyFont="1" applyFill="1" applyBorder="1" applyAlignment="1">
      <alignment horizontal="left" vertical="top" wrapText="1"/>
    </xf>
    <xf numFmtId="2" fontId="5" fillId="0" borderId="23" xfId="0" applyNumberFormat="1" applyFont="1" applyFill="1" applyBorder="1" applyAlignment="1">
      <alignment vertical="top" wrapText="1"/>
    </xf>
    <xf numFmtId="2" fontId="26" fillId="0" borderId="68" xfId="0" applyNumberFormat="1" applyFont="1" applyFill="1" applyBorder="1" applyAlignment="1">
      <alignment horizontal="left" vertical="top" wrapText="1"/>
    </xf>
    <xf numFmtId="2" fontId="26" fillId="0" borderId="64" xfId="0" applyNumberFormat="1" applyFont="1" applyFill="1" applyBorder="1" applyAlignment="1">
      <alignment horizontal="left" vertical="top" wrapText="1"/>
    </xf>
    <xf numFmtId="2" fontId="26" fillId="0" borderId="22" xfId="0" applyNumberFormat="1" applyFont="1" applyFill="1" applyBorder="1" applyAlignment="1">
      <alignment horizontal="left" vertical="top" wrapText="1"/>
    </xf>
    <xf numFmtId="0" fontId="38" fillId="11" borderId="16" xfId="0" applyFont="1" applyFill="1" applyBorder="1" applyAlignment="1">
      <alignment vertical="center" wrapText="1"/>
    </xf>
    <xf numFmtId="2" fontId="26" fillId="0" borderId="46" xfId="0" applyNumberFormat="1" applyFont="1" applyFill="1" applyBorder="1" applyAlignment="1">
      <alignment vertical="top" wrapText="1"/>
    </xf>
    <xf numFmtId="0" fontId="26" fillId="0" borderId="46" xfId="0" applyFont="1" applyBorder="1" applyAlignment="1">
      <alignment vertical="top" wrapText="1"/>
    </xf>
    <xf numFmtId="0" fontId="26" fillId="0" borderId="42" xfId="0" applyFont="1" applyBorder="1" applyAlignment="1">
      <alignment vertical="top" wrapText="1"/>
    </xf>
    <xf numFmtId="0" fontId="26" fillId="0" borderId="23" xfId="0" applyFont="1" applyFill="1" applyBorder="1" applyAlignment="1">
      <alignment horizontal="left" vertical="top" wrapText="1"/>
    </xf>
    <xf numFmtId="0" fontId="26" fillId="0" borderId="46" xfId="0" applyFont="1" applyFill="1" applyBorder="1" applyAlignment="1">
      <alignment horizontal="left" vertical="top" wrapText="1"/>
    </xf>
    <xf numFmtId="0" fontId="26" fillId="0" borderId="42" xfId="0" applyFont="1" applyFill="1" applyBorder="1" applyAlignment="1">
      <alignment horizontal="left" vertical="top" wrapText="1"/>
    </xf>
    <xf numFmtId="2" fontId="26" fillId="0" borderId="68" xfId="0" applyNumberFormat="1" applyFont="1" applyFill="1" applyBorder="1" applyAlignment="1">
      <alignment vertical="top" wrapText="1"/>
    </xf>
    <xf numFmtId="0" fontId="26" fillId="0" borderId="64" xfId="0" applyFont="1" applyBorder="1" applyAlignment="1">
      <alignment vertical="top" wrapText="1"/>
    </xf>
    <xf numFmtId="0" fontId="26" fillId="0" borderId="22" xfId="0" applyFont="1" applyBorder="1" applyAlignment="1">
      <alignment vertical="top" wrapText="1"/>
    </xf>
    <xf numFmtId="0" fontId="26" fillId="0" borderId="13" xfId="0" applyFont="1" applyFill="1" applyBorder="1" applyAlignment="1">
      <alignment horizontal="left" vertical="top" wrapText="1"/>
    </xf>
    <xf numFmtId="0" fontId="26" fillId="0" borderId="58" xfId="0" applyFont="1" applyFill="1" applyBorder="1" applyAlignment="1">
      <alignment horizontal="left" vertical="top" wrapText="1"/>
    </xf>
    <xf numFmtId="2" fontId="26" fillId="0" borderId="64" xfId="0" applyNumberFormat="1" applyFont="1" applyFill="1" applyBorder="1" applyAlignment="1">
      <alignment vertical="top" wrapText="1"/>
    </xf>
    <xf numFmtId="2" fontId="26" fillId="0" borderId="22" xfId="0" applyNumberFormat="1" applyFont="1" applyFill="1" applyBorder="1" applyAlignment="1">
      <alignment vertical="top" wrapText="1"/>
    </xf>
    <xf numFmtId="1" fontId="26" fillId="0" borderId="23" xfId="0" applyNumberFormat="1" applyFont="1" applyBorder="1" applyAlignment="1">
      <alignment horizontal="left" vertical="top" wrapText="1"/>
    </xf>
    <xf numFmtId="1" fontId="26" fillId="0" borderId="46" xfId="0" applyNumberFormat="1" applyFont="1" applyBorder="1" applyAlignment="1">
      <alignment horizontal="left" vertical="top" wrapText="1"/>
    </xf>
    <xf numFmtId="1" fontId="26" fillId="0" borderId="42" xfId="0" applyNumberFormat="1" applyFont="1" applyBorder="1" applyAlignment="1">
      <alignment horizontal="left" vertical="top" wrapText="1"/>
    </xf>
    <xf numFmtId="1" fontId="26" fillId="0" borderId="23" xfId="0" applyNumberFormat="1" applyFont="1" applyBorder="1" applyAlignment="1">
      <alignment horizontal="center" vertical="top" wrapText="1"/>
    </xf>
    <xf numFmtId="1" fontId="26" fillId="0" borderId="46" xfId="0" applyNumberFormat="1" applyFont="1" applyBorder="1" applyAlignment="1">
      <alignment horizontal="center" vertical="top" wrapText="1"/>
    </xf>
    <xf numFmtId="1" fontId="26" fillId="0" borderId="42" xfId="0" applyNumberFormat="1" applyFont="1" applyBorder="1" applyAlignment="1">
      <alignment horizontal="center" vertical="top" wrapText="1"/>
    </xf>
    <xf numFmtId="2" fontId="26" fillId="0" borderId="23" xfId="0" applyNumberFormat="1" applyFont="1" applyFill="1" applyBorder="1" applyAlignment="1">
      <alignment vertical="top" wrapText="1"/>
    </xf>
    <xf numFmtId="2" fontId="26" fillId="0" borderId="42" xfId="0" applyNumberFormat="1" applyFont="1" applyFill="1" applyBorder="1" applyAlignment="1">
      <alignment vertical="top" wrapText="1"/>
    </xf>
    <xf numFmtId="2" fontId="26" fillId="0" borderId="13" xfId="0" applyNumberFormat="1" applyFont="1" applyFill="1" applyBorder="1" applyAlignment="1">
      <alignment vertical="top" wrapText="1"/>
    </xf>
    <xf numFmtId="0" fontId="26" fillId="0" borderId="13" xfId="0" applyFont="1" applyBorder="1" applyAlignment="1">
      <alignment vertical="top" wrapText="1"/>
    </xf>
    <xf numFmtId="1" fontId="26" fillId="0" borderId="68" xfId="0" applyNumberFormat="1" applyFont="1" applyBorder="1" applyAlignment="1">
      <alignment horizontal="left" vertical="top" wrapText="1"/>
    </xf>
    <xf numFmtId="1" fontId="26" fillId="0" borderId="64" xfId="0" applyNumberFormat="1" applyFont="1" applyBorder="1" applyAlignment="1">
      <alignment horizontal="left" vertical="top" wrapText="1"/>
    </xf>
    <xf numFmtId="1" fontId="26" fillId="0" borderId="22" xfId="0" applyNumberFormat="1" applyFont="1" applyBorder="1" applyAlignment="1">
      <alignment horizontal="left" vertical="top" wrapText="1"/>
    </xf>
    <xf numFmtId="2" fontId="26" fillId="0" borderId="23" xfId="0" applyNumberFormat="1" applyFont="1" applyBorder="1" applyAlignment="1">
      <alignment vertical="top" wrapText="1"/>
    </xf>
    <xf numFmtId="2" fontId="26" fillId="0" borderId="13" xfId="0" applyNumberFormat="1" applyFont="1" applyFill="1" applyBorder="1" applyAlignment="1">
      <alignment horizontal="left" vertical="top" wrapText="1"/>
    </xf>
    <xf numFmtId="2" fontId="26" fillId="0" borderId="68" xfId="0" applyNumberFormat="1" applyFont="1" applyBorder="1" applyAlignment="1">
      <alignment horizontal="left" vertical="top" wrapText="1"/>
    </xf>
    <xf numFmtId="2" fontId="26" fillId="0" borderId="64" xfId="0" applyNumberFormat="1" applyFont="1" applyBorder="1" applyAlignment="1">
      <alignment horizontal="left" vertical="top" wrapText="1"/>
    </xf>
    <xf numFmtId="0" fontId="39" fillId="0" borderId="68" xfId="0" applyFont="1" applyFill="1" applyBorder="1" applyAlignment="1">
      <alignment horizontal="left" vertical="top" wrapText="1"/>
    </xf>
    <xf numFmtId="0" fontId="39" fillId="0" borderId="64" xfId="0" applyFont="1" applyFill="1" applyBorder="1" applyAlignment="1">
      <alignment horizontal="left" vertical="top" wrapText="1"/>
    </xf>
    <xf numFmtId="0" fontId="39" fillId="0" borderId="22" xfId="0" applyFont="1" applyFill="1" applyBorder="1" applyAlignment="1">
      <alignment horizontal="left" vertical="top" wrapText="1"/>
    </xf>
    <xf numFmtId="2" fontId="26" fillId="0" borderId="23" xfId="0" applyNumberFormat="1" applyFont="1" applyBorder="1" applyAlignment="1">
      <alignment horizontal="left" vertical="top" wrapText="1"/>
    </xf>
    <xf numFmtId="2" fontId="26" fillId="0" borderId="46" xfId="0" applyNumberFormat="1" applyFont="1" applyBorder="1" applyAlignment="1">
      <alignment horizontal="left" vertical="top" wrapText="1"/>
    </xf>
    <xf numFmtId="2" fontId="26" fillId="0" borderId="42" xfId="0" applyNumberFormat="1" applyFont="1" applyBorder="1" applyAlignment="1">
      <alignment horizontal="left" vertical="top" wrapText="1"/>
    </xf>
    <xf numFmtId="0" fontId="23" fillId="0" borderId="23" xfId="0" applyFont="1" applyFill="1" applyBorder="1" applyAlignment="1">
      <alignment vertical="top" wrapText="1"/>
    </xf>
    <xf numFmtId="0" fontId="23" fillId="0" borderId="46" xfId="0" applyFont="1" applyFill="1" applyBorder="1" applyAlignment="1">
      <alignment vertical="top" wrapText="1"/>
    </xf>
    <xf numFmtId="0" fontId="23" fillId="0" borderId="23" xfId="0" applyFont="1" applyBorder="1" applyAlignment="1">
      <alignment horizontal="left" vertical="top" wrapText="1"/>
    </xf>
    <xf numFmtId="0" fontId="23" fillId="0" borderId="46" xfId="0" applyFont="1" applyBorder="1" applyAlignment="1">
      <alignment horizontal="left" vertical="top" wrapText="1"/>
    </xf>
    <xf numFmtId="0" fontId="23" fillId="0" borderId="42" xfId="0" applyFont="1" applyBorder="1" applyAlignment="1">
      <alignment horizontal="left" vertical="top" wrapText="1"/>
    </xf>
    <xf numFmtId="0" fontId="23" fillId="0" borderId="25" xfId="0" applyFont="1" applyBorder="1" applyAlignment="1">
      <alignment horizontal="left" vertical="top" wrapText="1"/>
    </xf>
    <xf numFmtId="0" fontId="23" fillId="0" borderId="26" xfId="0" applyFont="1" applyBorder="1" applyAlignment="1">
      <alignment horizontal="left" vertical="top" wrapText="1"/>
    </xf>
    <xf numFmtId="0" fontId="23" fillId="0" borderId="20" xfId="0" applyFont="1" applyBorder="1" applyAlignment="1">
      <alignment horizontal="left" vertical="top" wrapText="1"/>
    </xf>
    <xf numFmtId="0" fontId="23" fillId="0" borderId="46" xfId="0" applyFont="1" applyBorder="1" applyAlignment="1">
      <alignment vertical="top" wrapText="1"/>
    </xf>
    <xf numFmtId="0" fontId="23" fillId="0" borderId="42" xfId="0" applyFont="1" applyBorder="1" applyAlignment="1">
      <alignment vertical="top" wrapText="1"/>
    </xf>
    <xf numFmtId="0" fontId="23" fillId="0" borderId="42" xfId="0" applyFont="1" applyFill="1" applyBorder="1" applyAlignment="1">
      <alignment vertical="top" wrapText="1"/>
    </xf>
    <xf numFmtId="0" fontId="23" fillId="0" borderId="13" xfId="0" applyFont="1" applyFill="1" applyBorder="1" applyAlignment="1">
      <alignment horizontal="left" vertical="top" wrapText="1"/>
    </xf>
    <xf numFmtId="0" fontId="23" fillId="0" borderId="30" xfId="0" applyFont="1" applyBorder="1" applyAlignment="1">
      <alignment horizontal="left" vertical="top" wrapText="1"/>
    </xf>
    <xf numFmtId="0" fontId="23" fillId="0" borderId="69" xfId="0" applyFont="1" applyBorder="1" applyAlignment="1">
      <alignment horizontal="left" vertical="top" wrapText="1"/>
    </xf>
    <xf numFmtId="0" fontId="23" fillId="0" borderId="71" xfId="0" applyFont="1" applyBorder="1" applyAlignment="1">
      <alignment horizontal="left" vertical="top" wrapText="1"/>
    </xf>
    <xf numFmtId="0" fontId="23" fillId="0" borderId="68" xfId="0" applyFont="1" applyFill="1" applyBorder="1" applyAlignment="1">
      <alignment vertical="top" wrapText="1"/>
    </xf>
    <xf numFmtId="0" fontId="23" fillId="0" borderId="64" xfId="0" applyFont="1" applyFill="1" applyBorder="1" applyAlignment="1">
      <alignment vertical="top" wrapText="1"/>
    </xf>
    <xf numFmtId="0" fontId="23" fillId="0" borderId="22" xfId="0" applyFont="1" applyFill="1" applyBorder="1" applyAlignment="1">
      <alignment vertical="top" wrapText="1"/>
    </xf>
    <xf numFmtId="1" fontId="23" fillId="0" borderId="68" xfId="0" applyNumberFormat="1" applyFont="1" applyFill="1" applyBorder="1" applyAlignment="1">
      <alignment vertical="top" wrapText="1"/>
    </xf>
    <xf numFmtId="0" fontId="23" fillId="0" borderId="64" xfId="0" applyFont="1" applyBorder="1" applyAlignment="1">
      <alignment vertical="top" wrapText="1"/>
    </xf>
    <xf numFmtId="0" fontId="23" fillId="0" borderId="22" xfId="0" applyFont="1" applyBorder="1" applyAlignment="1">
      <alignment vertical="top" wrapText="1"/>
    </xf>
    <xf numFmtId="1" fontId="23" fillId="0" borderId="23" xfId="0" applyNumberFormat="1" applyFont="1" applyBorder="1" applyAlignment="1">
      <alignment horizontal="left" vertical="top" wrapText="1"/>
    </xf>
    <xf numFmtId="1" fontId="23" fillId="0" borderId="46" xfId="0" applyNumberFormat="1" applyFont="1" applyBorder="1" applyAlignment="1">
      <alignment horizontal="left" vertical="top" wrapText="1"/>
    </xf>
    <xf numFmtId="1" fontId="23" fillId="0" borderId="42" xfId="0" applyNumberFormat="1" applyFont="1" applyBorder="1" applyAlignment="1">
      <alignment horizontal="left" vertical="top" wrapText="1"/>
    </xf>
    <xf numFmtId="0" fontId="23" fillId="0" borderId="23" xfId="0" applyFont="1" applyFill="1" applyBorder="1" applyAlignment="1">
      <alignment horizontal="left" vertical="top" wrapText="1"/>
    </xf>
    <xf numFmtId="0" fontId="23" fillId="0" borderId="46" xfId="0" applyFont="1" applyFill="1" applyBorder="1" applyAlignment="1">
      <alignment horizontal="left" vertical="top" wrapText="1"/>
    </xf>
    <xf numFmtId="0" fontId="23" fillId="0" borderId="42" xfId="0" applyFont="1" applyFill="1" applyBorder="1" applyAlignment="1">
      <alignment horizontal="left" vertical="top" wrapText="1"/>
    </xf>
    <xf numFmtId="1" fontId="23" fillId="0" borderId="64" xfId="0" applyNumberFormat="1" applyFont="1" applyBorder="1" applyAlignment="1">
      <alignment horizontal="center" vertical="center" wrapText="1"/>
    </xf>
    <xf numFmtId="1" fontId="23" fillId="0" borderId="0" xfId="0" applyNumberFormat="1" applyFont="1" applyBorder="1" applyAlignment="1">
      <alignment horizontal="center" vertical="center" wrapText="1"/>
    </xf>
    <xf numFmtId="1" fontId="23" fillId="0" borderId="68" xfId="0" applyNumberFormat="1" applyFont="1" applyBorder="1" applyAlignment="1">
      <alignment horizontal="left" vertical="top" wrapText="1"/>
    </xf>
    <xf numFmtId="1" fontId="23" fillId="0" borderId="64" xfId="0" applyNumberFormat="1" applyFont="1" applyBorder="1" applyAlignment="1">
      <alignment horizontal="left" vertical="top" wrapText="1"/>
    </xf>
    <xf numFmtId="1" fontId="23" fillId="0" borderId="22" xfId="0" applyNumberFormat="1" applyFont="1" applyBorder="1" applyAlignment="1">
      <alignment horizontal="left" vertical="top" wrapText="1"/>
    </xf>
    <xf numFmtId="0" fontId="23" fillId="0" borderId="13" xfId="0" applyFont="1" applyBorder="1" applyAlignment="1">
      <alignment horizontal="left" vertical="top" wrapText="1"/>
    </xf>
    <xf numFmtId="0" fontId="23" fillId="0" borderId="64" xfId="0" applyFont="1" applyFill="1" applyBorder="1" applyAlignment="1">
      <alignment horizontal="left" vertical="top" wrapText="1"/>
    </xf>
    <xf numFmtId="0" fontId="23" fillId="0" borderId="22" xfId="0" applyFont="1" applyFill="1" applyBorder="1" applyAlignment="1">
      <alignment horizontal="left" vertical="top" wrapText="1"/>
    </xf>
    <xf numFmtId="0" fontId="23" fillId="0" borderId="64" xfId="0" applyFont="1" applyBorder="1" applyAlignment="1">
      <alignment horizontal="left" vertical="top" wrapText="1"/>
    </xf>
    <xf numFmtId="0" fontId="23" fillId="0" borderId="22" xfId="0" applyFont="1" applyBorder="1" applyAlignment="1">
      <alignment horizontal="left" vertical="top" wrapText="1"/>
    </xf>
    <xf numFmtId="0" fontId="23" fillId="0" borderId="13" xfId="0" applyFont="1" applyFill="1" applyBorder="1" applyAlignment="1">
      <alignment vertical="top" wrapText="1"/>
    </xf>
    <xf numFmtId="0" fontId="23" fillId="0" borderId="13" xfId="0" applyFont="1" applyBorder="1" applyAlignment="1">
      <alignment vertical="top" wrapText="1"/>
    </xf>
    <xf numFmtId="0" fontId="0" fillId="0" borderId="46" xfId="0" applyBorder="1" applyAlignment="1">
      <alignment horizontal="left" vertical="top"/>
    </xf>
    <xf numFmtId="0" fontId="0" fillId="0" borderId="42" xfId="0" applyBorder="1" applyAlignment="1">
      <alignment horizontal="left" vertical="top"/>
    </xf>
    <xf numFmtId="0" fontId="23" fillId="0" borderId="68" xfId="0" applyFont="1" applyBorder="1" applyAlignment="1">
      <alignment horizontal="left" vertical="top" wrapText="1"/>
    </xf>
    <xf numFmtId="0" fontId="0" fillId="0" borderId="64" xfId="0" applyBorder="1" applyAlignment="1">
      <alignment horizontal="left" vertical="top"/>
    </xf>
    <xf numFmtId="0" fontId="0" fillId="0" borderId="22" xfId="0" applyBorder="1" applyAlignment="1">
      <alignment horizontal="left" vertical="top"/>
    </xf>
    <xf numFmtId="0" fontId="23" fillId="0" borderId="68" xfId="0" applyFont="1" applyFill="1" applyBorder="1" applyAlignment="1">
      <alignment horizontal="left" vertical="top" wrapText="1"/>
    </xf>
    <xf numFmtId="49" fontId="24" fillId="0" borderId="34" xfId="0" applyNumberFormat="1" applyFont="1" applyBorder="1" applyAlignment="1">
      <alignment vertical="center" wrapText="1"/>
    </xf>
    <xf numFmtId="49" fontId="24" fillId="0" borderId="53" xfId="0" applyNumberFormat="1" applyFont="1" applyBorder="1" applyAlignment="1">
      <alignment vertical="center" wrapText="1"/>
    </xf>
    <xf numFmtId="49" fontId="24" fillId="0" borderId="41" xfId="0" applyNumberFormat="1" applyFont="1" applyBorder="1" applyAlignment="1">
      <alignment vertical="center" wrapText="1"/>
    </xf>
    <xf numFmtId="1" fontId="23" fillId="0" borderId="59" xfId="0" applyNumberFormat="1" applyFont="1" applyBorder="1" applyAlignment="1">
      <alignment horizontal="center" vertical="center" wrapText="1"/>
    </xf>
    <xf numFmtId="0" fontId="23" fillId="0" borderId="10"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0" xfId="0" applyNumberFormat="1" applyFont="1" applyFill="1" applyBorder="1" applyAlignment="1">
      <alignment horizontal="center" vertical="top" wrapText="1"/>
    </xf>
    <xf numFmtId="0" fontId="23" fillId="0" borderId="69" xfId="0" applyNumberFormat="1" applyFont="1" applyFill="1" applyBorder="1" applyAlignment="1">
      <alignment horizontal="center" vertical="top" wrapText="1"/>
    </xf>
    <xf numFmtId="0" fontId="5" fillId="12" borderId="1" xfId="0" applyFont="1" applyFill="1" applyBorder="1" applyAlignment="1">
      <alignment horizontal="left" vertical="center"/>
    </xf>
    <xf numFmtId="0" fontId="23" fillId="0" borderId="59" xfId="0" applyFont="1" applyFill="1" applyBorder="1" applyAlignment="1">
      <alignment horizontal="center" vertical="top" wrapText="1"/>
    </xf>
    <xf numFmtId="0" fontId="23" fillId="0" borderId="0" xfId="0" applyFont="1" applyFill="1" applyAlignment="1">
      <alignment horizontal="center" vertical="top" wrapText="1"/>
    </xf>
    <xf numFmtId="0" fontId="39" fillId="0" borderId="68" xfId="0" applyNumberFormat="1" applyFont="1" applyFill="1" applyBorder="1" applyAlignment="1">
      <alignment horizontal="left" vertical="top" wrapText="1"/>
    </xf>
    <xf numFmtId="0" fontId="39" fillId="0" borderId="64" xfId="0" applyNumberFormat="1" applyFont="1" applyFill="1" applyBorder="1" applyAlignment="1">
      <alignment horizontal="left" vertical="top" wrapText="1"/>
    </xf>
    <xf numFmtId="0" fontId="39" fillId="0" borderId="22" xfId="0" applyNumberFormat="1" applyFont="1" applyFill="1" applyBorder="1" applyAlignment="1">
      <alignment horizontal="left" vertical="top" wrapText="1"/>
    </xf>
    <xf numFmtId="0" fontId="39" fillId="0" borderId="30" xfId="0" applyFont="1" applyFill="1" applyBorder="1" applyAlignment="1">
      <alignment horizontal="left" vertical="top" wrapText="1"/>
    </xf>
    <xf numFmtId="0" fontId="39" fillId="0" borderId="38" xfId="0" applyFont="1" applyFill="1" applyBorder="1" applyAlignment="1">
      <alignment horizontal="left" vertical="top" wrapText="1"/>
    </xf>
    <xf numFmtId="0" fontId="39" fillId="0" borderId="70" xfId="0" applyFont="1" applyFill="1" applyBorder="1" applyAlignment="1">
      <alignment horizontal="left" vertical="top" wrapText="1"/>
    </xf>
    <xf numFmtId="0" fontId="6" fillId="0" borderId="68" xfId="0" applyFont="1" applyBorder="1" applyAlignment="1">
      <alignment horizontal="center" vertical="center" wrapText="1"/>
    </xf>
    <xf numFmtId="0" fontId="6" fillId="0" borderId="30" xfId="0" applyFont="1" applyBorder="1" applyAlignment="1">
      <alignment horizontal="center" vertical="center" wrapText="1"/>
    </xf>
    <xf numFmtId="0" fontId="41" fillId="0" borderId="54" xfId="0" applyFont="1" applyBorder="1" applyAlignment="1">
      <alignment horizontal="left" vertical="top" wrapText="1"/>
    </xf>
    <xf numFmtId="0" fontId="41" fillId="0" borderId="55" xfId="0" applyFont="1" applyBorder="1" applyAlignment="1">
      <alignment horizontal="left" vertical="top" wrapText="1"/>
    </xf>
    <xf numFmtId="1" fontId="31" fillId="0" borderId="13" xfId="0" applyNumberFormat="1" applyFont="1" applyBorder="1" applyAlignment="1">
      <alignment horizontal="center" vertical="center" wrapText="1"/>
    </xf>
    <xf numFmtId="0" fontId="26" fillId="0" borderId="68" xfId="0" applyFont="1" applyBorder="1" applyAlignment="1">
      <alignment horizontal="left" vertical="top" wrapText="1"/>
    </xf>
    <xf numFmtId="0" fontId="26" fillId="0" borderId="64" xfId="0" applyFont="1" applyBorder="1" applyAlignment="1">
      <alignment horizontal="left" vertical="top" wrapText="1"/>
    </xf>
    <xf numFmtId="0" fontId="26" fillId="0" borderId="22" xfId="0" applyFont="1" applyBorder="1" applyAlignment="1">
      <alignment horizontal="left" vertical="top" wrapText="1"/>
    </xf>
    <xf numFmtId="0" fontId="26" fillId="0" borderId="23" xfId="0" applyFont="1" applyBorder="1" applyAlignment="1">
      <alignment horizontal="left" vertical="top" wrapText="1"/>
    </xf>
    <xf numFmtId="0" fontId="26" fillId="0" borderId="46" xfId="0" applyFont="1" applyBorder="1" applyAlignment="1">
      <alignment horizontal="left" vertical="top" wrapText="1"/>
    </xf>
    <xf numFmtId="0" fontId="26" fillId="0" borderId="42" xfId="0" applyFont="1" applyBorder="1" applyAlignment="1">
      <alignment horizontal="left" vertical="top" wrapText="1"/>
    </xf>
    <xf numFmtId="0" fontId="26" fillId="0" borderId="59" xfId="0" applyFont="1" applyFill="1" applyBorder="1" applyAlignment="1">
      <alignment horizontal="center" vertical="top" wrapText="1"/>
    </xf>
    <xf numFmtId="0" fontId="26" fillId="0" borderId="0" xfId="0" applyFont="1" applyFill="1" applyBorder="1" applyAlignment="1">
      <alignment horizontal="center" vertical="top" wrapText="1"/>
    </xf>
    <xf numFmtId="0" fontId="26" fillId="0" borderId="23" xfId="0" applyFont="1" applyBorder="1" applyAlignment="1">
      <alignment vertical="top" wrapText="1"/>
    </xf>
    <xf numFmtId="0" fontId="26" fillId="0" borderId="68" xfId="0" applyFont="1" applyBorder="1" applyAlignment="1">
      <alignment vertical="top" wrapText="1"/>
    </xf>
    <xf numFmtId="0" fontId="26" fillId="0" borderId="13" xfId="0" applyFont="1" applyBorder="1" applyAlignment="1">
      <alignment horizontal="left" vertical="top" wrapText="1"/>
    </xf>
    <xf numFmtId="0" fontId="5" fillId="0" borderId="29" xfId="0" applyFont="1" applyBorder="1" applyAlignment="1">
      <alignment vertical="top" wrapText="1"/>
    </xf>
    <xf numFmtId="0" fontId="26" fillId="0" borderId="21" xfId="0" applyFont="1" applyBorder="1" applyAlignment="1">
      <alignment vertical="top" wrapText="1"/>
    </xf>
    <xf numFmtId="0" fontId="26" fillId="0" borderId="24" xfId="0" applyFont="1" applyBorder="1" applyAlignment="1">
      <alignment vertical="top" wrapText="1"/>
    </xf>
    <xf numFmtId="0" fontId="26" fillId="0" borderId="69" xfId="0" applyFont="1" applyBorder="1" applyAlignment="1">
      <alignment horizontal="left" vertical="top" wrapText="1"/>
    </xf>
    <xf numFmtId="0" fontId="26" fillId="0" borderId="71" xfId="0" applyFont="1" applyBorder="1" applyAlignment="1">
      <alignment horizontal="left" vertical="top" wrapText="1"/>
    </xf>
    <xf numFmtId="0" fontId="26" fillId="0" borderId="0" xfId="0" applyNumberFormat="1" applyFont="1" applyBorder="1" applyAlignment="1">
      <alignment horizontal="center" vertical="top" wrapText="1"/>
    </xf>
    <xf numFmtId="49" fontId="27" fillId="0" borderId="20" xfId="0" applyNumberFormat="1" applyFont="1" applyBorder="1" applyAlignment="1">
      <alignment horizontal="left" vertical="center" wrapText="1"/>
    </xf>
    <xf numFmtId="49" fontId="27" fillId="0" borderId="36" xfId="0" applyNumberFormat="1" applyFont="1" applyBorder="1" applyAlignment="1">
      <alignment horizontal="left" vertical="center" wrapText="1"/>
    </xf>
    <xf numFmtId="49" fontId="27" fillId="0" borderId="25" xfId="0" applyNumberFormat="1" applyFont="1" applyBorder="1" applyAlignment="1">
      <alignment horizontal="left" vertical="center" wrapText="1"/>
    </xf>
    <xf numFmtId="49" fontId="27" fillId="0" borderId="63" xfId="0" applyNumberFormat="1" applyFont="1" applyBorder="1" applyAlignment="1">
      <alignment horizontal="left" vertical="center" wrapText="1"/>
    </xf>
    <xf numFmtId="0" fontId="39" fillId="0" borderId="23" xfId="0" applyNumberFormat="1" applyFont="1" applyFill="1" applyBorder="1" applyAlignment="1">
      <alignment horizontal="left" vertical="top" wrapText="1"/>
    </xf>
    <xf numFmtId="0" fontId="39" fillId="0" borderId="46" xfId="0" applyNumberFormat="1" applyFont="1" applyFill="1" applyBorder="1" applyAlignment="1">
      <alignment horizontal="left" vertical="top" wrapText="1"/>
    </xf>
    <xf numFmtId="0" fontId="39" fillId="0" borderId="42" xfId="0" applyNumberFormat="1" applyFont="1" applyFill="1" applyBorder="1" applyAlignment="1">
      <alignment horizontal="left" vertical="top" wrapText="1"/>
    </xf>
    <xf numFmtId="0" fontId="26" fillId="0" borderId="23" xfId="0" applyFont="1" applyFill="1" applyBorder="1" applyAlignment="1">
      <alignment vertical="top" wrapText="1"/>
    </xf>
    <xf numFmtId="0" fontId="26" fillId="0" borderId="46" xfId="0" applyFont="1" applyFill="1" applyBorder="1" applyAlignment="1">
      <alignment vertical="top" wrapText="1"/>
    </xf>
    <xf numFmtId="0" fontId="26" fillId="0" borderId="42" xfId="0" applyFont="1" applyFill="1" applyBorder="1" applyAlignment="1">
      <alignment vertical="top" wrapText="1"/>
    </xf>
    <xf numFmtId="0" fontId="26" fillId="0" borderId="29" xfId="0" applyFont="1" applyFill="1" applyBorder="1" applyAlignment="1">
      <alignment horizontal="left" vertical="top" wrapText="1"/>
    </xf>
    <xf numFmtId="0" fontId="26" fillId="0" borderId="21" xfId="0" applyFont="1" applyFill="1" applyBorder="1" applyAlignment="1">
      <alignment horizontal="left" vertical="top" wrapText="1"/>
    </xf>
    <xf numFmtId="0" fontId="26" fillId="0" borderId="24" xfId="0" applyFont="1" applyFill="1" applyBorder="1" applyAlignment="1">
      <alignment horizontal="left" vertical="top" wrapText="1"/>
    </xf>
    <xf numFmtId="0" fontId="26" fillId="0" borderId="72" xfId="0" applyFont="1" applyFill="1" applyBorder="1" applyAlignment="1">
      <alignment horizontal="left" vertical="top" wrapText="1"/>
    </xf>
    <xf numFmtId="0" fontId="5" fillId="18" borderId="42" xfId="0" applyFont="1" applyFill="1" applyBorder="1" applyAlignment="1">
      <alignment horizontal="left" vertical="top" wrapText="1"/>
    </xf>
    <xf numFmtId="1" fontId="26" fillId="0" borderId="23" xfId="0" applyNumberFormat="1" applyFont="1" applyFill="1" applyBorder="1" applyAlignment="1">
      <alignment horizontal="left" vertical="top" wrapText="1"/>
    </xf>
    <xf numFmtId="1" fontId="26" fillId="0" borderId="46" xfId="0" applyNumberFormat="1" applyFont="1" applyFill="1" applyBorder="1" applyAlignment="1">
      <alignment horizontal="left" vertical="top" wrapText="1"/>
    </xf>
    <xf numFmtId="1" fontId="26" fillId="0" borderId="42" xfId="0" applyNumberFormat="1" applyFont="1" applyFill="1" applyBorder="1" applyAlignment="1">
      <alignment horizontal="left" vertical="top" wrapText="1"/>
    </xf>
    <xf numFmtId="1" fontId="26" fillId="0" borderId="13" xfId="0" applyNumberFormat="1" applyFont="1" applyFill="1" applyBorder="1" applyAlignment="1">
      <alignment horizontal="left" vertical="top" wrapText="1"/>
    </xf>
    <xf numFmtId="0" fontId="26" fillId="0" borderId="68" xfId="0" applyFont="1" applyFill="1" applyBorder="1" applyAlignment="1">
      <alignment horizontal="left" vertical="top" wrapText="1"/>
    </xf>
    <xf numFmtId="0" fontId="26" fillId="0" borderId="64" xfId="0" applyFont="1" applyFill="1" applyBorder="1" applyAlignment="1">
      <alignment horizontal="left" vertical="top" wrapText="1"/>
    </xf>
    <xf numFmtId="0" fontId="26" fillId="0" borderId="22" xfId="0" applyFont="1" applyFill="1" applyBorder="1" applyAlignment="1">
      <alignment horizontal="left" vertical="top" wrapText="1"/>
    </xf>
    <xf numFmtId="0" fontId="26" fillId="0" borderId="68" xfId="0" applyFont="1" applyFill="1" applyBorder="1" applyAlignment="1">
      <alignment vertical="top" wrapText="1"/>
    </xf>
    <xf numFmtId="0" fontId="26" fillId="0" borderId="64" xfId="0" applyFont="1" applyFill="1" applyBorder="1" applyAlignment="1">
      <alignment vertical="top" wrapText="1"/>
    </xf>
    <xf numFmtId="0" fontId="26" fillId="0" borderId="22" xfId="0" applyFont="1" applyFill="1" applyBorder="1" applyAlignment="1">
      <alignment vertical="top" wrapText="1"/>
    </xf>
    <xf numFmtId="0" fontId="26" fillId="0" borderId="13" xfId="0" applyFont="1" applyFill="1" applyBorder="1" applyAlignment="1">
      <alignment vertical="top" wrapText="1"/>
    </xf>
    <xf numFmtId="49" fontId="38" fillId="11" borderId="48" xfId="0" applyNumberFormat="1" applyFont="1" applyFill="1" applyBorder="1" applyAlignment="1">
      <alignment horizontal="center" vertical="center" wrapText="1"/>
    </xf>
    <xf numFmtId="49" fontId="38" fillId="11" borderId="36" xfId="0" applyNumberFormat="1" applyFont="1" applyFill="1" applyBorder="1" applyAlignment="1">
      <alignment horizontal="center" vertical="center" wrapText="1"/>
    </xf>
    <xf numFmtId="0" fontId="26" fillId="0" borderId="8" xfId="0" applyFont="1" applyFill="1" applyBorder="1" applyAlignment="1">
      <alignment vertical="top" wrapText="1"/>
    </xf>
    <xf numFmtId="0" fontId="26" fillId="0" borderId="2" xfId="0" applyFont="1" applyBorder="1" applyAlignment="1">
      <alignment vertical="top" wrapText="1"/>
    </xf>
    <xf numFmtId="0" fontId="26" fillId="0" borderId="9" xfId="0" applyFont="1" applyBorder="1" applyAlignment="1">
      <alignment vertical="top" wrapText="1"/>
    </xf>
    <xf numFmtId="1" fontId="26" fillId="0" borderId="68" xfId="0" applyNumberFormat="1" applyFont="1" applyFill="1" applyBorder="1" applyAlignment="1">
      <alignment vertical="top" wrapText="1"/>
    </xf>
    <xf numFmtId="0" fontId="26" fillId="0" borderId="18" xfId="0" applyFont="1" applyFill="1" applyBorder="1" applyAlignment="1">
      <alignment vertical="top" wrapText="1"/>
    </xf>
    <xf numFmtId="0" fontId="26" fillId="0" borderId="72" xfId="0" applyFont="1" applyBorder="1" applyAlignment="1">
      <alignment vertical="top" wrapText="1"/>
    </xf>
    <xf numFmtId="0" fontId="26" fillId="0" borderId="69" xfId="0" applyNumberFormat="1" applyFont="1" applyBorder="1" applyAlignment="1">
      <alignment horizontal="center" vertical="top" wrapText="1"/>
    </xf>
    <xf numFmtId="0" fontId="26" fillId="0" borderId="10" xfId="0" applyFont="1" applyFill="1" applyBorder="1" applyAlignment="1">
      <alignment horizontal="center" vertical="top" wrapText="1"/>
    </xf>
    <xf numFmtId="1" fontId="26" fillId="0" borderId="68" xfId="0" applyNumberFormat="1" applyFont="1" applyFill="1" applyBorder="1" applyAlignment="1">
      <alignment horizontal="left" vertical="top" wrapText="1"/>
    </xf>
    <xf numFmtId="1" fontId="26" fillId="0" borderId="64" xfId="0" applyNumberFormat="1" applyFont="1" applyFill="1" applyBorder="1" applyAlignment="1">
      <alignment horizontal="left" vertical="top" wrapText="1"/>
    </xf>
    <xf numFmtId="1" fontId="26" fillId="0" borderId="22" xfId="0" applyNumberFormat="1" applyFont="1" applyFill="1" applyBorder="1" applyAlignment="1">
      <alignment horizontal="left" vertical="top" wrapText="1"/>
    </xf>
    <xf numFmtId="0" fontId="5" fillId="0" borderId="24" xfId="0" applyFont="1" applyBorder="1" applyAlignment="1">
      <alignment vertical="top" wrapText="1"/>
    </xf>
    <xf numFmtId="0" fontId="26" fillId="0" borderId="59" xfId="0" applyFont="1" applyBorder="1" applyAlignment="1">
      <alignment horizontal="center" vertical="top" wrapText="1"/>
    </xf>
    <xf numFmtId="49" fontId="27" fillId="0" borderId="34" xfId="0" applyNumberFormat="1" applyFont="1" applyBorder="1" applyAlignment="1">
      <alignment horizontal="left" vertical="center" wrapText="1"/>
    </xf>
    <xf numFmtId="49" fontId="27" fillId="0" borderId="53" xfId="0" applyNumberFormat="1" applyFont="1" applyBorder="1" applyAlignment="1">
      <alignment horizontal="left" vertical="center" wrapText="1"/>
    </xf>
    <xf numFmtId="49" fontId="27" fillId="0" borderId="41" xfId="0" applyNumberFormat="1" applyFont="1" applyBorder="1" applyAlignment="1">
      <alignment horizontal="left" vertical="center" wrapText="1"/>
    </xf>
    <xf numFmtId="0" fontId="31" fillId="0" borderId="64" xfId="0" applyFont="1" applyBorder="1" applyAlignment="1">
      <alignment horizontal="center" vertical="center" wrapText="1"/>
    </xf>
    <xf numFmtId="0" fontId="31" fillId="0" borderId="0" xfId="0" applyFont="1" applyBorder="1" applyAlignment="1">
      <alignment horizontal="center" vertical="center" wrapText="1"/>
    </xf>
    <xf numFmtId="0" fontId="57" fillId="11" borderId="68" xfId="0" applyFont="1" applyFill="1" applyBorder="1" applyAlignment="1">
      <alignment horizontal="center" vertical="center" wrapText="1"/>
    </xf>
    <xf numFmtId="0" fontId="57" fillId="11" borderId="41" xfId="0" applyFont="1" applyFill="1" applyBorder="1" applyAlignment="1">
      <alignment horizontal="left" vertical="center" wrapText="1"/>
    </xf>
    <xf numFmtId="0" fontId="5" fillId="0" borderId="19" xfId="0" applyFont="1" applyBorder="1" applyAlignment="1">
      <alignment horizontal="left" vertical="top" wrapText="1"/>
    </xf>
    <xf numFmtId="0" fontId="5" fillId="0" borderId="0" xfId="0" applyFont="1" applyAlignment="1">
      <alignment horizontal="center" wrapText="1"/>
    </xf>
    <xf numFmtId="0" fontId="5" fillId="0" borderId="69" xfId="0" applyFont="1" applyBorder="1" applyAlignment="1">
      <alignment horizontal="center" wrapText="1"/>
    </xf>
    <xf numFmtId="0" fontId="5" fillId="0" borderId="59" xfId="0" applyFont="1" applyBorder="1" applyAlignment="1">
      <alignment horizontal="center" wrapText="1"/>
    </xf>
    <xf numFmtId="0" fontId="5" fillId="0" borderId="10" xfId="0" applyFont="1" applyBorder="1" applyAlignment="1">
      <alignment horizontal="center" wrapText="1"/>
    </xf>
    <xf numFmtId="0" fontId="5" fillId="0" borderId="0" xfId="0" applyFont="1" applyBorder="1" applyAlignment="1">
      <alignment horizontal="center" wrapText="1"/>
    </xf>
    <xf numFmtId="49" fontId="6" fillId="0" borderId="34" xfId="0" applyNumberFormat="1" applyFont="1" applyFill="1" applyBorder="1" applyAlignment="1">
      <alignment horizontal="left" vertical="center" wrapText="1"/>
    </xf>
    <xf numFmtId="49" fontId="6" fillId="0" borderId="53" xfId="0" applyNumberFormat="1" applyFont="1" applyFill="1" applyBorder="1" applyAlignment="1">
      <alignment horizontal="left" vertical="center" wrapText="1"/>
    </xf>
    <xf numFmtId="49" fontId="6" fillId="0" borderId="41" xfId="0" applyNumberFormat="1" applyFont="1" applyFill="1" applyBorder="1" applyAlignment="1">
      <alignment horizontal="left" vertical="center" wrapText="1"/>
    </xf>
    <xf numFmtId="0" fontId="79" fillId="18" borderId="46" xfId="0" applyFont="1" applyFill="1" applyBorder="1" applyAlignment="1">
      <alignment horizontal="left" vertical="top" wrapText="1"/>
    </xf>
    <xf numFmtId="0" fontId="79" fillId="0" borderId="46" xfId="0" applyFont="1" applyFill="1" applyBorder="1" applyAlignment="1">
      <alignment horizontal="left" vertical="top" wrapText="1"/>
    </xf>
    <xf numFmtId="0" fontId="79" fillId="0" borderId="46" xfId="0" applyFont="1" applyFill="1" applyBorder="1" applyAlignment="1">
      <alignment vertical="top" wrapText="1"/>
    </xf>
    <xf numFmtId="0" fontId="79" fillId="0" borderId="46" xfId="0" applyFont="1" applyBorder="1" applyAlignment="1">
      <alignment vertical="top" wrapText="1"/>
    </xf>
    <xf numFmtId="0" fontId="79" fillId="0" borderId="68" xfId="0" applyFont="1" applyFill="1" applyBorder="1" applyAlignment="1">
      <alignment horizontal="left" vertical="top" wrapText="1"/>
    </xf>
    <xf numFmtId="0" fontId="79" fillId="0" borderId="64" xfId="0" applyFont="1" applyFill="1" applyBorder="1" applyAlignment="1">
      <alignment horizontal="left" vertical="top" wrapText="1"/>
    </xf>
    <xf numFmtId="0" fontId="79" fillId="0" borderId="22" xfId="0" applyFont="1" applyFill="1" applyBorder="1" applyAlignment="1">
      <alignment horizontal="left" vertical="top" wrapText="1"/>
    </xf>
    <xf numFmtId="0" fontId="79" fillId="0" borderId="23" xfId="0" applyFont="1" applyBorder="1" applyAlignment="1">
      <alignment horizontal="left" vertical="top" wrapText="1"/>
    </xf>
    <xf numFmtId="0" fontId="79" fillId="0" borderId="46" xfId="0" applyFont="1" applyBorder="1" applyAlignment="1">
      <alignment horizontal="left" vertical="top" wrapText="1"/>
    </xf>
    <xf numFmtId="0" fontId="79" fillId="0" borderId="42" xfId="0" applyFont="1" applyBorder="1" applyAlignment="1">
      <alignment horizontal="left" vertical="top" wrapText="1"/>
    </xf>
    <xf numFmtId="0" fontId="79" fillId="0" borderId="23" xfId="0" applyFont="1" applyFill="1" applyBorder="1" applyAlignment="1">
      <alignment horizontal="left" vertical="top" wrapText="1"/>
    </xf>
    <xf numFmtId="0" fontId="79" fillId="0" borderId="42" xfId="0" applyFont="1" applyFill="1" applyBorder="1" applyAlignment="1">
      <alignment horizontal="left" vertical="top" wrapText="1"/>
    </xf>
    <xf numFmtId="0" fontId="79" fillId="0" borderId="29" xfId="0" applyFont="1" applyBorder="1" applyAlignment="1">
      <alignment horizontal="left" vertical="top" wrapText="1"/>
    </xf>
    <xf numFmtId="0" fontId="79" fillId="0" borderId="21" xfId="0" applyFont="1" applyBorder="1" applyAlignment="1">
      <alignment horizontal="left" vertical="top" wrapText="1"/>
    </xf>
    <xf numFmtId="0" fontId="79" fillId="0" borderId="24" xfId="0" applyFont="1" applyBorder="1" applyAlignment="1">
      <alignment horizontal="left" vertical="top" wrapText="1"/>
    </xf>
    <xf numFmtId="0" fontId="79" fillId="0" borderId="18" xfId="0" applyFont="1" applyBorder="1" applyAlignment="1">
      <alignment horizontal="left" vertical="top" wrapText="1"/>
    </xf>
    <xf numFmtId="0" fontId="79" fillId="0" borderId="72" xfId="0" applyFont="1" applyBorder="1" applyAlignment="1">
      <alignment horizontal="left" vertical="top" wrapText="1"/>
    </xf>
    <xf numFmtId="0" fontId="79" fillId="0" borderId="23" xfId="0" applyFont="1" applyFill="1" applyBorder="1" applyAlignment="1">
      <alignment vertical="top" wrapText="1"/>
    </xf>
    <xf numFmtId="0" fontId="79" fillId="0" borderId="68" xfId="0" applyFont="1" applyBorder="1" applyAlignment="1">
      <alignment vertical="top" wrapText="1"/>
    </xf>
    <xf numFmtId="0" fontId="79" fillId="0" borderId="64" xfId="0" applyFont="1" applyBorder="1" applyAlignment="1">
      <alignment vertical="top" wrapText="1"/>
    </xf>
    <xf numFmtId="0" fontId="79" fillId="0" borderId="22" xfId="0" applyFont="1" applyBorder="1" applyAlignment="1">
      <alignment vertical="top" wrapText="1"/>
    </xf>
    <xf numFmtId="0" fontId="79" fillId="0" borderId="68" xfId="0" applyFont="1" applyFill="1" applyBorder="1" applyAlignment="1">
      <alignment vertical="top" wrapText="1"/>
    </xf>
    <xf numFmtId="0" fontId="79" fillId="0" borderId="68" xfId="0" applyFont="1" applyBorder="1" applyAlignment="1">
      <alignment horizontal="left" vertical="top" wrapText="1"/>
    </xf>
    <xf numFmtId="0" fontId="79" fillId="0" borderId="64" xfId="0" applyFont="1" applyBorder="1" applyAlignment="1">
      <alignment horizontal="left" vertical="top" wrapText="1"/>
    </xf>
    <xf numFmtId="0" fontId="79" fillId="0" borderId="22" xfId="0" applyFont="1" applyBorder="1" applyAlignment="1">
      <alignment horizontal="left" vertical="top" wrapText="1"/>
    </xf>
    <xf numFmtId="0" fontId="79" fillId="0" borderId="42" xfId="0" applyFont="1" applyFill="1" applyBorder="1" applyAlignment="1">
      <alignment vertical="top" wrapText="1"/>
    </xf>
    <xf numFmtId="0" fontId="79" fillId="0" borderId="64" xfId="0" applyFont="1" applyFill="1" applyBorder="1" applyAlignment="1">
      <alignment vertical="top" wrapText="1"/>
    </xf>
    <xf numFmtId="0" fontId="79" fillId="0" borderId="23" xfId="0" applyFont="1" applyBorder="1" applyAlignment="1">
      <alignment vertical="top" wrapText="1"/>
    </xf>
    <xf numFmtId="0" fontId="79" fillId="0" borderId="42" xfId="0" applyFont="1" applyBorder="1" applyAlignment="1">
      <alignment vertical="top" wrapText="1"/>
    </xf>
    <xf numFmtId="0" fontId="79" fillId="0" borderId="13" xfId="0" applyFont="1" applyFill="1" applyBorder="1" applyAlignment="1">
      <alignment horizontal="left" vertical="top" wrapText="1"/>
    </xf>
    <xf numFmtId="0" fontId="79" fillId="0" borderId="22" xfId="0" applyFont="1" applyFill="1" applyBorder="1" applyAlignment="1">
      <alignment vertical="top" wrapText="1"/>
    </xf>
    <xf numFmtId="1" fontId="79" fillId="0" borderId="68" xfId="0" applyNumberFormat="1" applyFont="1" applyBorder="1" applyAlignment="1">
      <alignment horizontal="left" vertical="top" wrapText="1"/>
    </xf>
    <xf numFmtId="1" fontId="79" fillId="0" borderId="23" xfId="0" applyNumberFormat="1" applyFont="1" applyBorder="1" applyAlignment="1">
      <alignment horizontal="left" vertical="top" wrapText="1"/>
    </xf>
    <xf numFmtId="1" fontId="79" fillId="0" borderId="46" xfId="0" applyNumberFormat="1" applyFont="1" applyBorder="1" applyAlignment="1">
      <alignment horizontal="left" vertical="top" wrapText="1"/>
    </xf>
    <xf numFmtId="1" fontId="79" fillId="0" borderId="42" xfId="0" applyNumberFormat="1" applyFont="1" applyBorder="1" applyAlignment="1">
      <alignment horizontal="left" vertical="top" wrapText="1"/>
    </xf>
    <xf numFmtId="0" fontId="79" fillId="0" borderId="59" xfId="0" applyFont="1" applyFill="1" applyBorder="1" applyAlignment="1">
      <alignment horizontal="center" vertical="top" wrapText="1"/>
    </xf>
    <xf numFmtId="0" fontId="79" fillId="0" borderId="0" xfId="0" applyFont="1" applyFill="1" applyBorder="1" applyAlignment="1">
      <alignment horizontal="center" vertical="top" wrapText="1"/>
    </xf>
    <xf numFmtId="0" fontId="79" fillId="0" borderId="10" xfId="0" applyFont="1" applyFill="1" applyBorder="1" applyAlignment="1">
      <alignment horizontal="center" vertical="top" wrapText="1"/>
    </xf>
    <xf numFmtId="0" fontId="79" fillId="6" borderId="26" xfId="0" applyFont="1" applyFill="1" applyBorder="1" applyAlignment="1">
      <alignment horizontal="right" vertical="center" wrapText="1"/>
    </xf>
    <xf numFmtId="0" fontId="79" fillId="6" borderId="15" xfId="0" applyFont="1" applyFill="1" applyBorder="1" applyAlignment="1">
      <alignment horizontal="right" vertical="center" wrapText="1"/>
    </xf>
    <xf numFmtId="0" fontId="79" fillId="6" borderId="6" xfId="0" applyFont="1" applyFill="1" applyBorder="1" applyAlignment="1">
      <alignment horizontal="right" vertical="center" wrapText="1"/>
    </xf>
    <xf numFmtId="0" fontId="79" fillId="0" borderId="13" xfId="0" applyFont="1" applyFill="1" applyBorder="1" applyAlignment="1">
      <alignment vertical="top" wrapText="1"/>
    </xf>
    <xf numFmtId="0" fontId="79" fillId="0" borderId="13" xfId="0" applyFont="1" applyBorder="1" applyAlignment="1">
      <alignment vertical="top" wrapText="1"/>
    </xf>
    <xf numFmtId="0" fontId="79" fillId="0" borderId="34" xfId="0" applyFont="1" applyFill="1" applyBorder="1" applyAlignment="1">
      <alignment horizontal="left" vertical="center" wrapText="1"/>
    </xf>
    <xf numFmtId="0" fontId="79" fillId="0" borderId="41" xfId="0" applyFont="1" applyFill="1" applyBorder="1" applyAlignment="1">
      <alignment horizontal="left" vertical="center" wrapText="1"/>
    </xf>
    <xf numFmtId="0" fontId="79" fillId="0" borderId="23" xfId="0" applyFont="1" applyBorder="1" applyAlignment="1">
      <alignment horizontal="left" vertical="top"/>
    </xf>
    <xf numFmtId="0" fontId="79" fillId="0" borderId="46" xfId="0" applyFont="1" applyBorder="1" applyAlignment="1">
      <alignment horizontal="left" vertical="top"/>
    </xf>
    <xf numFmtId="0" fontId="79" fillId="0" borderId="42" xfId="0" applyFont="1" applyBorder="1" applyAlignment="1">
      <alignment horizontal="left" vertical="top"/>
    </xf>
    <xf numFmtId="0" fontId="79" fillId="0" borderId="23" xfId="0" applyNumberFormat="1" applyFont="1" applyFill="1" applyBorder="1" applyAlignment="1" applyProtection="1">
      <alignment horizontal="left" vertical="top" wrapText="1"/>
    </xf>
    <xf numFmtId="0" fontId="79" fillId="0" borderId="46" xfId="0" applyNumberFormat="1" applyFont="1" applyFill="1" applyBorder="1" applyAlignment="1" applyProtection="1">
      <alignment horizontal="left" vertical="top" wrapText="1"/>
    </xf>
    <xf numFmtId="0" fontId="79" fillId="0" borderId="42" xfId="0" applyNumberFormat="1" applyFont="1" applyFill="1" applyBorder="1" applyAlignment="1" applyProtection="1">
      <alignment horizontal="left" vertical="top" wrapText="1"/>
    </xf>
    <xf numFmtId="1" fontId="79" fillId="0" borderId="64" xfId="0" applyNumberFormat="1" applyFont="1" applyBorder="1" applyAlignment="1">
      <alignment horizontal="left" vertical="top" wrapText="1"/>
    </xf>
    <xf numFmtId="1" fontId="79" fillId="0" borderId="22" xfId="0" applyNumberFormat="1" applyFont="1" applyBorder="1" applyAlignment="1">
      <alignment horizontal="left" vertical="top" wrapText="1"/>
    </xf>
    <xf numFmtId="0" fontId="79" fillId="18" borderId="42" xfId="0" applyFont="1" applyFill="1" applyBorder="1" applyAlignment="1">
      <alignment horizontal="left" vertical="top" wrapText="1"/>
    </xf>
    <xf numFmtId="1" fontId="76" fillId="0" borderId="22" xfId="0" applyNumberFormat="1" applyFont="1" applyBorder="1" applyAlignment="1">
      <alignment horizontal="center" vertical="center"/>
    </xf>
    <xf numFmtId="1" fontId="76" fillId="0" borderId="10" xfId="0" applyNumberFormat="1" applyFont="1" applyBorder="1" applyAlignment="1">
      <alignment horizontal="center" vertical="center"/>
    </xf>
    <xf numFmtId="0" fontId="79" fillId="0" borderId="23" xfId="0" applyFont="1" applyFill="1" applyBorder="1" applyAlignment="1">
      <alignment horizontal="left" vertical="top"/>
    </xf>
    <xf numFmtId="0" fontId="79" fillId="0" borderId="46" xfId="0" applyFont="1" applyFill="1" applyBorder="1" applyAlignment="1">
      <alignment horizontal="left" vertical="top"/>
    </xf>
    <xf numFmtId="0" fontId="79" fillId="0" borderId="42" xfId="0" applyFont="1" applyFill="1" applyBorder="1" applyAlignment="1">
      <alignment horizontal="left" vertical="top"/>
    </xf>
    <xf numFmtId="0" fontId="81" fillId="0" borderId="34" xfId="0" applyFont="1" applyFill="1" applyBorder="1" applyAlignment="1">
      <alignment horizontal="right" vertical="center"/>
    </xf>
    <xf numFmtId="0" fontId="81" fillId="0" borderId="53" xfId="0" applyFont="1" applyFill="1" applyBorder="1" applyAlignment="1">
      <alignment horizontal="right" vertical="center"/>
    </xf>
    <xf numFmtId="0" fontId="81" fillId="0" borderId="41" xfId="0" applyFont="1" applyFill="1" applyBorder="1" applyAlignment="1">
      <alignment horizontal="right" vertical="center"/>
    </xf>
    <xf numFmtId="0" fontId="79" fillId="0" borderId="33" xfId="0" applyFont="1" applyFill="1" applyBorder="1" applyAlignment="1">
      <alignment vertical="top" wrapText="1"/>
    </xf>
    <xf numFmtId="0" fontId="79" fillId="0" borderId="27" xfId="0" applyFont="1" applyFill="1" applyBorder="1" applyAlignment="1">
      <alignment vertical="top" wrapText="1"/>
    </xf>
    <xf numFmtId="0" fontId="79" fillId="0" borderId="33" xfId="0" applyFont="1" applyBorder="1" applyAlignment="1">
      <alignment vertical="top" wrapText="1"/>
    </xf>
    <xf numFmtId="0" fontId="79" fillId="0" borderId="27" xfId="0" applyFont="1" applyBorder="1" applyAlignment="1">
      <alignment vertical="top" wrapText="1"/>
    </xf>
    <xf numFmtId="0" fontId="5" fillId="0" borderId="33" xfId="0" applyFont="1" applyBorder="1" applyAlignment="1">
      <alignment vertical="top" wrapText="1"/>
    </xf>
    <xf numFmtId="0" fontId="5" fillId="0" borderId="27" xfId="0" applyFont="1" applyBorder="1" applyAlignment="1">
      <alignment vertical="top" wrapText="1"/>
    </xf>
    <xf numFmtId="0" fontId="81" fillId="0" borderId="68" xfId="0" applyFont="1" applyFill="1" applyBorder="1" applyAlignment="1">
      <alignment horizontal="center" vertical="center" wrapText="1"/>
    </xf>
    <xf numFmtId="0" fontId="81" fillId="0" borderId="30" xfId="0" applyFont="1" applyFill="1" applyBorder="1" applyAlignment="1">
      <alignment horizontal="center" vertical="center" wrapText="1"/>
    </xf>
    <xf numFmtId="0" fontId="79" fillId="0" borderId="54" xfId="0" applyFont="1" applyBorder="1" applyAlignment="1">
      <alignment vertical="top" wrapText="1"/>
    </xf>
    <xf numFmtId="0" fontId="79" fillId="0" borderId="55" xfId="0" applyFont="1" applyBorder="1" applyAlignment="1">
      <alignment vertical="top" wrapText="1"/>
    </xf>
    <xf numFmtId="0" fontId="79" fillId="6" borderId="20" xfId="0" applyFont="1" applyFill="1" applyBorder="1" applyAlignment="1">
      <alignment horizontal="right" vertical="center" wrapText="1"/>
    </xf>
    <xf numFmtId="0" fontId="79" fillId="6" borderId="36" xfId="0" applyFont="1" applyFill="1" applyBorder="1" applyAlignment="1">
      <alignment horizontal="right" vertical="center" wrapText="1"/>
    </xf>
    <xf numFmtId="0" fontId="79" fillId="6" borderId="50" xfId="0" applyFont="1" applyFill="1" applyBorder="1" applyAlignment="1">
      <alignment horizontal="right" vertical="center" wrapText="1"/>
    </xf>
    <xf numFmtId="0" fontId="79" fillId="6" borderId="25" xfId="0" applyFont="1" applyFill="1" applyBorder="1" applyAlignment="1">
      <alignment horizontal="right" vertical="center" wrapText="1"/>
    </xf>
    <xf numFmtId="0" fontId="79" fillId="6" borderId="63" xfId="0" applyFont="1" applyFill="1" applyBorder="1" applyAlignment="1">
      <alignment horizontal="right" vertical="center" wrapText="1"/>
    </xf>
    <xf numFmtId="0" fontId="79" fillId="6" borderId="66" xfId="0" applyFont="1" applyFill="1" applyBorder="1" applyAlignment="1">
      <alignment horizontal="right" vertical="center" wrapText="1"/>
    </xf>
    <xf numFmtId="0" fontId="82" fillId="0" borderId="33" xfId="0" applyFont="1" applyFill="1" applyBorder="1" applyAlignment="1">
      <alignment vertical="top" wrapText="1"/>
    </xf>
    <xf numFmtId="0" fontId="82" fillId="0" borderId="27" xfId="0" applyFont="1" applyFill="1" applyBorder="1" applyAlignment="1">
      <alignment vertical="top" wrapText="1"/>
    </xf>
    <xf numFmtId="0" fontId="82" fillId="0" borderId="60" xfId="0" applyFont="1" applyFill="1" applyBorder="1" applyAlignment="1">
      <alignment vertical="top" wrapText="1"/>
    </xf>
    <xf numFmtId="0" fontId="82" fillId="0" borderId="40" xfId="0" applyFont="1" applyFill="1" applyBorder="1" applyAlignment="1">
      <alignment vertical="top" wrapText="1"/>
    </xf>
    <xf numFmtId="0" fontId="38" fillId="11" borderId="16" xfId="0" applyFont="1" applyFill="1" applyBorder="1" applyAlignment="1">
      <alignment horizontal="left" vertical="center" wrapText="1"/>
    </xf>
    <xf numFmtId="0" fontId="5" fillId="0" borderId="59" xfId="0" applyFont="1" applyBorder="1" applyAlignment="1">
      <alignment horizontal="left" vertical="top" wrapText="1"/>
    </xf>
    <xf numFmtId="2" fontId="5" fillId="25" borderId="60" xfId="0" applyNumberFormat="1" applyFont="1" applyFill="1" applyBorder="1" applyAlignment="1">
      <alignment horizontal="left" vertical="center" wrapText="1"/>
    </xf>
    <xf numFmtId="2" fontId="5" fillId="25" borderId="47" xfId="0" applyNumberFormat="1" applyFont="1" applyFill="1" applyBorder="1" applyAlignment="1">
      <alignment horizontal="left" vertical="center" wrapText="1"/>
    </xf>
    <xf numFmtId="2" fontId="5" fillId="25" borderId="33" xfId="0" applyNumberFormat="1" applyFont="1" applyFill="1" applyBorder="1" applyAlignment="1">
      <alignment horizontal="left" vertical="center" wrapText="1"/>
    </xf>
    <xf numFmtId="2" fontId="5" fillId="25" borderId="1" xfId="0" applyNumberFormat="1" applyFont="1" applyFill="1" applyBorder="1" applyAlignment="1">
      <alignment horizontal="left" vertical="center" wrapText="1"/>
    </xf>
    <xf numFmtId="2" fontId="5" fillId="25" borderId="54" xfId="0" applyNumberFormat="1" applyFont="1" applyFill="1" applyBorder="1" applyAlignment="1">
      <alignment horizontal="left" vertical="center" wrapText="1"/>
    </xf>
    <xf numFmtId="2" fontId="5" fillId="25" borderId="39" xfId="0" applyNumberFormat="1" applyFont="1" applyFill="1" applyBorder="1" applyAlignment="1">
      <alignment horizontal="left" vertical="center" wrapText="1"/>
    </xf>
    <xf numFmtId="0" fontId="6" fillId="0" borderId="59" xfId="0" applyFont="1" applyBorder="1" applyAlignment="1">
      <alignment horizontal="center" vertical="top" wrapText="1"/>
    </xf>
    <xf numFmtId="0" fontId="6" fillId="0" borderId="0" xfId="0" applyFont="1" applyBorder="1" applyAlignment="1">
      <alignment horizontal="center" vertical="top" wrapText="1"/>
    </xf>
    <xf numFmtId="0" fontId="5" fillId="0" borderId="34" xfId="0" applyFont="1" applyBorder="1" applyAlignment="1">
      <alignment horizontal="left" vertical="top" wrapText="1"/>
    </xf>
    <xf numFmtId="0" fontId="5" fillId="0" borderId="41" xfId="0" applyFont="1" applyBorder="1" applyAlignment="1">
      <alignment horizontal="left" vertical="top" wrapText="1"/>
    </xf>
    <xf numFmtId="0" fontId="8" fillId="0" borderId="34" xfId="0" applyFont="1" applyFill="1" applyBorder="1" applyAlignment="1">
      <alignment horizontal="right" vertical="center" wrapText="1"/>
    </xf>
    <xf numFmtId="0" fontId="8" fillId="0" borderId="53" xfId="0" applyFont="1" applyFill="1" applyBorder="1" applyAlignment="1">
      <alignment horizontal="right" vertical="center" wrapText="1"/>
    </xf>
    <xf numFmtId="0" fontId="8" fillId="0" borderId="41" xfId="0" applyFont="1" applyFill="1" applyBorder="1" applyAlignment="1">
      <alignment horizontal="right" vertical="center" wrapText="1"/>
    </xf>
    <xf numFmtId="0" fontId="16" fillId="20" borderId="34" xfId="0" applyFont="1" applyFill="1" applyBorder="1" applyAlignment="1">
      <alignment horizontal="center" vertical="center" wrapText="1"/>
    </xf>
    <xf numFmtId="0" fontId="16" fillId="20" borderId="41" xfId="0" applyFont="1" applyFill="1" applyBorder="1" applyAlignment="1">
      <alignment horizontal="center" vertical="center" wrapText="1"/>
    </xf>
    <xf numFmtId="1" fontId="5" fillId="0" borderId="22" xfId="0" applyNumberFormat="1" applyFont="1" applyBorder="1" applyAlignment="1">
      <alignment horizontal="center" vertical="center" wrapText="1"/>
    </xf>
    <xf numFmtId="1" fontId="5" fillId="0" borderId="10" xfId="0" applyNumberFormat="1" applyFont="1" applyBorder="1" applyAlignment="1">
      <alignment horizontal="center" vertical="center" wrapText="1"/>
    </xf>
  </cellXfs>
  <cellStyles count="2">
    <cellStyle name="Normal" xfId="0" builtinId="0"/>
    <cellStyle name="Normal 2" xfId="1" xr:uid="{00000000-0005-0000-0000-000001000000}"/>
  </cellStyles>
  <dxfs count="23">
    <dxf>
      <fill>
        <patternFill>
          <fgColor theme="0"/>
          <bgColor theme="0"/>
        </patternFill>
      </fill>
    </dxf>
    <dxf>
      <fill>
        <patternFill>
          <fgColor theme="0"/>
          <bgColor theme="0"/>
        </patternFill>
      </fill>
    </dxf>
    <dxf>
      <fill>
        <patternFill>
          <bgColor rgb="FF00B0F0"/>
        </patternFill>
      </fill>
    </dxf>
    <dxf>
      <fill>
        <patternFill>
          <bgColor rgb="FF00B0F0"/>
        </patternFill>
      </fill>
    </dxf>
    <dxf>
      <fill>
        <patternFill>
          <bgColor rgb="FF00B0F0"/>
        </patternFill>
      </fill>
    </dxf>
    <dxf>
      <fill>
        <patternFill>
          <bgColor rgb="FF92D050"/>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00B0F0"/>
        </patternFill>
      </fill>
    </dxf>
    <dxf>
      <font>
        <condense val="0"/>
        <extend val="0"/>
        <color rgb="FF9C0006"/>
      </font>
      <fill>
        <patternFill>
          <bgColor rgb="FFFFC7CE"/>
        </patternFill>
      </fill>
    </dxf>
    <dxf>
      <fill>
        <patternFill>
          <bgColor rgb="FF00B0F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00B0F0"/>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CCECFF"/>
      <color rgb="FF99FF99"/>
      <color rgb="FF00CCFF"/>
      <color rgb="FF00FF00"/>
      <color rgb="FFFFCCFF"/>
      <color rgb="FF808080"/>
      <color rgb="FF66FF99"/>
      <color rgb="FF0000CC"/>
      <color rgb="FFFFCC00"/>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7.jpeg"/><Relationship Id="rId13" Type="http://schemas.openxmlformats.org/officeDocument/2006/relationships/image" Target="../media/image22.png"/><Relationship Id="rId3" Type="http://schemas.openxmlformats.org/officeDocument/2006/relationships/image" Target="../media/image12.jpe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jpeg"/><Relationship Id="rId16" Type="http://schemas.openxmlformats.org/officeDocument/2006/relationships/image" Target="../media/image25.png"/><Relationship Id="rId1" Type="http://schemas.openxmlformats.org/officeDocument/2006/relationships/image" Target="../media/image10.png"/><Relationship Id="rId6" Type="http://schemas.openxmlformats.org/officeDocument/2006/relationships/image" Target="../media/image15.jpeg"/><Relationship Id="rId11" Type="http://schemas.openxmlformats.org/officeDocument/2006/relationships/image" Target="../media/image20.jpeg"/><Relationship Id="rId5" Type="http://schemas.openxmlformats.org/officeDocument/2006/relationships/image" Target="../media/image14.png"/><Relationship Id="rId15" Type="http://schemas.openxmlformats.org/officeDocument/2006/relationships/image" Target="../media/image24.png"/><Relationship Id="rId10" Type="http://schemas.openxmlformats.org/officeDocument/2006/relationships/image" Target="../media/image19.png"/><Relationship Id="rId4" Type="http://schemas.openxmlformats.org/officeDocument/2006/relationships/image" Target="../media/image13.jpeg"/><Relationship Id="rId9" Type="http://schemas.openxmlformats.org/officeDocument/2006/relationships/image" Target="../media/image18.jpeg"/><Relationship Id="rId14"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16</xdr:col>
      <xdr:colOff>436092</xdr:colOff>
      <xdr:row>30</xdr:row>
      <xdr:rowOff>41413</xdr:rowOff>
    </xdr:to>
    <xdr:pic>
      <xdr:nvPicPr>
        <xdr:cNvPr id="4" name="Picture 3">
          <a:extLst>
            <a:ext uri="{FF2B5EF4-FFF2-40B4-BE49-F238E27FC236}">
              <a16:creationId xmlns:a16="http://schemas.microsoft.com/office/drawing/2014/main" id="{74F26ABE-45FD-4B35-9271-D487489F4C49}"/>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253370" y="0"/>
          <a:ext cx="7434896" cy="9621630"/>
        </a:xfrm>
        <a:prstGeom prst="rect">
          <a:avLst/>
        </a:prstGeom>
      </xdr:spPr>
    </xdr:pic>
    <xdr:clientData/>
  </xdr:twoCellAnchor>
  <xdr:twoCellAnchor editAs="oneCell">
    <xdr:from>
      <xdr:col>18</xdr:col>
      <xdr:colOff>0</xdr:colOff>
      <xdr:row>0</xdr:row>
      <xdr:rowOff>0</xdr:rowOff>
    </xdr:from>
    <xdr:to>
      <xdr:col>30</xdr:col>
      <xdr:colOff>430445</xdr:colOff>
      <xdr:row>26</xdr:row>
      <xdr:rowOff>0</xdr:rowOff>
    </xdr:to>
    <xdr:pic>
      <xdr:nvPicPr>
        <xdr:cNvPr id="6" name="Picture 5">
          <a:extLst>
            <a:ext uri="{FF2B5EF4-FFF2-40B4-BE49-F238E27FC236}">
              <a16:creationId xmlns:a16="http://schemas.microsoft.com/office/drawing/2014/main" id="{B744D88B-7FFD-41A0-8996-0903A0FBE5E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4328913" y="0"/>
          <a:ext cx="6890880" cy="89176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457200</xdr:colOff>
      <xdr:row>16</xdr:row>
      <xdr:rowOff>152400</xdr:rowOff>
    </xdr:to>
    <xdr:pic>
      <xdr:nvPicPr>
        <xdr:cNvPr id="3" name="Picture 2">
          <a:extLst>
            <a:ext uri="{FF2B5EF4-FFF2-40B4-BE49-F238E27FC236}">
              <a16:creationId xmlns:a16="http://schemas.microsoft.com/office/drawing/2014/main" id="{87BA3126-547C-4F88-B835-BED1BB4A58C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3657600" cy="2743200"/>
        </a:xfrm>
        <a:prstGeom prst="rect">
          <a:avLst/>
        </a:prstGeom>
      </xdr:spPr>
    </xdr:pic>
    <xdr:clientData/>
  </xdr:twoCellAnchor>
  <xdr:twoCellAnchor editAs="oneCell">
    <xdr:from>
      <xdr:col>8</xdr:col>
      <xdr:colOff>0</xdr:colOff>
      <xdr:row>0</xdr:row>
      <xdr:rowOff>0</xdr:rowOff>
    </xdr:from>
    <xdr:to>
      <xdr:col>14</xdr:col>
      <xdr:colOff>457200</xdr:colOff>
      <xdr:row>16</xdr:row>
      <xdr:rowOff>152400</xdr:rowOff>
    </xdr:to>
    <xdr:pic>
      <xdr:nvPicPr>
        <xdr:cNvPr id="5" name="Picture 4">
          <a:extLst>
            <a:ext uri="{FF2B5EF4-FFF2-40B4-BE49-F238E27FC236}">
              <a16:creationId xmlns:a16="http://schemas.microsoft.com/office/drawing/2014/main" id="{A90B4617-C7EF-444E-AC2C-BC343DEB168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267200" y="0"/>
          <a:ext cx="3657600" cy="2743200"/>
        </a:xfrm>
        <a:prstGeom prst="rect">
          <a:avLst/>
        </a:prstGeom>
      </xdr:spPr>
    </xdr:pic>
    <xdr:clientData/>
  </xdr:twoCellAnchor>
  <xdr:twoCellAnchor editAs="oneCell">
    <xdr:from>
      <xdr:col>0</xdr:col>
      <xdr:colOff>0</xdr:colOff>
      <xdr:row>19</xdr:row>
      <xdr:rowOff>0</xdr:rowOff>
    </xdr:from>
    <xdr:to>
      <xdr:col>6</xdr:col>
      <xdr:colOff>457200</xdr:colOff>
      <xdr:row>35</xdr:row>
      <xdr:rowOff>152400</xdr:rowOff>
    </xdr:to>
    <xdr:pic>
      <xdr:nvPicPr>
        <xdr:cNvPr id="7" name="Picture 6">
          <a:extLst>
            <a:ext uri="{FF2B5EF4-FFF2-40B4-BE49-F238E27FC236}">
              <a16:creationId xmlns:a16="http://schemas.microsoft.com/office/drawing/2014/main" id="{B9127D5B-9823-4884-8DC4-53F2E8C15F5F}"/>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0" y="3076575"/>
          <a:ext cx="3657600" cy="2743200"/>
        </a:xfrm>
        <a:prstGeom prst="rect">
          <a:avLst/>
        </a:prstGeom>
      </xdr:spPr>
    </xdr:pic>
    <xdr:clientData/>
  </xdr:twoCellAnchor>
  <xdr:twoCellAnchor editAs="oneCell">
    <xdr:from>
      <xdr:col>8</xdr:col>
      <xdr:colOff>9525</xdr:colOff>
      <xdr:row>18</xdr:row>
      <xdr:rowOff>142875</xdr:rowOff>
    </xdr:from>
    <xdr:to>
      <xdr:col>13</xdr:col>
      <xdr:colOff>85725</xdr:colOff>
      <xdr:row>41</xdr:row>
      <xdr:rowOff>76200</xdr:rowOff>
    </xdr:to>
    <xdr:pic>
      <xdr:nvPicPr>
        <xdr:cNvPr id="9" name="Picture 8">
          <a:extLst>
            <a:ext uri="{FF2B5EF4-FFF2-40B4-BE49-F238E27FC236}">
              <a16:creationId xmlns:a16="http://schemas.microsoft.com/office/drawing/2014/main" id="{C68DB815-99CD-4954-922B-F53ABEA1ECE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rot="5400000">
          <a:off x="3819525" y="3514725"/>
          <a:ext cx="3657600" cy="2743200"/>
        </a:xfrm>
        <a:prstGeom prst="rect">
          <a:avLst/>
        </a:prstGeom>
      </xdr:spPr>
    </xdr:pic>
    <xdr:clientData/>
  </xdr:twoCellAnchor>
  <xdr:twoCellAnchor editAs="oneCell">
    <xdr:from>
      <xdr:col>8</xdr:col>
      <xdr:colOff>0</xdr:colOff>
      <xdr:row>44</xdr:row>
      <xdr:rowOff>0</xdr:rowOff>
    </xdr:from>
    <xdr:to>
      <xdr:col>14</xdr:col>
      <xdr:colOff>457200</xdr:colOff>
      <xdr:row>60</xdr:row>
      <xdr:rowOff>152400</xdr:rowOff>
    </xdr:to>
    <xdr:pic>
      <xdr:nvPicPr>
        <xdr:cNvPr id="13" name="Picture 12">
          <a:extLst>
            <a:ext uri="{FF2B5EF4-FFF2-40B4-BE49-F238E27FC236}">
              <a16:creationId xmlns:a16="http://schemas.microsoft.com/office/drawing/2014/main" id="{F49F4382-F27B-46B3-839C-6A0806596042}"/>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4267200" y="7124700"/>
          <a:ext cx="3657600" cy="2743200"/>
        </a:xfrm>
        <a:prstGeom prst="rect">
          <a:avLst/>
        </a:prstGeom>
      </xdr:spPr>
    </xdr:pic>
    <xdr:clientData/>
  </xdr:twoCellAnchor>
  <xdr:twoCellAnchor editAs="oneCell">
    <xdr:from>
      <xdr:col>0</xdr:col>
      <xdr:colOff>0</xdr:colOff>
      <xdr:row>44</xdr:row>
      <xdr:rowOff>0</xdr:rowOff>
    </xdr:from>
    <xdr:to>
      <xdr:col>6</xdr:col>
      <xdr:colOff>457200</xdr:colOff>
      <xdr:row>60</xdr:row>
      <xdr:rowOff>152400</xdr:rowOff>
    </xdr:to>
    <xdr:pic>
      <xdr:nvPicPr>
        <xdr:cNvPr id="15" name="Picture 14">
          <a:extLst>
            <a:ext uri="{FF2B5EF4-FFF2-40B4-BE49-F238E27FC236}">
              <a16:creationId xmlns:a16="http://schemas.microsoft.com/office/drawing/2014/main" id="{80156534-9027-4C72-9678-BA051B9C1EFA}"/>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0" y="7124700"/>
          <a:ext cx="3657600" cy="2743200"/>
        </a:xfrm>
        <a:prstGeom prst="rect">
          <a:avLst/>
        </a:prstGeom>
      </xdr:spPr>
    </xdr:pic>
    <xdr:clientData/>
  </xdr:twoCellAnchor>
  <xdr:twoCellAnchor editAs="oneCell">
    <xdr:from>
      <xdr:col>0</xdr:col>
      <xdr:colOff>0</xdr:colOff>
      <xdr:row>63</xdr:row>
      <xdr:rowOff>0</xdr:rowOff>
    </xdr:from>
    <xdr:to>
      <xdr:col>6</xdr:col>
      <xdr:colOff>457200</xdr:colOff>
      <xdr:row>79</xdr:row>
      <xdr:rowOff>152400</xdr:rowOff>
    </xdr:to>
    <xdr:pic>
      <xdr:nvPicPr>
        <xdr:cNvPr id="17" name="Picture 16">
          <a:extLst>
            <a:ext uri="{FF2B5EF4-FFF2-40B4-BE49-F238E27FC236}">
              <a16:creationId xmlns:a16="http://schemas.microsoft.com/office/drawing/2014/main" id="{69279891-221A-4A59-8548-3A23E3BCCD45}"/>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0" y="10201275"/>
          <a:ext cx="3657600" cy="2743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9525</xdr:colOff>
      <xdr:row>3</xdr:row>
      <xdr:rowOff>0</xdr:rowOff>
    </xdr:from>
    <xdr:to>
      <xdr:col>5</xdr:col>
      <xdr:colOff>9524</xdr:colOff>
      <xdr:row>5</xdr:row>
      <xdr:rowOff>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934325" y="1162050"/>
          <a:ext cx="3524249" cy="1619250"/>
        </a:xfrm>
        <a:prstGeom prst="rect">
          <a:avLst/>
        </a:prstGeom>
        <a:ln>
          <a:solidFill>
            <a:schemeClr val="tx1"/>
          </a:solidFill>
        </a:ln>
      </xdr:spPr>
    </xdr:pic>
    <xdr:clientData/>
  </xdr:twoCellAnchor>
  <xdr:twoCellAnchor editAs="oneCell">
    <xdr:from>
      <xdr:col>4</xdr:col>
      <xdr:colOff>581025</xdr:colOff>
      <xdr:row>13</xdr:row>
      <xdr:rowOff>9525</xdr:rowOff>
    </xdr:from>
    <xdr:to>
      <xdr:col>4</xdr:col>
      <xdr:colOff>3065228</xdr:colOff>
      <xdr:row>15</xdr:row>
      <xdr:rowOff>1072</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505825" y="11744325"/>
          <a:ext cx="2484203" cy="2039422"/>
        </a:xfrm>
        <a:prstGeom prst="rect">
          <a:avLst/>
        </a:prstGeom>
        <a:ln>
          <a:solidFill>
            <a:schemeClr val="tx1"/>
          </a:solidFill>
        </a:ln>
      </xdr:spPr>
    </xdr:pic>
    <xdr:clientData/>
  </xdr:twoCellAnchor>
  <xdr:twoCellAnchor editAs="oneCell">
    <xdr:from>
      <xdr:col>4</xdr:col>
      <xdr:colOff>400049</xdr:colOff>
      <xdr:row>15</xdr:row>
      <xdr:rowOff>16255</xdr:rowOff>
    </xdr:from>
    <xdr:to>
      <xdr:col>4</xdr:col>
      <xdr:colOff>3254318</xdr:colOff>
      <xdr:row>16</xdr:row>
      <xdr:rowOff>1352549</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8324849" y="13798930"/>
          <a:ext cx="2854269" cy="2260219"/>
        </a:xfrm>
        <a:prstGeom prst="rect">
          <a:avLst/>
        </a:prstGeom>
        <a:ln>
          <a:solidFill>
            <a:schemeClr val="tx1"/>
          </a:solidFill>
        </a:ln>
      </xdr:spPr>
    </xdr:pic>
    <xdr:clientData/>
  </xdr:twoCellAnchor>
  <xdr:twoCellAnchor editAs="oneCell">
    <xdr:from>
      <xdr:col>4</xdr:col>
      <xdr:colOff>9524</xdr:colOff>
      <xdr:row>19</xdr:row>
      <xdr:rowOff>11449</xdr:rowOff>
    </xdr:from>
    <xdr:to>
      <xdr:col>4</xdr:col>
      <xdr:colOff>3524249</xdr:colOff>
      <xdr:row>21</xdr:row>
      <xdr:rowOff>0</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7934324" y="17708899"/>
          <a:ext cx="3514725" cy="2036426"/>
        </a:xfrm>
        <a:prstGeom prst="rect">
          <a:avLst/>
        </a:prstGeom>
        <a:ln>
          <a:solidFill>
            <a:schemeClr val="tx1"/>
          </a:solidFill>
        </a:ln>
      </xdr:spPr>
    </xdr:pic>
    <xdr:clientData/>
  </xdr:twoCellAnchor>
  <xdr:twoCellAnchor editAs="oneCell">
    <xdr:from>
      <xdr:col>4</xdr:col>
      <xdr:colOff>80775</xdr:colOff>
      <xdr:row>22</xdr:row>
      <xdr:rowOff>19050</xdr:rowOff>
    </xdr:from>
    <xdr:to>
      <xdr:col>4</xdr:col>
      <xdr:colOff>3425838</xdr:colOff>
      <xdr:row>23</xdr:row>
      <xdr:rowOff>733425</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8005575" y="20888325"/>
          <a:ext cx="3345063" cy="1504950"/>
        </a:xfrm>
        <a:prstGeom prst="rect">
          <a:avLst/>
        </a:prstGeom>
      </xdr:spPr>
    </xdr:pic>
    <xdr:clientData/>
  </xdr:twoCellAnchor>
  <xdr:twoCellAnchor editAs="oneCell">
    <xdr:from>
      <xdr:col>4</xdr:col>
      <xdr:colOff>241382</xdr:colOff>
      <xdr:row>24</xdr:row>
      <xdr:rowOff>9525</xdr:rowOff>
    </xdr:from>
    <xdr:to>
      <xdr:col>4</xdr:col>
      <xdr:colOff>3314700</xdr:colOff>
      <xdr:row>26</xdr:row>
      <xdr:rowOff>0</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8166182" y="22412325"/>
          <a:ext cx="3073318" cy="1752600"/>
        </a:xfrm>
        <a:prstGeom prst="rect">
          <a:avLst/>
        </a:prstGeom>
        <a:ln>
          <a:noFill/>
        </a:ln>
      </xdr:spPr>
    </xdr:pic>
    <xdr:clientData/>
  </xdr:twoCellAnchor>
  <xdr:twoCellAnchor editAs="oneCell">
    <xdr:from>
      <xdr:col>4</xdr:col>
      <xdr:colOff>400050</xdr:colOff>
      <xdr:row>26</xdr:row>
      <xdr:rowOff>23893</xdr:rowOff>
    </xdr:from>
    <xdr:to>
      <xdr:col>4</xdr:col>
      <xdr:colOff>3257550</xdr:colOff>
      <xdr:row>27</xdr:row>
      <xdr:rowOff>636472</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8324850" y="24188818"/>
          <a:ext cx="2857500" cy="1298379"/>
        </a:xfrm>
        <a:prstGeom prst="rect">
          <a:avLst/>
        </a:prstGeom>
      </xdr:spPr>
    </xdr:pic>
    <xdr:clientData/>
  </xdr:twoCellAnchor>
  <xdr:twoCellAnchor editAs="oneCell">
    <xdr:from>
      <xdr:col>4</xdr:col>
      <xdr:colOff>544012</xdr:colOff>
      <xdr:row>30</xdr:row>
      <xdr:rowOff>18585</xdr:rowOff>
    </xdr:from>
    <xdr:to>
      <xdr:col>4</xdr:col>
      <xdr:colOff>3028949</xdr:colOff>
      <xdr:row>31</xdr:row>
      <xdr:rowOff>1137548</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8468812" y="26926710"/>
          <a:ext cx="2484937" cy="1699988"/>
        </a:xfrm>
        <a:prstGeom prst="rect">
          <a:avLst/>
        </a:prstGeom>
      </xdr:spPr>
    </xdr:pic>
    <xdr:clientData/>
  </xdr:twoCellAnchor>
  <xdr:twoCellAnchor editAs="oneCell">
    <xdr:from>
      <xdr:col>4</xdr:col>
      <xdr:colOff>171450</xdr:colOff>
      <xdr:row>53</xdr:row>
      <xdr:rowOff>27972</xdr:rowOff>
    </xdr:from>
    <xdr:to>
      <xdr:col>4</xdr:col>
      <xdr:colOff>3429000</xdr:colOff>
      <xdr:row>53</xdr:row>
      <xdr:rowOff>1285875</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rotWithShape="1">
        <a:blip xmlns:r="http://schemas.openxmlformats.org/officeDocument/2006/relationships" r:embed="rId9" cstate="screen">
          <a:extLst>
            <a:ext uri="{28A0092B-C50C-407E-A947-70E740481C1C}">
              <a14:useLocalDpi xmlns:a14="http://schemas.microsoft.com/office/drawing/2010/main"/>
            </a:ext>
          </a:extLst>
        </a:blip>
        <a:srcRect/>
        <a:stretch/>
      </xdr:blipFill>
      <xdr:spPr>
        <a:xfrm>
          <a:off x="8096250" y="43042872"/>
          <a:ext cx="3257550" cy="1257903"/>
        </a:xfrm>
        <a:prstGeom prst="rect">
          <a:avLst/>
        </a:prstGeom>
      </xdr:spPr>
    </xdr:pic>
    <xdr:clientData/>
  </xdr:twoCellAnchor>
  <xdr:twoCellAnchor editAs="oneCell">
    <xdr:from>
      <xdr:col>4</xdr:col>
      <xdr:colOff>9524</xdr:colOff>
      <xdr:row>54</xdr:row>
      <xdr:rowOff>70255</xdr:rowOff>
    </xdr:from>
    <xdr:to>
      <xdr:col>4</xdr:col>
      <xdr:colOff>3505200</xdr:colOff>
      <xdr:row>55</xdr:row>
      <xdr:rowOff>33</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7934324" y="44418655"/>
          <a:ext cx="3495676" cy="2044328"/>
        </a:xfrm>
        <a:prstGeom prst="rect">
          <a:avLst/>
        </a:prstGeom>
      </xdr:spPr>
    </xdr:pic>
    <xdr:clientData/>
  </xdr:twoCellAnchor>
  <xdr:twoCellAnchor editAs="oneCell">
    <xdr:from>
      <xdr:col>4</xdr:col>
      <xdr:colOff>508121</xdr:colOff>
      <xdr:row>46</xdr:row>
      <xdr:rowOff>57150</xdr:rowOff>
    </xdr:from>
    <xdr:to>
      <xdr:col>4</xdr:col>
      <xdr:colOff>3095625</xdr:colOff>
      <xdr:row>47</xdr:row>
      <xdr:rowOff>1153250</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8432921" y="38823900"/>
          <a:ext cx="2587504" cy="1629500"/>
        </a:xfrm>
        <a:prstGeom prst="rect">
          <a:avLst/>
        </a:prstGeom>
      </xdr:spPr>
    </xdr:pic>
    <xdr:clientData/>
  </xdr:twoCellAnchor>
  <xdr:twoCellAnchor editAs="oneCell">
    <xdr:from>
      <xdr:col>4</xdr:col>
      <xdr:colOff>275678</xdr:colOff>
      <xdr:row>5</xdr:row>
      <xdr:rowOff>19050</xdr:rowOff>
    </xdr:from>
    <xdr:to>
      <xdr:col>4</xdr:col>
      <xdr:colOff>3200399</xdr:colOff>
      <xdr:row>6</xdr:row>
      <xdr:rowOff>209551</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a:stretch/>
      </xdr:blipFill>
      <xdr:spPr>
        <a:xfrm>
          <a:off x="8200478" y="2800350"/>
          <a:ext cx="2924721" cy="1000126"/>
        </a:xfrm>
        <a:prstGeom prst="rect">
          <a:avLst/>
        </a:prstGeom>
      </xdr:spPr>
    </xdr:pic>
    <xdr:clientData/>
  </xdr:twoCellAnchor>
  <xdr:twoCellAnchor editAs="oneCell">
    <xdr:from>
      <xdr:col>4</xdr:col>
      <xdr:colOff>296402</xdr:colOff>
      <xdr:row>6</xdr:row>
      <xdr:rowOff>171450</xdr:rowOff>
    </xdr:from>
    <xdr:to>
      <xdr:col>4</xdr:col>
      <xdr:colOff>3190875</xdr:colOff>
      <xdr:row>6</xdr:row>
      <xdr:rowOff>1095374</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8221202" y="3762375"/>
          <a:ext cx="2894473" cy="923924"/>
        </a:xfrm>
        <a:prstGeom prst="rect">
          <a:avLst/>
        </a:prstGeom>
      </xdr:spPr>
    </xdr:pic>
    <xdr:clientData/>
  </xdr:twoCellAnchor>
  <xdr:twoCellAnchor editAs="oneCell">
    <xdr:from>
      <xdr:col>4</xdr:col>
      <xdr:colOff>28574</xdr:colOff>
      <xdr:row>17</xdr:row>
      <xdr:rowOff>9524</xdr:rowOff>
    </xdr:from>
    <xdr:to>
      <xdr:col>5</xdr:col>
      <xdr:colOff>3240</xdr:colOff>
      <xdr:row>18</xdr:row>
      <xdr:rowOff>876299</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rotWithShape="1">
        <a:blip xmlns:r="http://schemas.openxmlformats.org/officeDocument/2006/relationships" r:embed="rId14" cstate="screen">
          <a:extLst>
            <a:ext uri="{28A0092B-C50C-407E-A947-70E740481C1C}">
              <a14:useLocalDpi xmlns:a14="http://schemas.microsoft.com/office/drawing/2010/main"/>
            </a:ext>
          </a:extLst>
        </a:blip>
        <a:srcRect/>
        <a:stretch/>
      </xdr:blipFill>
      <xdr:spPr>
        <a:xfrm>
          <a:off x="7953374" y="16078199"/>
          <a:ext cx="3498916" cy="1609725"/>
        </a:xfrm>
        <a:prstGeom prst="rect">
          <a:avLst/>
        </a:prstGeom>
      </xdr:spPr>
    </xdr:pic>
    <xdr:clientData/>
  </xdr:twoCellAnchor>
  <xdr:oneCellAnchor>
    <xdr:from>
      <xdr:col>4</xdr:col>
      <xdr:colOff>672415</xdr:colOff>
      <xdr:row>33</xdr:row>
      <xdr:rowOff>57150</xdr:rowOff>
    </xdr:from>
    <xdr:ext cx="2108885" cy="1406725"/>
    <xdr:pic>
      <xdr:nvPicPr>
        <xdr:cNvPr id="18" name="Picture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8597215" y="29641800"/>
          <a:ext cx="2108885" cy="1406725"/>
        </a:xfrm>
        <a:prstGeom prst="rect">
          <a:avLst/>
        </a:prstGeom>
      </xdr:spPr>
    </xdr:pic>
    <xdr:clientData/>
  </xdr:oneCellAnchor>
  <xdr:twoCellAnchor editAs="oneCell">
    <xdr:from>
      <xdr:col>4</xdr:col>
      <xdr:colOff>66677</xdr:colOff>
      <xdr:row>9</xdr:row>
      <xdr:rowOff>9525</xdr:rowOff>
    </xdr:from>
    <xdr:to>
      <xdr:col>5</xdr:col>
      <xdr:colOff>23635</xdr:colOff>
      <xdr:row>10</xdr:row>
      <xdr:rowOff>1028700</xdr:rowOff>
    </xdr:to>
    <xdr:pic>
      <xdr:nvPicPr>
        <xdr:cNvPr id="19" name="Picture 18">
          <a:extLst>
            <a:ext uri="{FF2B5EF4-FFF2-40B4-BE49-F238E27FC236}">
              <a16:creationId xmlns:a16="http://schemas.microsoft.com/office/drawing/2014/main" id="{8F269D1B-49F9-4CB3-8EBA-C2E1E2C79D55}"/>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7915277" y="6677025"/>
          <a:ext cx="3481208" cy="1981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0</xdr:colOff>
      <xdr:row>307</xdr:row>
      <xdr:rowOff>0</xdr:rowOff>
    </xdr:from>
    <xdr:ext cx="3529844" cy="1683569"/>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13346906" y="18407062"/>
          <a:ext cx="2619375" cy="1774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744986"/>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15188565" y="13144500"/>
          <a:ext cx="341705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76302"/>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14521815" y="23256240"/>
          <a:ext cx="341705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6949440" y="801052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42629"/>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10511790" y="172021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676302"/>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10511790" y="265747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9864090" y="801052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17636490" y="172021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17636490" y="265747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1363" cy="1676302"/>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13106400" y="801052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445197" cy="1676302"/>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21846540" y="801052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14" name="TextBox 13">
          <a:extLst>
            <a:ext uri="{FF2B5EF4-FFF2-40B4-BE49-F238E27FC236}">
              <a16:creationId xmlns:a16="http://schemas.microsoft.com/office/drawing/2014/main" id="{00000000-0008-0000-0300-00000E000000}"/>
            </a:ext>
          </a:extLst>
        </xdr:cNvPr>
        <xdr:cNvSpPr txBox="1"/>
      </xdr:nvSpPr>
      <xdr:spPr>
        <a:xfrm>
          <a:off x="12454890" y="172021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12454890" y="265747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76039"/>
    <xdr:sp macro="" textlink="">
      <xdr:nvSpPr>
        <xdr:cNvPr id="16" name="TextBox 15">
          <a:extLst>
            <a:ext uri="{FF2B5EF4-FFF2-40B4-BE49-F238E27FC236}">
              <a16:creationId xmlns:a16="http://schemas.microsoft.com/office/drawing/2014/main" id="{00000000-0008-0000-0300-000010000000}"/>
            </a:ext>
          </a:extLst>
        </xdr:cNvPr>
        <xdr:cNvSpPr txBox="1"/>
      </xdr:nvSpPr>
      <xdr:spPr>
        <a:xfrm>
          <a:off x="10511790" y="24603075"/>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17" name="TextBox 16">
          <a:extLst>
            <a:ext uri="{FF2B5EF4-FFF2-40B4-BE49-F238E27FC236}">
              <a16:creationId xmlns:a16="http://schemas.microsoft.com/office/drawing/2014/main" id="{00000000-0008-0000-0300-000011000000}"/>
            </a:ext>
          </a:extLst>
        </xdr:cNvPr>
        <xdr:cNvSpPr txBox="1"/>
      </xdr:nvSpPr>
      <xdr:spPr>
        <a:xfrm>
          <a:off x="17636490" y="24603075"/>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18" name="TextBox 17">
          <a:extLst>
            <a:ext uri="{FF2B5EF4-FFF2-40B4-BE49-F238E27FC236}">
              <a16:creationId xmlns:a16="http://schemas.microsoft.com/office/drawing/2014/main" id="{00000000-0008-0000-0300-000012000000}"/>
            </a:ext>
          </a:extLst>
        </xdr:cNvPr>
        <xdr:cNvSpPr txBox="1"/>
      </xdr:nvSpPr>
      <xdr:spPr>
        <a:xfrm>
          <a:off x="12454890" y="24603075"/>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620421"/>
    <xdr:sp macro="" textlink="">
      <xdr:nvSpPr>
        <xdr:cNvPr id="19" name="TextBox 18">
          <a:extLst>
            <a:ext uri="{FF2B5EF4-FFF2-40B4-BE49-F238E27FC236}">
              <a16:creationId xmlns:a16="http://schemas.microsoft.com/office/drawing/2014/main" id="{00000000-0008-0000-0300-000013000000}"/>
            </a:ext>
          </a:extLst>
        </xdr:cNvPr>
        <xdr:cNvSpPr txBox="1"/>
      </xdr:nvSpPr>
      <xdr:spPr>
        <a:xfrm>
          <a:off x="37623750" y="33366075"/>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842257"/>
    <xdr:sp macro="" textlink="">
      <xdr:nvSpPr>
        <xdr:cNvPr id="20" name="TextBox 19">
          <a:extLst>
            <a:ext uri="{FF2B5EF4-FFF2-40B4-BE49-F238E27FC236}">
              <a16:creationId xmlns:a16="http://schemas.microsoft.com/office/drawing/2014/main" id="{00000000-0008-0000-0300-000014000000}"/>
            </a:ext>
          </a:extLst>
        </xdr:cNvPr>
        <xdr:cNvSpPr txBox="1"/>
      </xdr:nvSpPr>
      <xdr:spPr>
        <a:xfrm>
          <a:off x="37623750" y="26346150"/>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587258"/>
    <xdr:sp macro="" textlink="">
      <xdr:nvSpPr>
        <xdr:cNvPr id="21" name="TextBox 20">
          <a:extLst>
            <a:ext uri="{FF2B5EF4-FFF2-40B4-BE49-F238E27FC236}">
              <a16:creationId xmlns:a16="http://schemas.microsoft.com/office/drawing/2014/main" id="{00000000-0008-0000-0300-000015000000}"/>
            </a:ext>
          </a:extLst>
        </xdr:cNvPr>
        <xdr:cNvSpPr txBox="1"/>
      </xdr:nvSpPr>
      <xdr:spPr>
        <a:xfrm>
          <a:off x="37623750" y="33366075"/>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932" cy="1587258"/>
    <xdr:sp macro="" textlink="">
      <xdr:nvSpPr>
        <xdr:cNvPr id="22" name="TextBox 21">
          <a:extLst>
            <a:ext uri="{FF2B5EF4-FFF2-40B4-BE49-F238E27FC236}">
              <a16:creationId xmlns:a16="http://schemas.microsoft.com/office/drawing/2014/main" id="{00000000-0008-0000-0300-000016000000}"/>
            </a:ext>
          </a:extLst>
        </xdr:cNvPr>
        <xdr:cNvSpPr txBox="1"/>
      </xdr:nvSpPr>
      <xdr:spPr>
        <a:xfrm>
          <a:off x="59449335" y="33366075"/>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23" name="TextBox 22">
          <a:extLst>
            <a:ext uri="{FF2B5EF4-FFF2-40B4-BE49-F238E27FC236}">
              <a16:creationId xmlns:a16="http://schemas.microsoft.com/office/drawing/2014/main" id="{00000000-0008-0000-0300-000017000000}"/>
            </a:ext>
          </a:extLst>
        </xdr:cNvPr>
        <xdr:cNvSpPr txBox="1"/>
      </xdr:nvSpPr>
      <xdr:spPr>
        <a:xfrm>
          <a:off x="65522475" y="2634615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24" name="TextBox 23">
          <a:extLst>
            <a:ext uri="{FF2B5EF4-FFF2-40B4-BE49-F238E27FC236}">
              <a16:creationId xmlns:a16="http://schemas.microsoft.com/office/drawing/2014/main" id="{00000000-0008-0000-0300-000018000000}"/>
            </a:ext>
          </a:extLst>
        </xdr:cNvPr>
        <xdr:cNvSpPr txBox="1"/>
      </xdr:nvSpPr>
      <xdr:spPr>
        <a:xfrm>
          <a:off x="65522475" y="3336607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593" cy="1587258"/>
    <xdr:sp macro="" textlink="">
      <xdr:nvSpPr>
        <xdr:cNvPr id="25" name="TextBox 24">
          <a:extLst>
            <a:ext uri="{FF2B5EF4-FFF2-40B4-BE49-F238E27FC236}">
              <a16:creationId xmlns:a16="http://schemas.microsoft.com/office/drawing/2014/main" id="{00000000-0008-0000-0300-000019000000}"/>
            </a:ext>
          </a:extLst>
        </xdr:cNvPr>
        <xdr:cNvSpPr txBox="1"/>
      </xdr:nvSpPr>
      <xdr:spPr>
        <a:xfrm>
          <a:off x="61102875" y="33366075"/>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8203" cy="1587258"/>
    <xdr:sp macro="" textlink="">
      <xdr:nvSpPr>
        <xdr:cNvPr id="26" name="TextBox 25">
          <a:extLst>
            <a:ext uri="{FF2B5EF4-FFF2-40B4-BE49-F238E27FC236}">
              <a16:creationId xmlns:a16="http://schemas.microsoft.com/office/drawing/2014/main" id="{00000000-0008-0000-0300-00001A000000}"/>
            </a:ext>
          </a:extLst>
        </xdr:cNvPr>
        <xdr:cNvSpPr txBox="1"/>
      </xdr:nvSpPr>
      <xdr:spPr>
        <a:xfrm>
          <a:off x="76019025" y="33366075"/>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27" name="TextBox 26">
          <a:extLst>
            <a:ext uri="{FF2B5EF4-FFF2-40B4-BE49-F238E27FC236}">
              <a16:creationId xmlns:a16="http://schemas.microsoft.com/office/drawing/2014/main" id="{00000000-0008-0000-0300-00001B000000}"/>
            </a:ext>
          </a:extLst>
        </xdr:cNvPr>
        <xdr:cNvSpPr txBox="1"/>
      </xdr:nvSpPr>
      <xdr:spPr>
        <a:xfrm>
          <a:off x="60554235" y="2634615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28" name="TextBox 27">
          <a:extLst>
            <a:ext uri="{FF2B5EF4-FFF2-40B4-BE49-F238E27FC236}">
              <a16:creationId xmlns:a16="http://schemas.microsoft.com/office/drawing/2014/main" id="{00000000-0008-0000-0300-00001C000000}"/>
            </a:ext>
          </a:extLst>
        </xdr:cNvPr>
        <xdr:cNvSpPr txBox="1"/>
      </xdr:nvSpPr>
      <xdr:spPr>
        <a:xfrm>
          <a:off x="60554235" y="3336607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29" name="TextBox 28">
          <a:extLst>
            <a:ext uri="{FF2B5EF4-FFF2-40B4-BE49-F238E27FC236}">
              <a16:creationId xmlns:a16="http://schemas.microsoft.com/office/drawing/2014/main" id="{00000000-0008-0000-0300-00001D000000}"/>
            </a:ext>
          </a:extLst>
        </xdr:cNvPr>
        <xdr:cNvSpPr txBox="1"/>
      </xdr:nvSpPr>
      <xdr:spPr>
        <a:xfrm>
          <a:off x="64697610" y="4087177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30" name="TextBox 29">
          <a:extLst>
            <a:ext uri="{FF2B5EF4-FFF2-40B4-BE49-F238E27FC236}">
              <a16:creationId xmlns:a16="http://schemas.microsoft.com/office/drawing/2014/main" id="{00000000-0008-0000-0300-00001E000000}"/>
            </a:ext>
          </a:extLst>
        </xdr:cNvPr>
        <xdr:cNvSpPr txBox="1"/>
      </xdr:nvSpPr>
      <xdr:spPr>
        <a:xfrm>
          <a:off x="60278010" y="4087177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222"/>
    <xdr:sp macro="" textlink="">
      <xdr:nvSpPr>
        <xdr:cNvPr id="31" name="TextBox 30">
          <a:extLst>
            <a:ext uri="{FF2B5EF4-FFF2-40B4-BE49-F238E27FC236}">
              <a16:creationId xmlns:a16="http://schemas.microsoft.com/office/drawing/2014/main" id="{00000000-0008-0000-0300-00001F000000}"/>
            </a:ext>
          </a:extLst>
        </xdr:cNvPr>
        <xdr:cNvSpPr txBox="1"/>
      </xdr:nvSpPr>
      <xdr:spPr>
        <a:xfrm>
          <a:off x="21878925" y="33366075"/>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748771"/>
    <xdr:sp macro="" textlink="">
      <xdr:nvSpPr>
        <xdr:cNvPr id="32" name="TextBox 31">
          <a:extLst>
            <a:ext uri="{FF2B5EF4-FFF2-40B4-BE49-F238E27FC236}">
              <a16:creationId xmlns:a16="http://schemas.microsoft.com/office/drawing/2014/main" id="{00000000-0008-0000-0300-000020000000}"/>
            </a:ext>
          </a:extLst>
        </xdr:cNvPr>
        <xdr:cNvSpPr txBox="1"/>
      </xdr:nvSpPr>
      <xdr:spPr>
        <a:xfrm>
          <a:off x="21878925" y="26346150"/>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119"/>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21878925" y="33366075"/>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114" cy="1662119"/>
    <xdr:sp macro="" textlink="">
      <xdr:nvSpPr>
        <xdr:cNvPr id="34" name="TextBox 33">
          <a:extLst>
            <a:ext uri="{FF2B5EF4-FFF2-40B4-BE49-F238E27FC236}">
              <a16:creationId xmlns:a16="http://schemas.microsoft.com/office/drawing/2014/main" id="{00000000-0008-0000-0300-000022000000}"/>
            </a:ext>
          </a:extLst>
        </xdr:cNvPr>
        <xdr:cNvSpPr txBox="1"/>
      </xdr:nvSpPr>
      <xdr:spPr>
        <a:xfrm>
          <a:off x="21878925" y="33366075"/>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731221"/>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21878925" y="26346150"/>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662119"/>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21878925" y="33366075"/>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37" name="TextBox 36">
          <a:extLst>
            <a:ext uri="{FF2B5EF4-FFF2-40B4-BE49-F238E27FC236}">
              <a16:creationId xmlns:a16="http://schemas.microsoft.com/office/drawing/2014/main" id="{00000000-0008-0000-0300-000025000000}"/>
            </a:ext>
          </a:extLst>
        </xdr:cNvPr>
        <xdr:cNvSpPr txBox="1"/>
      </xdr:nvSpPr>
      <xdr:spPr>
        <a:xfrm>
          <a:off x="21878925" y="3336607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731221"/>
    <xdr:sp macro="" textlink="">
      <xdr:nvSpPr>
        <xdr:cNvPr id="38" name="TextBox 37">
          <a:extLst>
            <a:ext uri="{FF2B5EF4-FFF2-40B4-BE49-F238E27FC236}">
              <a16:creationId xmlns:a16="http://schemas.microsoft.com/office/drawing/2014/main" id="{00000000-0008-0000-0300-000026000000}"/>
            </a:ext>
          </a:extLst>
        </xdr:cNvPr>
        <xdr:cNvSpPr txBox="1"/>
      </xdr:nvSpPr>
      <xdr:spPr>
        <a:xfrm>
          <a:off x="21878925" y="26346150"/>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39" name="TextBox 38">
          <a:extLst>
            <a:ext uri="{FF2B5EF4-FFF2-40B4-BE49-F238E27FC236}">
              <a16:creationId xmlns:a16="http://schemas.microsoft.com/office/drawing/2014/main" id="{00000000-0008-0000-0300-000027000000}"/>
            </a:ext>
          </a:extLst>
        </xdr:cNvPr>
        <xdr:cNvSpPr txBox="1"/>
      </xdr:nvSpPr>
      <xdr:spPr>
        <a:xfrm>
          <a:off x="21878925" y="3336607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4833" cy="1662119"/>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21878925" y="33366075"/>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731221"/>
    <xdr:sp macro="" textlink="">
      <xdr:nvSpPr>
        <xdr:cNvPr id="41" name="TextBox 40">
          <a:extLst>
            <a:ext uri="{FF2B5EF4-FFF2-40B4-BE49-F238E27FC236}">
              <a16:creationId xmlns:a16="http://schemas.microsoft.com/office/drawing/2014/main" id="{00000000-0008-0000-0300-000029000000}"/>
            </a:ext>
          </a:extLst>
        </xdr:cNvPr>
        <xdr:cNvSpPr txBox="1"/>
      </xdr:nvSpPr>
      <xdr:spPr>
        <a:xfrm>
          <a:off x="21878925" y="26346150"/>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119"/>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21878925" y="33366075"/>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877" cy="1662343"/>
    <xdr:sp macro="" textlink="">
      <xdr:nvSpPr>
        <xdr:cNvPr id="43" name="TextBox 42">
          <a:extLst>
            <a:ext uri="{FF2B5EF4-FFF2-40B4-BE49-F238E27FC236}">
              <a16:creationId xmlns:a16="http://schemas.microsoft.com/office/drawing/2014/main" id="{00000000-0008-0000-0300-00002B000000}"/>
            </a:ext>
          </a:extLst>
        </xdr:cNvPr>
        <xdr:cNvSpPr txBox="1"/>
      </xdr:nvSpPr>
      <xdr:spPr>
        <a:xfrm>
          <a:off x="21878925" y="40871775"/>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343"/>
    <xdr:sp macro="" textlink="">
      <xdr:nvSpPr>
        <xdr:cNvPr id="44" name="TextBox 43">
          <a:extLst>
            <a:ext uri="{FF2B5EF4-FFF2-40B4-BE49-F238E27FC236}">
              <a16:creationId xmlns:a16="http://schemas.microsoft.com/office/drawing/2014/main" id="{00000000-0008-0000-0300-00002C000000}"/>
            </a:ext>
          </a:extLst>
        </xdr:cNvPr>
        <xdr:cNvSpPr txBox="1"/>
      </xdr:nvSpPr>
      <xdr:spPr>
        <a:xfrm>
          <a:off x="21878925" y="40871775"/>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343"/>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21878925" y="40871775"/>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934"/>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9725025" y="33366075"/>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742770"/>
    <xdr:sp macro="" textlink="">
      <xdr:nvSpPr>
        <xdr:cNvPr id="47" name="TextBox 46">
          <a:extLst>
            <a:ext uri="{FF2B5EF4-FFF2-40B4-BE49-F238E27FC236}">
              <a16:creationId xmlns:a16="http://schemas.microsoft.com/office/drawing/2014/main" id="{00000000-0008-0000-0300-00002F000000}"/>
            </a:ext>
          </a:extLst>
        </xdr:cNvPr>
        <xdr:cNvSpPr txBox="1"/>
      </xdr:nvSpPr>
      <xdr:spPr>
        <a:xfrm>
          <a:off x="9725025" y="26346150"/>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831"/>
    <xdr:sp macro="" textlink="">
      <xdr:nvSpPr>
        <xdr:cNvPr id="48" name="TextBox 47">
          <a:extLst>
            <a:ext uri="{FF2B5EF4-FFF2-40B4-BE49-F238E27FC236}">
              <a16:creationId xmlns:a16="http://schemas.microsoft.com/office/drawing/2014/main" id="{00000000-0008-0000-0300-000030000000}"/>
            </a:ext>
          </a:extLst>
        </xdr:cNvPr>
        <xdr:cNvSpPr txBox="1"/>
      </xdr:nvSpPr>
      <xdr:spPr>
        <a:xfrm>
          <a:off x="9725025" y="33366075"/>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5023"/>
    <xdr:sp macro="" textlink="">
      <xdr:nvSpPr>
        <xdr:cNvPr id="49" name="TextBox 48">
          <a:extLst>
            <a:ext uri="{FF2B5EF4-FFF2-40B4-BE49-F238E27FC236}">
              <a16:creationId xmlns:a16="http://schemas.microsoft.com/office/drawing/2014/main" id="{00000000-0008-0000-0300-000031000000}"/>
            </a:ext>
          </a:extLst>
        </xdr:cNvPr>
        <xdr:cNvSpPr txBox="1"/>
      </xdr:nvSpPr>
      <xdr:spPr>
        <a:xfrm>
          <a:off x="73256775" y="33366075"/>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717993"/>
    <xdr:sp macro="" textlink="">
      <xdr:nvSpPr>
        <xdr:cNvPr id="50" name="TextBox 49">
          <a:extLst>
            <a:ext uri="{FF2B5EF4-FFF2-40B4-BE49-F238E27FC236}">
              <a16:creationId xmlns:a16="http://schemas.microsoft.com/office/drawing/2014/main" id="{00000000-0008-0000-0300-000032000000}"/>
            </a:ext>
          </a:extLst>
        </xdr:cNvPr>
        <xdr:cNvSpPr txBox="1"/>
      </xdr:nvSpPr>
      <xdr:spPr>
        <a:xfrm>
          <a:off x="73256775" y="26346150"/>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4935"/>
    <xdr:sp macro="" textlink="">
      <xdr:nvSpPr>
        <xdr:cNvPr id="51" name="TextBox 50">
          <a:extLst>
            <a:ext uri="{FF2B5EF4-FFF2-40B4-BE49-F238E27FC236}">
              <a16:creationId xmlns:a16="http://schemas.microsoft.com/office/drawing/2014/main" id="{00000000-0008-0000-0300-000033000000}"/>
            </a:ext>
          </a:extLst>
        </xdr:cNvPr>
        <xdr:cNvSpPr txBox="1"/>
      </xdr:nvSpPr>
      <xdr:spPr>
        <a:xfrm>
          <a:off x="73256775" y="33366075"/>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4773" cy="1434935"/>
    <xdr:sp macro="" textlink="">
      <xdr:nvSpPr>
        <xdr:cNvPr id="52" name="TextBox 51">
          <a:extLst>
            <a:ext uri="{FF2B5EF4-FFF2-40B4-BE49-F238E27FC236}">
              <a16:creationId xmlns:a16="http://schemas.microsoft.com/office/drawing/2014/main" id="{00000000-0008-0000-0300-000034000000}"/>
            </a:ext>
          </a:extLst>
        </xdr:cNvPr>
        <xdr:cNvSpPr txBox="1"/>
      </xdr:nvSpPr>
      <xdr:spPr>
        <a:xfrm>
          <a:off x="40675560" y="33366075"/>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53" name="TextBox 52">
          <a:extLst>
            <a:ext uri="{FF2B5EF4-FFF2-40B4-BE49-F238E27FC236}">
              <a16:creationId xmlns:a16="http://schemas.microsoft.com/office/drawing/2014/main" id="{00000000-0008-0000-0300-000035000000}"/>
            </a:ext>
          </a:extLst>
        </xdr:cNvPr>
        <xdr:cNvSpPr txBox="1"/>
      </xdr:nvSpPr>
      <xdr:spPr>
        <a:xfrm>
          <a:off x="52263675" y="3336607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52263675" y="2634615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55" name="TextBox 54">
          <a:extLst>
            <a:ext uri="{FF2B5EF4-FFF2-40B4-BE49-F238E27FC236}">
              <a16:creationId xmlns:a16="http://schemas.microsoft.com/office/drawing/2014/main" id="{00000000-0008-0000-0300-000037000000}"/>
            </a:ext>
          </a:extLst>
        </xdr:cNvPr>
        <xdr:cNvSpPr txBox="1"/>
      </xdr:nvSpPr>
      <xdr:spPr>
        <a:xfrm>
          <a:off x="52263675" y="3336607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56" name="TextBox 55">
          <a:extLst>
            <a:ext uri="{FF2B5EF4-FFF2-40B4-BE49-F238E27FC236}">
              <a16:creationId xmlns:a16="http://schemas.microsoft.com/office/drawing/2014/main" id="{00000000-0008-0000-0300-000038000000}"/>
            </a:ext>
          </a:extLst>
        </xdr:cNvPr>
        <xdr:cNvSpPr txBox="1"/>
      </xdr:nvSpPr>
      <xdr:spPr>
        <a:xfrm>
          <a:off x="11658600" y="3336607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57" name="TextBox 56">
          <a:extLst>
            <a:ext uri="{FF2B5EF4-FFF2-40B4-BE49-F238E27FC236}">
              <a16:creationId xmlns:a16="http://schemas.microsoft.com/office/drawing/2014/main" id="{00000000-0008-0000-0300-000039000000}"/>
            </a:ext>
          </a:extLst>
        </xdr:cNvPr>
        <xdr:cNvSpPr txBox="1"/>
      </xdr:nvSpPr>
      <xdr:spPr>
        <a:xfrm>
          <a:off x="11658600" y="2634615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58" name="TextBox 57">
          <a:extLst>
            <a:ext uri="{FF2B5EF4-FFF2-40B4-BE49-F238E27FC236}">
              <a16:creationId xmlns:a16="http://schemas.microsoft.com/office/drawing/2014/main" id="{00000000-0008-0000-0300-00003A000000}"/>
            </a:ext>
          </a:extLst>
        </xdr:cNvPr>
        <xdr:cNvSpPr txBox="1"/>
      </xdr:nvSpPr>
      <xdr:spPr>
        <a:xfrm>
          <a:off x="11658600" y="3336607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59" name="TextBox 58">
          <a:extLst>
            <a:ext uri="{FF2B5EF4-FFF2-40B4-BE49-F238E27FC236}">
              <a16:creationId xmlns:a16="http://schemas.microsoft.com/office/drawing/2014/main" id="{00000000-0008-0000-0300-00003B000000}"/>
            </a:ext>
          </a:extLst>
        </xdr:cNvPr>
        <xdr:cNvSpPr txBox="1"/>
      </xdr:nvSpPr>
      <xdr:spPr>
        <a:xfrm>
          <a:off x="77403960" y="3336607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60" name="TextBox 59">
          <a:extLst>
            <a:ext uri="{FF2B5EF4-FFF2-40B4-BE49-F238E27FC236}">
              <a16:creationId xmlns:a16="http://schemas.microsoft.com/office/drawing/2014/main" id="{00000000-0008-0000-0300-00003C000000}"/>
            </a:ext>
          </a:extLst>
        </xdr:cNvPr>
        <xdr:cNvSpPr txBox="1"/>
      </xdr:nvSpPr>
      <xdr:spPr>
        <a:xfrm>
          <a:off x="56134635" y="3336607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746347"/>
    <xdr:sp macro="" textlink="">
      <xdr:nvSpPr>
        <xdr:cNvPr id="61" name="TextBox 60">
          <a:extLst>
            <a:ext uri="{FF2B5EF4-FFF2-40B4-BE49-F238E27FC236}">
              <a16:creationId xmlns:a16="http://schemas.microsoft.com/office/drawing/2014/main" id="{00000000-0008-0000-0300-00003D000000}"/>
            </a:ext>
          </a:extLst>
        </xdr:cNvPr>
        <xdr:cNvSpPr txBox="1"/>
      </xdr:nvSpPr>
      <xdr:spPr>
        <a:xfrm>
          <a:off x="44256960" y="26346150"/>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661857"/>
    <xdr:sp macro="" textlink="">
      <xdr:nvSpPr>
        <xdr:cNvPr id="62" name="TextBox 61">
          <a:extLst>
            <a:ext uri="{FF2B5EF4-FFF2-40B4-BE49-F238E27FC236}">
              <a16:creationId xmlns:a16="http://schemas.microsoft.com/office/drawing/2014/main" id="{00000000-0008-0000-0300-00003E000000}"/>
            </a:ext>
          </a:extLst>
        </xdr:cNvPr>
        <xdr:cNvSpPr txBox="1"/>
      </xdr:nvSpPr>
      <xdr:spPr>
        <a:xfrm>
          <a:off x="44256960" y="33366075"/>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178" cy="1661857"/>
    <xdr:sp macro="" textlink="">
      <xdr:nvSpPr>
        <xdr:cNvPr id="63" name="TextBox 62">
          <a:extLst>
            <a:ext uri="{FF2B5EF4-FFF2-40B4-BE49-F238E27FC236}">
              <a16:creationId xmlns:a16="http://schemas.microsoft.com/office/drawing/2014/main" id="{00000000-0008-0000-0300-00003F000000}"/>
            </a:ext>
          </a:extLst>
        </xdr:cNvPr>
        <xdr:cNvSpPr txBox="1"/>
      </xdr:nvSpPr>
      <xdr:spPr>
        <a:xfrm>
          <a:off x="43704510" y="33366075"/>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9642" cy="1678802"/>
    <xdr:sp macro="" textlink="">
      <xdr:nvSpPr>
        <xdr:cNvPr id="64" name="TextBox 63">
          <a:extLst>
            <a:ext uri="{FF2B5EF4-FFF2-40B4-BE49-F238E27FC236}">
              <a16:creationId xmlns:a16="http://schemas.microsoft.com/office/drawing/2014/main" id="{00000000-0008-0000-0300-000040000000}"/>
            </a:ext>
          </a:extLst>
        </xdr:cNvPr>
        <xdr:cNvSpPr txBox="1"/>
      </xdr:nvSpPr>
      <xdr:spPr>
        <a:xfrm>
          <a:off x="43980735" y="40871775"/>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419"/>
    <xdr:sp macro="" textlink="">
      <xdr:nvSpPr>
        <xdr:cNvPr id="65" name="TextBox 64">
          <a:extLst>
            <a:ext uri="{FF2B5EF4-FFF2-40B4-BE49-F238E27FC236}">
              <a16:creationId xmlns:a16="http://schemas.microsoft.com/office/drawing/2014/main" id="{00000000-0008-0000-0300-000041000000}"/>
            </a:ext>
          </a:extLst>
        </xdr:cNvPr>
        <xdr:cNvSpPr txBox="1"/>
      </xdr:nvSpPr>
      <xdr:spPr>
        <a:xfrm>
          <a:off x="47844075" y="33366075"/>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759058"/>
    <xdr:sp macro="" textlink="">
      <xdr:nvSpPr>
        <xdr:cNvPr id="66" name="TextBox 65">
          <a:extLst>
            <a:ext uri="{FF2B5EF4-FFF2-40B4-BE49-F238E27FC236}">
              <a16:creationId xmlns:a16="http://schemas.microsoft.com/office/drawing/2014/main" id="{00000000-0008-0000-0300-000042000000}"/>
            </a:ext>
          </a:extLst>
        </xdr:cNvPr>
        <xdr:cNvSpPr txBox="1"/>
      </xdr:nvSpPr>
      <xdr:spPr>
        <a:xfrm>
          <a:off x="47844075" y="26346150"/>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316"/>
    <xdr:sp macro="" textlink="">
      <xdr:nvSpPr>
        <xdr:cNvPr id="67" name="TextBox 66">
          <a:extLst>
            <a:ext uri="{FF2B5EF4-FFF2-40B4-BE49-F238E27FC236}">
              <a16:creationId xmlns:a16="http://schemas.microsoft.com/office/drawing/2014/main" id="{00000000-0008-0000-0300-000043000000}"/>
            </a:ext>
          </a:extLst>
        </xdr:cNvPr>
        <xdr:cNvSpPr txBox="1"/>
      </xdr:nvSpPr>
      <xdr:spPr>
        <a:xfrm>
          <a:off x="47844075" y="33366075"/>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21" cy="1650316"/>
    <xdr:sp macro="" textlink="">
      <xdr:nvSpPr>
        <xdr:cNvPr id="68" name="TextBox 67">
          <a:extLst>
            <a:ext uri="{FF2B5EF4-FFF2-40B4-BE49-F238E27FC236}">
              <a16:creationId xmlns:a16="http://schemas.microsoft.com/office/drawing/2014/main" id="{00000000-0008-0000-0300-000044000000}"/>
            </a:ext>
          </a:extLst>
        </xdr:cNvPr>
        <xdr:cNvSpPr txBox="1"/>
      </xdr:nvSpPr>
      <xdr:spPr>
        <a:xfrm>
          <a:off x="47584360" y="33366075"/>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69" name="TextBox 68">
          <a:extLst>
            <a:ext uri="{FF2B5EF4-FFF2-40B4-BE49-F238E27FC236}">
              <a16:creationId xmlns:a16="http://schemas.microsoft.com/office/drawing/2014/main" id="{00000000-0008-0000-0300-000045000000}"/>
            </a:ext>
          </a:extLst>
        </xdr:cNvPr>
        <xdr:cNvSpPr txBox="1"/>
      </xdr:nvSpPr>
      <xdr:spPr>
        <a:xfrm>
          <a:off x="8909685" y="3336607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70" name="TextBox 69">
          <a:extLst>
            <a:ext uri="{FF2B5EF4-FFF2-40B4-BE49-F238E27FC236}">
              <a16:creationId xmlns:a16="http://schemas.microsoft.com/office/drawing/2014/main" id="{00000000-0008-0000-0300-000046000000}"/>
            </a:ext>
          </a:extLst>
        </xdr:cNvPr>
        <xdr:cNvSpPr txBox="1"/>
      </xdr:nvSpPr>
      <xdr:spPr>
        <a:xfrm>
          <a:off x="19949160" y="4087177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71" name="TextBox 70">
          <a:extLst>
            <a:ext uri="{FF2B5EF4-FFF2-40B4-BE49-F238E27FC236}">
              <a16:creationId xmlns:a16="http://schemas.microsoft.com/office/drawing/2014/main" id="{00000000-0008-0000-0300-000047000000}"/>
            </a:ext>
          </a:extLst>
        </xdr:cNvPr>
        <xdr:cNvSpPr txBox="1"/>
      </xdr:nvSpPr>
      <xdr:spPr>
        <a:xfrm>
          <a:off x="5309235" y="4087177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2021"/>
    <xdr:sp macro="" textlink="">
      <xdr:nvSpPr>
        <xdr:cNvPr id="72" name="TextBox 71">
          <a:extLst>
            <a:ext uri="{FF2B5EF4-FFF2-40B4-BE49-F238E27FC236}">
              <a16:creationId xmlns:a16="http://schemas.microsoft.com/office/drawing/2014/main" id="{00000000-0008-0000-0300-000048000000}"/>
            </a:ext>
          </a:extLst>
        </xdr:cNvPr>
        <xdr:cNvSpPr txBox="1"/>
      </xdr:nvSpPr>
      <xdr:spPr>
        <a:xfrm>
          <a:off x="9172575" y="33366075"/>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748948"/>
    <xdr:sp macro="" textlink="">
      <xdr:nvSpPr>
        <xdr:cNvPr id="73" name="TextBox 72">
          <a:extLst>
            <a:ext uri="{FF2B5EF4-FFF2-40B4-BE49-F238E27FC236}">
              <a16:creationId xmlns:a16="http://schemas.microsoft.com/office/drawing/2014/main" id="{00000000-0008-0000-0300-000049000000}"/>
            </a:ext>
          </a:extLst>
        </xdr:cNvPr>
        <xdr:cNvSpPr txBox="1"/>
      </xdr:nvSpPr>
      <xdr:spPr>
        <a:xfrm>
          <a:off x="9172575" y="26346150"/>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1918"/>
    <xdr:sp macro="" textlink="">
      <xdr:nvSpPr>
        <xdr:cNvPr id="74" name="TextBox 73">
          <a:extLst>
            <a:ext uri="{FF2B5EF4-FFF2-40B4-BE49-F238E27FC236}">
              <a16:creationId xmlns:a16="http://schemas.microsoft.com/office/drawing/2014/main" id="{00000000-0008-0000-0300-00004A000000}"/>
            </a:ext>
          </a:extLst>
        </xdr:cNvPr>
        <xdr:cNvSpPr txBox="1"/>
      </xdr:nvSpPr>
      <xdr:spPr>
        <a:xfrm>
          <a:off x="9172575" y="33366075"/>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5265" cy="1661918"/>
    <xdr:sp macro="" textlink="">
      <xdr:nvSpPr>
        <xdr:cNvPr id="75" name="TextBox 74">
          <a:extLst>
            <a:ext uri="{FF2B5EF4-FFF2-40B4-BE49-F238E27FC236}">
              <a16:creationId xmlns:a16="http://schemas.microsoft.com/office/drawing/2014/main" id="{00000000-0008-0000-0300-00004B000000}"/>
            </a:ext>
          </a:extLst>
        </xdr:cNvPr>
        <xdr:cNvSpPr txBox="1"/>
      </xdr:nvSpPr>
      <xdr:spPr>
        <a:xfrm>
          <a:off x="8093710" y="33366075"/>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945" cy="1661918"/>
    <xdr:sp macro="" textlink="">
      <xdr:nvSpPr>
        <xdr:cNvPr id="76" name="TextBox 75">
          <a:extLst>
            <a:ext uri="{FF2B5EF4-FFF2-40B4-BE49-F238E27FC236}">
              <a16:creationId xmlns:a16="http://schemas.microsoft.com/office/drawing/2014/main" id="{00000000-0008-0000-0300-00004C000000}"/>
            </a:ext>
          </a:extLst>
        </xdr:cNvPr>
        <xdr:cNvSpPr txBox="1"/>
      </xdr:nvSpPr>
      <xdr:spPr>
        <a:xfrm>
          <a:off x="29639260" y="33366075"/>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2021"/>
    <xdr:sp macro="" textlink="">
      <xdr:nvSpPr>
        <xdr:cNvPr id="77" name="TextBox 76">
          <a:extLst>
            <a:ext uri="{FF2B5EF4-FFF2-40B4-BE49-F238E27FC236}">
              <a16:creationId xmlns:a16="http://schemas.microsoft.com/office/drawing/2014/main" id="{00000000-0008-0000-0300-00004D000000}"/>
            </a:ext>
          </a:extLst>
        </xdr:cNvPr>
        <xdr:cNvSpPr txBox="1"/>
      </xdr:nvSpPr>
      <xdr:spPr>
        <a:xfrm>
          <a:off x="12211050" y="33366075"/>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748948"/>
    <xdr:sp macro="" textlink="">
      <xdr:nvSpPr>
        <xdr:cNvPr id="78" name="TextBox 77">
          <a:extLst>
            <a:ext uri="{FF2B5EF4-FFF2-40B4-BE49-F238E27FC236}">
              <a16:creationId xmlns:a16="http://schemas.microsoft.com/office/drawing/2014/main" id="{00000000-0008-0000-0300-00004E000000}"/>
            </a:ext>
          </a:extLst>
        </xdr:cNvPr>
        <xdr:cNvSpPr txBox="1"/>
      </xdr:nvSpPr>
      <xdr:spPr>
        <a:xfrm>
          <a:off x="12211050" y="26346150"/>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1918"/>
    <xdr:sp macro="" textlink="">
      <xdr:nvSpPr>
        <xdr:cNvPr id="79" name="TextBox 78">
          <a:extLst>
            <a:ext uri="{FF2B5EF4-FFF2-40B4-BE49-F238E27FC236}">
              <a16:creationId xmlns:a16="http://schemas.microsoft.com/office/drawing/2014/main" id="{00000000-0008-0000-0300-00004F000000}"/>
            </a:ext>
          </a:extLst>
        </xdr:cNvPr>
        <xdr:cNvSpPr txBox="1"/>
      </xdr:nvSpPr>
      <xdr:spPr>
        <a:xfrm>
          <a:off x="12211050" y="33366075"/>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80" name="TextBox 79">
          <a:extLst>
            <a:ext uri="{FF2B5EF4-FFF2-40B4-BE49-F238E27FC236}">
              <a16:creationId xmlns:a16="http://schemas.microsoft.com/office/drawing/2014/main" id="{00000000-0008-0000-0300-000050000000}"/>
            </a:ext>
          </a:extLst>
        </xdr:cNvPr>
        <xdr:cNvSpPr txBox="1"/>
      </xdr:nvSpPr>
      <xdr:spPr>
        <a:xfrm>
          <a:off x="12211050" y="3336607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746584"/>
    <xdr:sp macro="" textlink="">
      <xdr:nvSpPr>
        <xdr:cNvPr id="81" name="TextBox 80">
          <a:extLst>
            <a:ext uri="{FF2B5EF4-FFF2-40B4-BE49-F238E27FC236}">
              <a16:creationId xmlns:a16="http://schemas.microsoft.com/office/drawing/2014/main" id="{00000000-0008-0000-0300-000051000000}"/>
            </a:ext>
          </a:extLst>
        </xdr:cNvPr>
        <xdr:cNvSpPr txBox="1"/>
      </xdr:nvSpPr>
      <xdr:spPr>
        <a:xfrm>
          <a:off x="12211050" y="26346150"/>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661918"/>
    <xdr:sp macro="" textlink="">
      <xdr:nvSpPr>
        <xdr:cNvPr id="82" name="TextBox 81">
          <a:extLst>
            <a:ext uri="{FF2B5EF4-FFF2-40B4-BE49-F238E27FC236}">
              <a16:creationId xmlns:a16="http://schemas.microsoft.com/office/drawing/2014/main" id="{00000000-0008-0000-0300-000052000000}"/>
            </a:ext>
          </a:extLst>
        </xdr:cNvPr>
        <xdr:cNvSpPr txBox="1"/>
      </xdr:nvSpPr>
      <xdr:spPr>
        <a:xfrm>
          <a:off x="12211050" y="33366075"/>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00147" cy="1661918"/>
    <xdr:sp macro="" textlink="">
      <xdr:nvSpPr>
        <xdr:cNvPr id="83" name="TextBox 82">
          <a:extLst>
            <a:ext uri="{FF2B5EF4-FFF2-40B4-BE49-F238E27FC236}">
              <a16:creationId xmlns:a16="http://schemas.microsoft.com/office/drawing/2014/main" id="{00000000-0008-0000-0300-000053000000}"/>
            </a:ext>
          </a:extLst>
        </xdr:cNvPr>
        <xdr:cNvSpPr txBox="1"/>
      </xdr:nvSpPr>
      <xdr:spPr>
        <a:xfrm>
          <a:off x="12211050" y="33366075"/>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592" cy="1661918"/>
    <xdr:sp macro="" textlink="">
      <xdr:nvSpPr>
        <xdr:cNvPr id="84" name="TextBox 83">
          <a:extLst>
            <a:ext uri="{FF2B5EF4-FFF2-40B4-BE49-F238E27FC236}">
              <a16:creationId xmlns:a16="http://schemas.microsoft.com/office/drawing/2014/main" id="{00000000-0008-0000-0300-000054000000}"/>
            </a:ext>
          </a:extLst>
        </xdr:cNvPr>
        <xdr:cNvSpPr txBox="1"/>
      </xdr:nvSpPr>
      <xdr:spPr>
        <a:xfrm>
          <a:off x="12211050" y="33366075"/>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746584"/>
    <xdr:sp macro="" textlink="">
      <xdr:nvSpPr>
        <xdr:cNvPr id="85" name="TextBox 84">
          <a:extLst>
            <a:ext uri="{FF2B5EF4-FFF2-40B4-BE49-F238E27FC236}">
              <a16:creationId xmlns:a16="http://schemas.microsoft.com/office/drawing/2014/main" id="{00000000-0008-0000-0300-000055000000}"/>
            </a:ext>
          </a:extLst>
        </xdr:cNvPr>
        <xdr:cNvSpPr txBox="1"/>
      </xdr:nvSpPr>
      <xdr:spPr>
        <a:xfrm>
          <a:off x="12211050" y="26346150"/>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661918"/>
    <xdr:sp macro="" textlink="">
      <xdr:nvSpPr>
        <xdr:cNvPr id="86" name="TextBox 85">
          <a:extLst>
            <a:ext uri="{FF2B5EF4-FFF2-40B4-BE49-F238E27FC236}">
              <a16:creationId xmlns:a16="http://schemas.microsoft.com/office/drawing/2014/main" id="{00000000-0008-0000-0300-000056000000}"/>
            </a:ext>
          </a:extLst>
        </xdr:cNvPr>
        <xdr:cNvSpPr txBox="1"/>
      </xdr:nvSpPr>
      <xdr:spPr>
        <a:xfrm>
          <a:off x="12211050" y="33366075"/>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87" name="TextBox 86">
          <a:extLst>
            <a:ext uri="{FF2B5EF4-FFF2-40B4-BE49-F238E27FC236}">
              <a16:creationId xmlns:a16="http://schemas.microsoft.com/office/drawing/2014/main" id="{00000000-0008-0000-0300-000057000000}"/>
            </a:ext>
          </a:extLst>
        </xdr:cNvPr>
        <xdr:cNvSpPr txBox="1"/>
      </xdr:nvSpPr>
      <xdr:spPr>
        <a:xfrm>
          <a:off x="12211050" y="4087177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88" name="TextBox 87">
          <a:extLst>
            <a:ext uri="{FF2B5EF4-FFF2-40B4-BE49-F238E27FC236}">
              <a16:creationId xmlns:a16="http://schemas.microsoft.com/office/drawing/2014/main" id="{00000000-0008-0000-0300-000058000000}"/>
            </a:ext>
          </a:extLst>
        </xdr:cNvPr>
        <xdr:cNvSpPr txBox="1"/>
      </xdr:nvSpPr>
      <xdr:spPr>
        <a:xfrm>
          <a:off x="12211050" y="4087177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83569"/>
    <xdr:sp macro="" textlink="">
      <xdr:nvSpPr>
        <xdr:cNvPr id="89" name="TextBox 88">
          <a:extLst>
            <a:ext uri="{FF2B5EF4-FFF2-40B4-BE49-F238E27FC236}">
              <a16:creationId xmlns:a16="http://schemas.microsoft.com/office/drawing/2014/main" id="{00000000-0008-0000-0300-000059000000}"/>
            </a:ext>
          </a:extLst>
        </xdr:cNvPr>
        <xdr:cNvSpPr txBox="1"/>
      </xdr:nvSpPr>
      <xdr:spPr>
        <a:xfrm>
          <a:off x="6724650" y="20354925"/>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744986"/>
    <xdr:sp macro="" textlink="">
      <xdr:nvSpPr>
        <xdr:cNvPr id="90" name="TextBox 89">
          <a:extLst>
            <a:ext uri="{FF2B5EF4-FFF2-40B4-BE49-F238E27FC236}">
              <a16:creationId xmlns:a16="http://schemas.microsoft.com/office/drawing/2014/main" id="{00000000-0008-0000-0300-00005A000000}"/>
            </a:ext>
          </a:extLst>
        </xdr:cNvPr>
        <xdr:cNvSpPr txBox="1"/>
      </xdr:nvSpPr>
      <xdr:spPr>
        <a:xfrm>
          <a:off x="6724650" y="16411575"/>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76302"/>
    <xdr:sp macro="" textlink="">
      <xdr:nvSpPr>
        <xdr:cNvPr id="91" name="TextBox 90">
          <a:extLst>
            <a:ext uri="{FF2B5EF4-FFF2-40B4-BE49-F238E27FC236}">
              <a16:creationId xmlns:a16="http://schemas.microsoft.com/office/drawing/2014/main" id="{00000000-0008-0000-0300-00005B000000}"/>
            </a:ext>
          </a:extLst>
        </xdr:cNvPr>
        <xdr:cNvSpPr txBox="1"/>
      </xdr:nvSpPr>
      <xdr:spPr>
        <a:xfrm>
          <a:off x="6724650" y="20354925"/>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92" name="TextBox 91">
          <a:extLst>
            <a:ext uri="{FF2B5EF4-FFF2-40B4-BE49-F238E27FC236}">
              <a16:creationId xmlns:a16="http://schemas.microsoft.com/office/drawing/2014/main" id="{00000000-0008-0000-0300-00005C000000}"/>
            </a:ext>
          </a:extLst>
        </xdr:cNvPr>
        <xdr:cNvSpPr txBox="1"/>
      </xdr:nvSpPr>
      <xdr:spPr>
        <a:xfrm>
          <a:off x="6724650" y="203549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42629"/>
    <xdr:sp macro="" textlink="">
      <xdr:nvSpPr>
        <xdr:cNvPr id="93" name="TextBox 92">
          <a:extLst>
            <a:ext uri="{FF2B5EF4-FFF2-40B4-BE49-F238E27FC236}">
              <a16:creationId xmlns:a16="http://schemas.microsoft.com/office/drawing/2014/main" id="{00000000-0008-0000-0300-00005D000000}"/>
            </a:ext>
          </a:extLst>
        </xdr:cNvPr>
        <xdr:cNvSpPr txBox="1"/>
      </xdr:nvSpPr>
      <xdr:spPr>
        <a:xfrm>
          <a:off x="6724650" y="16411575"/>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676302"/>
    <xdr:sp macro="" textlink="">
      <xdr:nvSpPr>
        <xdr:cNvPr id="94" name="TextBox 93">
          <a:extLst>
            <a:ext uri="{FF2B5EF4-FFF2-40B4-BE49-F238E27FC236}">
              <a16:creationId xmlns:a16="http://schemas.microsoft.com/office/drawing/2014/main" id="{00000000-0008-0000-0300-00005E000000}"/>
            </a:ext>
          </a:extLst>
        </xdr:cNvPr>
        <xdr:cNvSpPr txBox="1"/>
      </xdr:nvSpPr>
      <xdr:spPr>
        <a:xfrm>
          <a:off x="6724650" y="20354925"/>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95" name="TextBox 94">
          <a:extLst>
            <a:ext uri="{FF2B5EF4-FFF2-40B4-BE49-F238E27FC236}">
              <a16:creationId xmlns:a16="http://schemas.microsoft.com/office/drawing/2014/main" id="{00000000-0008-0000-0300-00005F000000}"/>
            </a:ext>
          </a:extLst>
        </xdr:cNvPr>
        <xdr:cNvSpPr txBox="1"/>
      </xdr:nvSpPr>
      <xdr:spPr>
        <a:xfrm>
          <a:off x="6724650" y="203549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96" name="TextBox 95">
          <a:extLst>
            <a:ext uri="{FF2B5EF4-FFF2-40B4-BE49-F238E27FC236}">
              <a16:creationId xmlns:a16="http://schemas.microsoft.com/office/drawing/2014/main" id="{00000000-0008-0000-0300-000060000000}"/>
            </a:ext>
          </a:extLst>
        </xdr:cNvPr>
        <xdr:cNvSpPr txBox="1"/>
      </xdr:nvSpPr>
      <xdr:spPr>
        <a:xfrm>
          <a:off x="6724650" y="164115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97" name="TextBox 96">
          <a:extLst>
            <a:ext uri="{FF2B5EF4-FFF2-40B4-BE49-F238E27FC236}">
              <a16:creationId xmlns:a16="http://schemas.microsoft.com/office/drawing/2014/main" id="{00000000-0008-0000-0300-000061000000}"/>
            </a:ext>
          </a:extLst>
        </xdr:cNvPr>
        <xdr:cNvSpPr txBox="1"/>
      </xdr:nvSpPr>
      <xdr:spPr>
        <a:xfrm>
          <a:off x="6724650" y="203549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1363" cy="1676302"/>
    <xdr:sp macro="" textlink="">
      <xdr:nvSpPr>
        <xdr:cNvPr id="98" name="TextBox 97">
          <a:extLst>
            <a:ext uri="{FF2B5EF4-FFF2-40B4-BE49-F238E27FC236}">
              <a16:creationId xmlns:a16="http://schemas.microsoft.com/office/drawing/2014/main" id="{00000000-0008-0000-0300-000062000000}"/>
            </a:ext>
          </a:extLst>
        </xdr:cNvPr>
        <xdr:cNvSpPr txBox="1"/>
      </xdr:nvSpPr>
      <xdr:spPr>
        <a:xfrm>
          <a:off x="6724650" y="20354925"/>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445197" cy="1676302"/>
    <xdr:sp macro="" textlink="">
      <xdr:nvSpPr>
        <xdr:cNvPr id="99" name="TextBox 98">
          <a:extLst>
            <a:ext uri="{FF2B5EF4-FFF2-40B4-BE49-F238E27FC236}">
              <a16:creationId xmlns:a16="http://schemas.microsoft.com/office/drawing/2014/main" id="{00000000-0008-0000-0300-000063000000}"/>
            </a:ext>
          </a:extLst>
        </xdr:cNvPr>
        <xdr:cNvSpPr txBox="1"/>
      </xdr:nvSpPr>
      <xdr:spPr>
        <a:xfrm>
          <a:off x="6724650" y="20354925"/>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100" name="TextBox 99">
          <a:extLst>
            <a:ext uri="{FF2B5EF4-FFF2-40B4-BE49-F238E27FC236}">
              <a16:creationId xmlns:a16="http://schemas.microsoft.com/office/drawing/2014/main" id="{00000000-0008-0000-0300-000064000000}"/>
            </a:ext>
          </a:extLst>
        </xdr:cNvPr>
        <xdr:cNvSpPr txBox="1"/>
      </xdr:nvSpPr>
      <xdr:spPr>
        <a:xfrm>
          <a:off x="6724650" y="164115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101" name="TextBox 100">
          <a:extLst>
            <a:ext uri="{FF2B5EF4-FFF2-40B4-BE49-F238E27FC236}">
              <a16:creationId xmlns:a16="http://schemas.microsoft.com/office/drawing/2014/main" id="{00000000-0008-0000-0300-000065000000}"/>
            </a:ext>
          </a:extLst>
        </xdr:cNvPr>
        <xdr:cNvSpPr txBox="1"/>
      </xdr:nvSpPr>
      <xdr:spPr>
        <a:xfrm>
          <a:off x="6724650" y="203549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76039"/>
    <xdr:sp macro="" textlink="">
      <xdr:nvSpPr>
        <xdr:cNvPr id="102" name="TextBox 101">
          <a:extLst>
            <a:ext uri="{FF2B5EF4-FFF2-40B4-BE49-F238E27FC236}">
              <a16:creationId xmlns:a16="http://schemas.microsoft.com/office/drawing/2014/main" id="{00000000-0008-0000-0300-000066000000}"/>
            </a:ext>
          </a:extLst>
        </xdr:cNvPr>
        <xdr:cNvSpPr txBox="1"/>
      </xdr:nvSpPr>
      <xdr:spPr>
        <a:xfrm>
          <a:off x="6724650" y="24136350"/>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103" name="TextBox 102">
          <a:extLst>
            <a:ext uri="{FF2B5EF4-FFF2-40B4-BE49-F238E27FC236}">
              <a16:creationId xmlns:a16="http://schemas.microsoft.com/office/drawing/2014/main" id="{00000000-0008-0000-0300-000067000000}"/>
            </a:ext>
          </a:extLst>
        </xdr:cNvPr>
        <xdr:cNvSpPr txBox="1"/>
      </xdr:nvSpPr>
      <xdr:spPr>
        <a:xfrm>
          <a:off x="6724650" y="2413635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104" name="TextBox 103">
          <a:extLst>
            <a:ext uri="{FF2B5EF4-FFF2-40B4-BE49-F238E27FC236}">
              <a16:creationId xmlns:a16="http://schemas.microsoft.com/office/drawing/2014/main" id="{00000000-0008-0000-0300-000068000000}"/>
            </a:ext>
          </a:extLst>
        </xdr:cNvPr>
        <xdr:cNvSpPr txBox="1"/>
      </xdr:nvSpPr>
      <xdr:spPr>
        <a:xfrm>
          <a:off x="6724650" y="2413635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620421"/>
    <xdr:sp macro="" textlink="">
      <xdr:nvSpPr>
        <xdr:cNvPr id="105" name="TextBox 104">
          <a:extLst>
            <a:ext uri="{FF2B5EF4-FFF2-40B4-BE49-F238E27FC236}">
              <a16:creationId xmlns:a16="http://schemas.microsoft.com/office/drawing/2014/main" id="{00000000-0008-0000-0300-000069000000}"/>
            </a:ext>
          </a:extLst>
        </xdr:cNvPr>
        <xdr:cNvSpPr txBox="1"/>
      </xdr:nvSpPr>
      <xdr:spPr>
        <a:xfrm>
          <a:off x="40147875" y="20354925"/>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842257"/>
    <xdr:sp macro="" textlink="">
      <xdr:nvSpPr>
        <xdr:cNvPr id="106" name="TextBox 105">
          <a:extLst>
            <a:ext uri="{FF2B5EF4-FFF2-40B4-BE49-F238E27FC236}">
              <a16:creationId xmlns:a16="http://schemas.microsoft.com/office/drawing/2014/main" id="{00000000-0008-0000-0300-00006A000000}"/>
            </a:ext>
          </a:extLst>
        </xdr:cNvPr>
        <xdr:cNvSpPr txBox="1"/>
      </xdr:nvSpPr>
      <xdr:spPr>
        <a:xfrm>
          <a:off x="40147875" y="16411575"/>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587258"/>
    <xdr:sp macro="" textlink="">
      <xdr:nvSpPr>
        <xdr:cNvPr id="107" name="TextBox 106">
          <a:extLst>
            <a:ext uri="{FF2B5EF4-FFF2-40B4-BE49-F238E27FC236}">
              <a16:creationId xmlns:a16="http://schemas.microsoft.com/office/drawing/2014/main" id="{00000000-0008-0000-0300-00006B000000}"/>
            </a:ext>
          </a:extLst>
        </xdr:cNvPr>
        <xdr:cNvSpPr txBox="1"/>
      </xdr:nvSpPr>
      <xdr:spPr>
        <a:xfrm>
          <a:off x="40147875" y="20354925"/>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932" cy="1587258"/>
    <xdr:sp macro="" textlink="">
      <xdr:nvSpPr>
        <xdr:cNvPr id="108" name="TextBox 107">
          <a:extLst>
            <a:ext uri="{FF2B5EF4-FFF2-40B4-BE49-F238E27FC236}">
              <a16:creationId xmlns:a16="http://schemas.microsoft.com/office/drawing/2014/main" id="{00000000-0008-0000-0300-00006C000000}"/>
            </a:ext>
          </a:extLst>
        </xdr:cNvPr>
        <xdr:cNvSpPr txBox="1"/>
      </xdr:nvSpPr>
      <xdr:spPr>
        <a:xfrm>
          <a:off x="63354585" y="20354925"/>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109" name="TextBox 108">
          <a:extLst>
            <a:ext uri="{FF2B5EF4-FFF2-40B4-BE49-F238E27FC236}">
              <a16:creationId xmlns:a16="http://schemas.microsoft.com/office/drawing/2014/main" id="{00000000-0008-0000-0300-00006D000000}"/>
            </a:ext>
          </a:extLst>
        </xdr:cNvPr>
        <xdr:cNvSpPr txBox="1"/>
      </xdr:nvSpPr>
      <xdr:spPr>
        <a:xfrm>
          <a:off x="69427725" y="164115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110" name="TextBox 109">
          <a:extLst>
            <a:ext uri="{FF2B5EF4-FFF2-40B4-BE49-F238E27FC236}">
              <a16:creationId xmlns:a16="http://schemas.microsoft.com/office/drawing/2014/main" id="{00000000-0008-0000-0300-00006E000000}"/>
            </a:ext>
          </a:extLst>
        </xdr:cNvPr>
        <xdr:cNvSpPr txBox="1"/>
      </xdr:nvSpPr>
      <xdr:spPr>
        <a:xfrm>
          <a:off x="69427725" y="2035492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593" cy="1587258"/>
    <xdr:sp macro="" textlink="">
      <xdr:nvSpPr>
        <xdr:cNvPr id="111" name="TextBox 110">
          <a:extLst>
            <a:ext uri="{FF2B5EF4-FFF2-40B4-BE49-F238E27FC236}">
              <a16:creationId xmlns:a16="http://schemas.microsoft.com/office/drawing/2014/main" id="{00000000-0008-0000-0300-00006F000000}"/>
            </a:ext>
          </a:extLst>
        </xdr:cNvPr>
        <xdr:cNvSpPr txBox="1"/>
      </xdr:nvSpPr>
      <xdr:spPr>
        <a:xfrm>
          <a:off x="65008125" y="20354925"/>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8203" cy="1587258"/>
    <xdr:sp macro="" textlink="">
      <xdr:nvSpPr>
        <xdr:cNvPr id="112" name="TextBox 111">
          <a:extLst>
            <a:ext uri="{FF2B5EF4-FFF2-40B4-BE49-F238E27FC236}">
              <a16:creationId xmlns:a16="http://schemas.microsoft.com/office/drawing/2014/main" id="{00000000-0008-0000-0300-000070000000}"/>
            </a:ext>
          </a:extLst>
        </xdr:cNvPr>
        <xdr:cNvSpPr txBox="1"/>
      </xdr:nvSpPr>
      <xdr:spPr>
        <a:xfrm>
          <a:off x="80200500" y="20354925"/>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113" name="TextBox 112">
          <a:extLst>
            <a:ext uri="{FF2B5EF4-FFF2-40B4-BE49-F238E27FC236}">
              <a16:creationId xmlns:a16="http://schemas.microsoft.com/office/drawing/2014/main" id="{00000000-0008-0000-0300-000071000000}"/>
            </a:ext>
          </a:extLst>
        </xdr:cNvPr>
        <xdr:cNvSpPr txBox="1"/>
      </xdr:nvSpPr>
      <xdr:spPr>
        <a:xfrm>
          <a:off x="64459485" y="164115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114" name="TextBox 113">
          <a:extLst>
            <a:ext uri="{FF2B5EF4-FFF2-40B4-BE49-F238E27FC236}">
              <a16:creationId xmlns:a16="http://schemas.microsoft.com/office/drawing/2014/main" id="{00000000-0008-0000-0300-000072000000}"/>
            </a:ext>
          </a:extLst>
        </xdr:cNvPr>
        <xdr:cNvSpPr txBox="1"/>
      </xdr:nvSpPr>
      <xdr:spPr>
        <a:xfrm>
          <a:off x="64459485" y="2035492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115" name="TextBox 114">
          <a:extLst>
            <a:ext uri="{FF2B5EF4-FFF2-40B4-BE49-F238E27FC236}">
              <a16:creationId xmlns:a16="http://schemas.microsoft.com/office/drawing/2014/main" id="{00000000-0008-0000-0300-000073000000}"/>
            </a:ext>
          </a:extLst>
        </xdr:cNvPr>
        <xdr:cNvSpPr txBox="1"/>
      </xdr:nvSpPr>
      <xdr:spPr>
        <a:xfrm>
          <a:off x="68602860" y="2413635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116" name="TextBox 115">
          <a:extLst>
            <a:ext uri="{FF2B5EF4-FFF2-40B4-BE49-F238E27FC236}">
              <a16:creationId xmlns:a16="http://schemas.microsoft.com/office/drawing/2014/main" id="{00000000-0008-0000-0300-000074000000}"/>
            </a:ext>
          </a:extLst>
        </xdr:cNvPr>
        <xdr:cNvSpPr txBox="1"/>
      </xdr:nvSpPr>
      <xdr:spPr>
        <a:xfrm>
          <a:off x="64183260" y="2413635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222"/>
    <xdr:sp macro="" textlink="">
      <xdr:nvSpPr>
        <xdr:cNvPr id="117" name="TextBox 116">
          <a:extLst>
            <a:ext uri="{FF2B5EF4-FFF2-40B4-BE49-F238E27FC236}">
              <a16:creationId xmlns:a16="http://schemas.microsoft.com/office/drawing/2014/main" id="{00000000-0008-0000-0300-000075000000}"/>
            </a:ext>
          </a:extLst>
        </xdr:cNvPr>
        <xdr:cNvSpPr txBox="1"/>
      </xdr:nvSpPr>
      <xdr:spPr>
        <a:xfrm>
          <a:off x="24126825" y="20354925"/>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748771"/>
    <xdr:sp macro="" textlink="">
      <xdr:nvSpPr>
        <xdr:cNvPr id="118" name="TextBox 117">
          <a:extLst>
            <a:ext uri="{FF2B5EF4-FFF2-40B4-BE49-F238E27FC236}">
              <a16:creationId xmlns:a16="http://schemas.microsoft.com/office/drawing/2014/main" id="{00000000-0008-0000-0300-000076000000}"/>
            </a:ext>
          </a:extLst>
        </xdr:cNvPr>
        <xdr:cNvSpPr txBox="1"/>
      </xdr:nvSpPr>
      <xdr:spPr>
        <a:xfrm>
          <a:off x="24126825" y="16411575"/>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119"/>
    <xdr:sp macro="" textlink="">
      <xdr:nvSpPr>
        <xdr:cNvPr id="119" name="TextBox 118">
          <a:extLst>
            <a:ext uri="{FF2B5EF4-FFF2-40B4-BE49-F238E27FC236}">
              <a16:creationId xmlns:a16="http://schemas.microsoft.com/office/drawing/2014/main" id="{00000000-0008-0000-0300-000077000000}"/>
            </a:ext>
          </a:extLst>
        </xdr:cNvPr>
        <xdr:cNvSpPr txBox="1"/>
      </xdr:nvSpPr>
      <xdr:spPr>
        <a:xfrm>
          <a:off x="24126825" y="20354925"/>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114" cy="1662119"/>
    <xdr:sp macro="" textlink="">
      <xdr:nvSpPr>
        <xdr:cNvPr id="120" name="TextBox 119">
          <a:extLst>
            <a:ext uri="{FF2B5EF4-FFF2-40B4-BE49-F238E27FC236}">
              <a16:creationId xmlns:a16="http://schemas.microsoft.com/office/drawing/2014/main" id="{00000000-0008-0000-0300-000078000000}"/>
            </a:ext>
          </a:extLst>
        </xdr:cNvPr>
        <xdr:cNvSpPr txBox="1"/>
      </xdr:nvSpPr>
      <xdr:spPr>
        <a:xfrm>
          <a:off x="24126825" y="20354925"/>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731221"/>
    <xdr:sp macro="" textlink="">
      <xdr:nvSpPr>
        <xdr:cNvPr id="121" name="TextBox 120">
          <a:extLst>
            <a:ext uri="{FF2B5EF4-FFF2-40B4-BE49-F238E27FC236}">
              <a16:creationId xmlns:a16="http://schemas.microsoft.com/office/drawing/2014/main" id="{00000000-0008-0000-0300-000079000000}"/>
            </a:ext>
          </a:extLst>
        </xdr:cNvPr>
        <xdr:cNvSpPr txBox="1"/>
      </xdr:nvSpPr>
      <xdr:spPr>
        <a:xfrm>
          <a:off x="24126825" y="16411575"/>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662119"/>
    <xdr:sp macro="" textlink="">
      <xdr:nvSpPr>
        <xdr:cNvPr id="122" name="TextBox 121">
          <a:extLst>
            <a:ext uri="{FF2B5EF4-FFF2-40B4-BE49-F238E27FC236}">
              <a16:creationId xmlns:a16="http://schemas.microsoft.com/office/drawing/2014/main" id="{00000000-0008-0000-0300-00007A000000}"/>
            </a:ext>
          </a:extLst>
        </xdr:cNvPr>
        <xdr:cNvSpPr txBox="1"/>
      </xdr:nvSpPr>
      <xdr:spPr>
        <a:xfrm>
          <a:off x="24126825" y="20354925"/>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123" name="TextBox 122">
          <a:extLst>
            <a:ext uri="{FF2B5EF4-FFF2-40B4-BE49-F238E27FC236}">
              <a16:creationId xmlns:a16="http://schemas.microsoft.com/office/drawing/2014/main" id="{00000000-0008-0000-0300-00007B000000}"/>
            </a:ext>
          </a:extLst>
        </xdr:cNvPr>
        <xdr:cNvSpPr txBox="1"/>
      </xdr:nvSpPr>
      <xdr:spPr>
        <a:xfrm>
          <a:off x="24126825" y="2035492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731221"/>
    <xdr:sp macro="" textlink="">
      <xdr:nvSpPr>
        <xdr:cNvPr id="124" name="TextBox 123">
          <a:extLst>
            <a:ext uri="{FF2B5EF4-FFF2-40B4-BE49-F238E27FC236}">
              <a16:creationId xmlns:a16="http://schemas.microsoft.com/office/drawing/2014/main" id="{00000000-0008-0000-0300-00007C000000}"/>
            </a:ext>
          </a:extLst>
        </xdr:cNvPr>
        <xdr:cNvSpPr txBox="1"/>
      </xdr:nvSpPr>
      <xdr:spPr>
        <a:xfrm>
          <a:off x="24126825" y="16411575"/>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125" name="TextBox 124">
          <a:extLst>
            <a:ext uri="{FF2B5EF4-FFF2-40B4-BE49-F238E27FC236}">
              <a16:creationId xmlns:a16="http://schemas.microsoft.com/office/drawing/2014/main" id="{00000000-0008-0000-0300-00007D000000}"/>
            </a:ext>
          </a:extLst>
        </xdr:cNvPr>
        <xdr:cNvSpPr txBox="1"/>
      </xdr:nvSpPr>
      <xdr:spPr>
        <a:xfrm>
          <a:off x="24126825" y="2035492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4833" cy="1662119"/>
    <xdr:sp macro="" textlink="">
      <xdr:nvSpPr>
        <xdr:cNvPr id="126" name="TextBox 125">
          <a:extLst>
            <a:ext uri="{FF2B5EF4-FFF2-40B4-BE49-F238E27FC236}">
              <a16:creationId xmlns:a16="http://schemas.microsoft.com/office/drawing/2014/main" id="{00000000-0008-0000-0300-00007E000000}"/>
            </a:ext>
          </a:extLst>
        </xdr:cNvPr>
        <xdr:cNvSpPr txBox="1"/>
      </xdr:nvSpPr>
      <xdr:spPr>
        <a:xfrm>
          <a:off x="24126825" y="20354925"/>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731221"/>
    <xdr:sp macro="" textlink="">
      <xdr:nvSpPr>
        <xdr:cNvPr id="127" name="TextBox 126">
          <a:extLst>
            <a:ext uri="{FF2B5EF4-FFF2-40B4-BE49-F238E27FC236}">
              <a16:creationId xmlns:a16="http://schemas.microsoft.com/office/drawing/2014/main" id="{00000000-0008-0000-0300-00007F000000}"/>
            </a:ext>
          </a:extLst>
        </xdr:cNvPr>
        <xdr:cNvSpPr txBox="1"/>
      </xdr:nvSpPr>
      <xdr:spPr>
        <a:xfrm>
          <a:off x="24126825" y="16411575"/>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119"/>
    <xdr:sp macro="" textlink="">
      <xdr:nvSpPr>
        <xdr:cNvPr id="128" name="TextBox 127">
          <a:extLst>
            <a:ext uri="{FF2B5EF4-FFF2-40B4-BE49-F238E27FC236}">
              <a16:creationId xmlns:a16="http://schemas.microsoft.com/office/drawing/2014/main" id="{00000000-0008-0000-0300-000080000000}"/>
            </a:ext>
          </a:extLst>
        </xdr:cNvPr>
        <xdr:cNvSpPr txBox="1"/>
      </xdr:nvSpPr>
      <xdr:spPr>
        <a:xfrm>
          <a:off x="24126825" y="20354925"/>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877" cy="1662343"/>
    <xdr:sp macro="" textlink="">
      <xdr:nvSpPr>
        <xdr:cNvPr id="129" name="TextBox 128">
          <a:extLst>
            <a:ext uri="{FF2B5EF4-FFF2-40B4-BE49-F238E27FC236}">
              <a16:creationId xmlns:a16="http://schemas.microsoft.com/office/drawing/2014/main" id="{00000000-0008-0000-0300-000081000000}"/>
            </a:ext>
          </a:extLst>
        </xdr:cNvPr>
        <xdr:cNvSpPr txBox="1"/>
      </xdr:nvSpPr>
      <xdr:spPr>
        <a:xfrm>
          <a:off x="24126825" y="24136350"/>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343"/>
    <xdr:sp macro="" textlink="">
      <xdr:nvSpPr>
        <xdr:cNvPr id="130" name="TextBox 129">
          <a:extLst>
            <a:ext uri="{FF2B5EF4-FFF2-40B4-BE49-F238E27FC236}">
              <a16:creationId xmlns:a16="http://schemas.microsoft.com/office/drawing/2014/main" id="{00000000-0008-0000-0300-000082000000}"/>
            </a:ext>
          </a:extLst>
        </xdr:cNvPr>
        <xdr:cNvSpPr txBox="1"/>
      </xdr:nvSpPr>
      <xdr:spPr>
        <a:xfrm>
          <a:off x="24126825" y="24136350"/>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343"/>
    <xdr:sp macro="" textlink="">
      <xdr:nvSpPr>
        <xdr:cNvPr id="131" name="TextBox 130">
          <a:extLst>
            <a:ext uri="{FF2B5EF4-FFF2-40B4-BE49-F238E27FC236}">
              <a16:creationId xmlns:a16="http://schemas.microsoft.com/office/drawing/2014/main" id="{00000000-0008-0000-0300-000083000000}"/>
            </a:ext>
          </a:extLst>
        </xdr:cNvPr>
        <xdr:cNvSpPr txBox="1"/>
      </xdr:nvSpPr>
      <xdr:spPr>
        <a:xfrm>
          <a:off x="24126825" y="24136350"/>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934"/>
    <xdr:sp macro="" textlink="">
      <xdr:nvSpPr>
        <xdr:cNvPr id="132" name="TextBox 131">
          <a:extLst>
            <a:ext uri="{FF2B5EF4-FFF2-40B4-BE49-F238E27FC236}">
              <a16:creationId xmlns:a16="http://schemas.microsoft.com/office/drawing/2014/main" id="{00000000-0008-0000-0300-000084000000}"/>
            </a:ext>
          </a:extLst>
        </xdr:cNvPr>
        <xdr:cNvSpPr txBox="1"/>
      </xdr:nvSpPr>
      <xdr:spPr>
        <a:xfrm>
          <a:off x="11972925" y="20354925"/>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742770"/>
    <xdr:sp macro="" textlink="">
      <xdr:nvSpPr>
        <xdr:cNvPr id="133" name="TextBox 132">
          <a:extLst>
            <a:ext uri="{FF2B5EF4-FFF2-40B4-BE49-F238E27FC236}">
              <a16:creationId xmlns:a16="http://schemas.microsoft.com/office/drawing/2014/main" id="{00000000-0008-0000-0300-000085000000}"/>
            </a:ext>
          </a:extLst>
        </xdr:cNvPr>
        <xdr:cNvSpPr txBox="1"/>
      </xdr:nvSpPr>
      <xdr:spPr>
        <a:xfrm>
          <a:off x="11972925" y="16411575"/>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831"/>
    <xdr:sp macro="" textlink="">
      <xdr:nvSpPr>
        <xdr:cNvPr id="134" name="TextBox 133">
          <a:extLst>
            <a:ext uri="{FF2B5EF4-FFF2-40B4-BE49-F238E27FC236}">
              <a16:creationId xmlns:a16="http://schemas.microsoft.com/office/drawing/2014/main" id="{00000000-0008-0000-0300-000086000000}"/>
            </a:ext>
          </a:extLst>
        </xdr:cNvPr>
        <xdr:cNvSpPr txBox="1"/>
      </xdr:nvSpPr>
      <xdr:spPr>
        <a:xfrm>
          <a:off x="11972925" y="20354925"/>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5023"/>
    <xdr:sp macro="" textlink="">
      <xdr:nvSpPr>
        <xdr:cNvPr id="135" name="TextBox 134">
          <a:extLst>
            <a:ext uri="{FF2B5EF4-FFF2-40B4-BE49-F238E27FC236}">
              <a16:creationId xmlns:a16="http://schemas.microsoft.com/office/drawing/2014/main" id="{00000000-0008-0000-0300-000087000000}"/>
            </a:ext>
          </a:extLst>
        </xdr:cNvPr>
        <xdr:cNvSpPr txBox="1"/>
      </xdr:nvSpPr>
      <xdr:spPr>
        <a:xfrm>
          <a:off x="77438250" y="20354925"/>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717993"/>
    <xdr:sp macro="" textlink="">
      <xdr:nvSpPr>
        <xdr:cNvPr id="136" name="TextBox 135">
          <a:extLst>
            <a:ext uri="{FF2B5EF4-FFF2-40B4-BE49-F238E27FC236}">
              <a16:creationId xmlns:a16="http://schemas.microsoft.com/office/drawing/2014/main" id="{00000000-0008-0000-0300-000088000000}"/>
            </a:ext>
          </a:extLst>
        </xdr:cNvPr>
        <xdr:cNvSpPr txBox="1"/>
      </xdr:nvSpPr>
      <xdr:spPr>
        <a:xfrm>
          <a:off x="77438250" y="16411575"/>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4935"/>
    <xdr:sp macro="" textlink="">
      <xdr:nvSpPr>
        <xdr:cNvPr id="137" name="TextBox 136">
          <a:extLst>
            <a:ext uri="{FF2B5EF4-FFF2-40B4-BE49-F238E27FC236}">
              <a16:creationId xmlns:a16="http://schemas.microsoft.com/office/drawing/2014/main" id="{00000000-0008-0000-0300-000089000000}"/>
            </a:ext>
          </a:extLst>
        </xdr:cNvPr>
        <xdr:cNvSpPr txBox="1"/>
      </xdr:nvSpPr>
      <xdr:spPr>
        <a:xfrm>
          <a:off x="77438250" y="20354925"/>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4773" cy="1434935"/>
    <xdr:sp macro="" textlink="">
      <xdr:nvSpPr>
        <xdr:cNvPr id="138" name="TextBox 137">
          <a:extLst>
            <a:ext uri="{FF2B5EF4-FFF2-40B4-BE49-F238E27FC236}">
              <a16:creationId xmlns:a16="http://schemas.microsoft.com/office/drawing/2014/main" id="{00000000-0008-0000-0300-00008A000000}"/>
            </a:ext>
          </a:extLst>
        </xdr:cNvPr>
        <xdr:cNvSpPr txBox="1"/>
      </xdr:nvSpPr>
      <xdr:spPr>
        <a:xfrm>
          <a:off x="43199685" y="20354925"/>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139" name="TextBox 138">
          <a:extLst>
            <a:ext uri="{FF2B5EF4-FFF2-40B4-BE49-F238E27FC236}">
              <a16:creationId xmlns:a16="http://schemas.microsoft.com/office/drawing/2014/main" id="{00000000-0008-0000-0300-00008B000000}"/>
            </a:ext>
          </a:extLst>
        </xdr:cNvPr>
        <xdr:cNvSpPr txBox="1"/>
      </xdr:nvSpPr>
      <xdr:spPr>
        <a:xfrm>
          <a:off x="54787800" y="2035492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140" name="TextBox 139">
          <a:extLst>
            <a:ext uri="{FF2B5EF4-FFF2-40B4-BE49-F238E27FC236}">
              <a16:creationId xmlns:a16="http://schemas.microsoft.com/office/drawing/2014/main" id="{00000000-0008-0000-0300-00008C000000}"/>
            </a:ext>
          </a:extLst>
        </xdr:cNvPr>
        <xdr:cNvSpPr txBox="1"/>
      </xdr:nvSpPr>
      <xdr:spPr>
        <a:xfrm>
          <a:off x="54787800" y="164115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141" name="TextBox 140">
          <a:extLst>
            <a:ext uri="{FF2B5EF4-FFF2-40B4-BE49-F238E27FC236}">
              <a16:creationId xmlns:a16="http://schemas.microsoft.com/office/drawing/2014/main" id="{00000000-0008-0000-0300-00008D000000}"/>
            </a:ext>
          </a:extLst>
        </xdr:cNvPr>
        <xdr:cNvSpPr txBox="1"/>
      </xdr:nvSpPr>
      <xdr:spPr>
        <a:xfrm>
          <a:off x="54787800" y="2035492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142" name="TextBox 141">
          <a:extLst>
            <a:ext uri="{FF2B5EF4-FFF2-40B4-BE49-F238E27FC236}">
              <a16:creationId xmlns:a16="http://schemas.microsoft.com/office/drawing/2014/main" id="{00000000-0008-0000-0300-00008E000000}"/>
            </a:ext>
          </a:extLst>
        </xdr:cNvPr>
        <xdr:cNvSpPr txBox="1"/>
      </xdr:nvSpPr>
      <xdr:spPr>
        <a:xfrm>
          <a:off x="13906500" y="2035492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143" name="TextBox 142">
          <a:extLst>
            <a:ext uri="{FF2B5EF4-FFF2-40B4-BE49-F238E27FC236}">
              <a16:creationId xmlns:a16="http://schemas.microsoft.com/office/drawing/2014/main" id="{00000000-0008-0000-0300-00008F000000}"/>
            </a:ext>
          </a:extLst>
        </xdr:cNvPr>
        <xdr:cNvSpPr txBox="1"/>
      </xdr:nvSpPr>
      <xdr:spPr>
        <a:xfrm>
          <a:off x="13906500" y="164115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144" name="TextBox 143">
          <a:extLst>
            <a:ext uri="{FF2B5EF4-FFF2-40B4-BE49-F238E27FC236}">
              <a16:creationId xmlns:a16="http://schemas.microsoft.com/office/drawing/2014/main" id="{00000000-0008-0000-0300-000090000000}"/>
            </a:ext>
          </a:extLst>
        </xdr:cNvPr>
        <xdr:cNvSpPr txBox="1"/>
      </xdr:nvSpPr>
      <xdr:spPr>
        <a:xfrm>
          <a:off x="13906500" y="2035492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145" name="TextBox 144">
          <a:extLst>
            <a:ext uri="{FF2B5EF4-FFF2-40B4-BE49-F238E27FC236}">
              <a16:creationId xmlns:a16="http://schemas.microsoft.com/office/drawing/2014/main" id="{00000000-0008-0000-0300-000091000000}"/>
            </a:ext>
          </a:extLst>
        </xdr:cNvPr>
        <xdr:cNvSpPr txBox="1"/>
      </xdr:nvSpPr>
      <xdr:spPr>
        <a:xfrm>
          <a:off x="81585435" y="2035492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146" name="TextBox 145">
          <a:extLst>
            <a:ext uri="{FF2B5EF4-FFF2-40B4-BE49-F238E27FC236}">
              <a16:creationId xmlns:a16="http://schemas.microsoft.com/office/drawing/2014/main" id="{00000000-0008-0000-0300-000092000000}"/>
            </a:ext>
          </a:extLst>
        </xdr:cNvPr>
        <xdr:cNvSpPr txBox="1"/>
      </xdr:nvSpPr>
      <xdr:spPr>
        <a:xfrm>
          <a:off x="58658760" y="2035492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746347"/>
    <xdr:sp macro="" textlink="">
      <xdr:nvSpPr>
        <xdr:cNvPr id="147" name="TextBox 146">
          <a:extLst>
            <a:ext uri="{FF2B5EF4-FFF2-40B4-BE49-F238E27FC236}">
              <a16:creationId xmlns:a16="http://schemas.microsoft.com/office/drawing/2014/main" id="{00000000-0008-0000-0300-000093000000}"/>
            </a:ext>
          </a:extLst>
        </xdr:cNvPr>
        <xdr:cNvSpPr txBox="1"/>
      </xdr:nvSpPr>
      <xdr:spPr>
        <a:xfrm>
          <a:off x="46781085" y="16411575"/>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661857"/>
    <xdr:sp macro="" textlink="">
      <xdr:nvSpPr>
        <xdr:cNvPr id="148" name="TextBox 147">
          <a:extLst>
            <a:ext uri="{FF2B5EF4-FFF2-40B4-BE49-F238E27FC236}">
              <a16:creationId xmlns:a16="http://schemas.microsoft.com/office/drawing/2014/main" id="{00000000-0008-0000-0300-000094000000}"/>
            </a:ext>
          </a:extLst>
        </xdr:cNvPr>
        <xdr:cNvSpPr txBox="1"/>
      </xdr:nvSpPr>
      <xdr:spPr>
        <a:xfrm>
          <a:off x="46781085" y="20354925"/>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178" cy="1661857"/>
    <xdr:sp macro="" textlink="">
      <xdr:nvSpPr>
        <xdr:cNvPr id="149" name="TextBox 148">
          <a:extLst>
            <a:ext uri="{FF2B5EF4-FFF2-40B4-BE49-F238E27FC236}">
              <a16:creationId xmlns:a16="http://schemas.microsoft.com/office/drawing/2014/main" id="{00000000-0008-0000-0300-000095000000}"/>
            </a:ext>
          </a:extLst>
        </xdr:cNvPr>
        <xdr:cNvSpPr txBox="1"/>
      </xdr:nvSpPr>
      <xdr:spPr>
        <a:xfrm>
          <a:off x="46228635" y="20354925"/>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9642" cy="1678802"/>
    <xdr:sp macro="" textlink="">
      <xdr:nvSpPr>
        <xdr:cNvPr id="150" name="TextBox 149">
          <a:extLst>
            <a:ext uri="{FF2B5EF4-FFF2-40B4-BE49-F238E27FC236}">
              <a16:creationId xmlns:a16="http://schemas.microsoft.com/office/drawing/2014/main" id="{00000000-0008-0000-0300-000096000000}"/>
            </a:ext>
          </a:extLst>
        </xdr:cNvPr>
        <xdr:cNvSpPr txBox="1"/>
      </xdr:nvSpPr>
      <xdr:spPr>
        <a:xfrm>
          <a:off x="46504860" y="24136350"/>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419"/>
    <xdr:sp macro="" textlink="">
      <xdr:nvSpPr>
        <xdr:cNvPr id="151" name="TextBox 150">
          <a:extLst>
            <a:ext uri="{FF2B5EF4-FFF2-40B4-BE49-F238E27FC236}">
              <a16:creationId xmlns:a16="http://schemas.microsoft.com/office/drawing/2014/main" id="{00000000-0008-0000-0300-000097000000}"/>
            </a:ext>
          </a:extLst>
        </xdr:cNvPr>
        <xdr:cNvSpPr txBox="1"/>
      </xdr:nvSpPr>
      <xdr:spPr>
        <a:xfrm>
          <a:off x="50368200" y="20354925"/>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759058"/>
    <xdr:sp macro="" textlink="">
      <xdr:nvSpPr>
        <xdr:cNvPr id="152" name="TextBox 151">
          <a:extLst>
            <a:ext uri="{FF2B5EF4-FFF2-40B4-BE49-F238E27FC236}">
              <a16:creationId xmlns:a16="http://schemas.microsoft.com/office/drawing/2014/main" id="{00000000-0008-0000-0300-000098000000}"/>
            </a:ext>
          </a:extLst>
        </xdr:cNvPr>
        <xdr:cNvSpPr txBox="1"/>
      </xdr:nvSpPr>
      <xdr:spPr>
        <a:xfrm>
          <a:off x="50368200" y="16411575"/>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316"/>
    <xdr:sp macro="" textlink="">
      <xdr:nvSpPr>
        <xdr:cNvPr id="153" name="TextBox 152">
          <a:extLst>
            <a:ext uri="{FF2B5EF4-FFF2-40B4-BE49-F238E27FC236}">
              <a16:creationId xmlns:a16="http://schemas.microsoft.com/office/drawing/2014/main" id="{00000000-0008-0000-0300-000099000000}"/>
            </a:ext>
          </a:extLst>
        </xdr:cNvPr>
        <xdr:cNvSpPr txBox="1"/>
      </xdr:nvSpPr>
      <xdr:spPr>
        <a:xfrm>
          <a:off x="50368200" y="20354925"/>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21" cy="1650316"/>
    <xdr:sp macro="" textlink="">
      <xdr:nvSpPr>
        <xdr:cNvPr id="154" name="TextBox 153">
          <a:extLst>
            <a:ext uri="{FF2B5EF4-FFF2-40B4-BE49-F238E27FC236}">
              <a16:creationId xmlns:a16="http://schemas.microsoft.com/office/drawing/2014/main" id="{00000000-0008-0000-0300-00009A000000}"/>
            </a:ext>
          </a:extLst>
        </xdr:cNvPr>
        <xdr:cNvSpPr txBox="1"/>
      </xdr:nvSpPr>
      <xdr:spPr>
        <a:xfrm>
          <a:off x="50108485" y="20354925"/>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155" name="TextBox 154">
          <a:extLst>
            <a:ext uri="{FF2B5EF4-FFF2-40B4-BE49-F238E27FC236}">
              <a16:creationId xmlns:a16="http://schemas.microsoft.com/office/drawing/2014/main" id="{00000000-0008-0000-0300-00009B000000}"/>
            </a:ext>
          </a:extLst>
        </xdr:cNvPr>
        <xdr:cNvSpPr txBox="1"/>
      </xdr:nvSpPr>
      <xdr:spPr>
        <a:xfrm>
          <a:off x="11157585" y="2035492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156" name="TextBox 155">
          <a:extLst>
            <a:ext uri="{FF2B5EF4-FFF2-40B4-BE49-F238E27FC236}">
              <a16:creationId xmlns:a16="http://schemas.microsoft.com/office/drawing/2014/main" id="{00000000-0008-0000-0300-00009C000000}"/>
            </a:ext>
          </a:extLst>
        </xdr:cNvPr>
        <xdr:cNvSpPr txBox="1"/>
      </xdr:nvSpPr>
      <xdr:spPr>
        <a:xfrm>
          <a:off x="22197060" y="2413635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157" name="TextBox 156">
          <a:extLst>
            <a:ext uri="{FF2B5EF4-FFF2-40B4-BE49-F238E27FC236}">
              <a16:creationId xmlns:a16="http://schemas.microsoft.com/office/drawing/2014/main" id="{00000000-0008-0000-0300-00009D000000}"/>
            </a:ext>
          </a:extLst>
        </xdr:cNvPr>
        <xdr:cNvSpPr txBox="1"/>
      </xdr:nvSpPr>
      <xdr:spPr>
        <a:xfrm>
          <a:off x="7557135" y="2413635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2021"/>
    <xdr:sp macro="" textlink="">
      <xdr:nvSpPr>
        <xdr:cNvPr id="158" name="TextBox 157">
          <a:extLst>
            <a:ext uri="{FF2B5EF4-FFF2-40B4-BE49-F238E27FC236}">
              <a16:creationId xmlns:a16="http://schemas.microsoft.com/office/drawing/2014/main" id="{00000000-0008-0000-0300-00009E000000}"/>
            </a:ext>
          </a:extLst>
        </xdr:cNvPr>
        <xdr:cNvSpPr txBox="1"/>
      </xdr:nvSpPr>
      <xdr:spPr>
        <a:xfrm>
          <a:off x="11420475" y="20354925"/>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748948"/>
    <xdr:sp macro="" textlink="">
      <xdr:nvSpPr>
        <xdr:cNvPr id="159" name="TextBox 158">
          <a:extLst>
            <a:ext uri="{FF2B5EF4-FFF2-40B4-BE49-F238E27FC236}">
              <a16:creationId xmlns:a16="http://schemas.microsoft.com/office/drawing/2014/main" id="{00000000-0008-0000-0300-00009F000000}"/>
            </a:ext>
          </a:extLst>
        </xdr:cNvPr>
        <xdr:cNvSpPr txBox="1"/>
      </xdr:nvSpPr>
      <xdr:spPr>
        <a:xfrm>
          <a:off x="11420475" y="16411575"/>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1918"/>
    <xdr:sp macro="" textlink="">
      <xdr:nvSpPr>
        <xdr:cNvPr id="160" name="TextBox 159">
          <a:extLst>
            <a:ext uri="{FF2B5EF4-FFF2-40B4-BE49-F238E27FC236}">
              <a16:creationId xmlns:a16="http://schemas.microsoft.com/office/drawing/2014/main" id="{00000000-0008-0000-0300-0000A0000000}"/>
            </a:ext>
          </a:extLst>
        </xdr:cNvPr>
        <xdr:cNvSpPr txBox="1"/>
      </xdr:nvSpPr>
      <xdr:spPr>
        <a:xfrm>
          <a:off x="11420475" y="20354925"/>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5265" cy="1661918"/>
    <xdr:sp macro="" textlink="">
      <xdr:nvSpPr>
        <xdr:cNvPr id="161" name="TextBox 160">
          <a:extLst>
            <a:ext uri="{FF2B5EF4-FFF2-40B4-BE49-F238E27FC236}">
              <a16:creationId xmlns:a16="http://schemas.microsoft.com/office/drawing/2014/main" id="{00000000-0008-0000-0300-0000A1000000}"/>
            </a:ext>
          </a:extLst>
        </xdr:cNvPr>
        <xdr:cNvSpPr txBox="1"/>
      </xdr:nvSpPr>
      <xdr:spPr>
        <a:xfrm>
          <a:off x="10341610" y="20354925"/>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945" cy="1661918"/>
    <xdr:sp macro="" textlink="">
      <xdr:nvSpPr>
        <xdr:cNvPr id="162" name="TextBox 161">
          <a:extLst>
            <a:ext uri="{FF2B5EF4-FFF2-40B4-BE49-F238E27FC236}">
              <a16:creationId xmlns:a16="http://schemas.microsoft.com/office/drawing/2014/main" id="{00000000-0008-0000-0300-0000A2000000}"/>
            </a:ext>
          </a:extLst>
        </xdr:cNvPr>
        <xdr:cNvSpPr txBox="1"/>
      </xdr:nvSpPr>
      <xdr:spPr>
        <a:xfrm>
          <a:off x="32163385" y="20354925"/>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2021"/>
    <xdr:sp macro="" textlink="">
      <xdr:nvSpPr>
        <xdr:cNvPr id="163" name="TextBox 162">
          <a:extLst>
            <a:ext uri="{FF2B5EF4-FFF2-40B4-BE49-F238E27FC236}">
              <a16:creationId xmlns:a16="http://schemas.microsoft.com/office/drawing/2014/main" id="{00000000-0008-0000-0300-0000A3000000}"/>
            </a:ext>
          </a:extLst>
        </xdr:cNvPr>
        <xdr:cNvSpPr txBox="1"/>
      </xdr:nvSpPr>
      <xdr:spPr>
        <a:xfrm>
          <a:off x="14458950" y="20354925"/>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748948"/>
    <xdr:sp macro="" textlink="">
      <xdr:nvSpPr>
        <xdr:cNvPr id="164" name="TextBox 163">
          <a:extLst>
            <a:ext uri="{FF2B5EF4-FFF2-40B4-BE49-F238E27FC236}">
              <a16:creationId xmlns:a16="http://schemas.microsoft.com/office/drawing/2014/main" id="{00000000-0008-0000-0300-0000A4000000}"/>
            </a:ext>
          </a:extLst>
        </xdr:cNvPr>
        <xdr:cNvSpPr txBox="1"/>
      </xdr:nvSpPr>
      <xdr:spPr>
        <a:xfrm>
          <a:off x="14458950" y="16411575"/>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1918"/>
    <xdr:sp macro="" textlink="">
      <xdr:nvSpPr>
        <xdr:cNvPr id="165" name="TextBox 164">
          <a:extLst>
            <a:ext uri="{FF2B5EF4-FFF2-40B4-BE49-F238E27FC236}">
              <a16:creationId xmlns:a16="http://schemas.microsoft.com/office/drawing/2014/main" id="{00000000-0008-0000-0300-0000A5000000}"/>
            </a:ext>
          </a:extLst>
        </xdr:cNvPr>
        <xdr:cNvSpPr txBox="1"/>
      </xdr:nvSpPr>
      <xdr:spPr>
        <a:xfrm>
          <a:off x="14458950" y="20354925"/>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166" name="TextBox 165">
          <a:extLst>
            <a:ext uri="{FF2B5EF4-FFF2-40B4-BE49-F238E27FC236}">
              <a16:creationId xmlns:a16="http://schemas.microsoft.com/office/drawing/2014/main" id="{00000000-0008-0000-0300-0000A6000000}"/>
            </a:ext>
          </a:extLst>
        </xdr:cNvPr>
        <xdr:cNvSpPr txBox="1"/>
      </xdr:nvSpPr>
      <xdr:spPr>
        <a:xfrm>
          <a:off x="14458950" y="2035492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746584"/>
    <xdr:sp macro="" textlink="">
      <xdr:nvSpPr>
        <xdr:cNvPr id="167" name="TextBox 166">
          <a:extLst>
            <a:ext uri="{FF2B5EF4-FFF2-40B4-BE49-F238E27FC236}">
              <a16:creationId xmlns:a16="http://schemas.microsoft.com/office/drawing/2014/main" id="{00000000-0008-0000-0300-0000A7000000}"/>
            </a:ext>
          </a:extLst>
        </xdr:cNvPr>
        <xdr:cNvSpPr txBox="1"/>
      </xdr:nvSpPr>
      <xdr:spPr>
        <a:xfrm>
          <a:off x="14458950" y="16411575"/>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661918"/>
    <xdr:sp macro="" textlink="">
      <xdr:nvSpPr>
        <xdr:cNvPr id="168" name="TextBox 167">
          <a:extLst>
            <a:ext uri="{FF2B5EF4-FFF2-40B4-BE49-F238E27FC236}">
              <a16:creationId xmlns:a16="http://schemas.microsoft.com/office/drawing/2014/main" id="{00000000-0008-0000-0300-0000A8000000}"/>
            </a:ext>
          </a:extLst>
        </xdr:cNvPr>
        <xdr:cNvSpPr txBox="1"/>
      </xdr:nvSpPr>
      <xdr:spPr>
        <a:xfrm>
          <a:off x="14458950" y="20354925"/>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00147" cy="1661918"/>
    <xdr:sp macro="" textlink="">
      <xdr:nvSpPr>
        <xdr:cNvPr id="169" name="TextBox 168">
          <a:extLst>
            <a:ext uri="{FF2B5EF4-FFF2-40B4-BE49-F238E27FC236}">
              <a16:creationId xmlns:a16="http://schemas.microsoft.com/office/drawing/2014/main" id="{00000000-0008-0000-0300-0000A9000000}"/>
            </a:ext>
          </a:extLst>
        </xdr:cNvPr>
        <xdr:cNvSpPr txBox="1"/>
      </xdr:nvSpPr>
      <xdr:spPr>
        <a:xfrm>
          <a:off x="14458950" y="20354925"/>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592" cy="1661918"/>
    <xdr:sp macro="" textlink="">
      <xdr:nvSpPr>
        <xdr:cNvPr id="170" name="TextBox 169">
          <a:extLst>
            <a:ext uri="{FF2B5EF4-FFF2-40B4-BE49-F238E27FC236}">
              <a16:creationId xmlns:a16="http://schemas.microsoft.com/office/drawing/2014/main" id="{00000000-0008-0000-0300-0000AA000000}"/>
            </a:ext>
          </a:extLst>
        </xdr:cNvPr>
        <xdr:cNvSpPr txBox="1"/>
      </xdr:nvSpPr>
      <xdr:spPr>
        <a:xfrm>
          <a:off x="14458950" y="20354925"/>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746584"/>
    <xdr:sp macro="" textlink="">
      <xdr:nvSpPr>
        <xdr:cNvPr id="171" name="TextBox 170">
          <a:extLst>
            <a:ext uri="{FF2B5EF4-FFF2-40B4-BE49-F238E27FC236}">
              <a16:creationId xmlns:a16="http://schemas.microsoft.com/office/drawing/2014/main" id="{00000000-0008-0000-0300-0000AB000000}"/>
            </a:ext>
          </a:extLst>
        </xdr:cNvPr>
        <xdr:cNvSpPr txBox="1"/>
      </xdr:nvSpPr>
      <xdr:spPr>
        <a:xfrm>
          <a:off x="14458950" y="16411575"/>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661918"/>
    <xdr:sp macro="" textlink="">
      <xdr:nvSpPr>
        <xdr:cNvPr id="172" name="TextBox 171">
          <a:extLst>
            <a:ext uri="{FF2B5EF4-FFF2-40B4-BE49-F238E27FC236}">
              <a16:creationId xmlns:a16="http://schemas.microsoft.com/office/drawing/2014/main" id="{00000000-0008-0000-0300-0000AC000000}"/>
            </a:ext>
          </a:extLst>
        </xdr:cNvPr>
        <xdr:cNvSpPr txBox="1"/>
      </xdr:nvSpPr>
      <xdr:spPr>
        <a:xfrm>
          <a:off x="14458950" y="20354925"/>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173" name="TextBox 172">
          <a:extLst>
            <a:ext uri="{FF2B5EF4-FFF2-40B4-BE49-F238E27FC236}">
              <a16:creationId xmlns:a16="http://schemas.microsoft.com/office/drawing/2014/main" id="{00000000-0008-0000-0300-0000AD000000}"/>
            </a:ext>
          </a:extLst>
        </xdr:cNvPr>
        <xdr:cNvSpPr txBox="1"/>
      </xdr:nvSpPr>
      <xdr:spPr>
        <a:xfrm>
          <a:off x="14458950" y="2413635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174" name="TextBox 173">
          <a:extLst>
            <a:ext uri="{FF2B5EF4-FFF2-40B4-BE49-F238E27FC236}">
              <a16:creationId xmlns:a16="http://schemas.microsoft.com/office/drawing/2014/main" id="{00000000-0008-0000-0300-0000AE000000}"/>
            </a:ext>
          </a:extLst>
        </xdr:cNvPr>
        <xdr:cNvSpPr txBox="1"/>
      </xdr:nvSpPr>
      <xdr:spPr>
        <a:xfrm>
          <a:off x="14458950" y="2413635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679418"/>
    <xdr:sp macro="" textlink="">
      <xdr:nvSpPr>
        <xdr:cNvPr id="189" name="TextBox 188">
          <a:extLst>
            <a:ext uri="{FF2B5EF4-FFF2-40B4-BE49-F238E27FC236}">
              <a16:creationId xmlns:a16="http://schemas.microsoft.com/office/drawing/2014/main" id="{00000000-0008-0000-0300-0000BD000000}"/>
            </a:ext>
          </a:extLst>
        </xdr:cNvPr>
        <xdr:cNvSpPr txBox="1"/>
      </xdr:nvSpPr>
      <xdr:spPr>
        <a:xfrm>
          <a:off x="5086350" y="25765125"/>
          <a:ext cx="3560766" cy="167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747852"/>
    <xdr:sp macro="" textlink="">
      <xdr:nvSpPr>
        <xdr:cNvPr id="190" name="TextBox 189">
          <a:extLst>
            <a:ext uri="{FF2B5EF4-FFF2-40B4-BE49-F238E27FC236}">
              <a16:creationId xmlns:a16="http://schemas.microsoft.com/office/drawing/2014/main" id="{00000000-0008-0000-0300-0000BE000000}"/>
            </a:ext>
          </a:extLst>
        </xdr:cNvPr>
        <xdr:cNvSpPr txBox="1"/>
      </xdr:nvSpPr>
      <xdr:spPr>
        <a:xfrm>
          <a:off x="5086350" y="20364450"/>
          <a:ext cx="3560766" cy="1747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682488"/>
    <xdr:sp macro="" textlink="">
      <xdr:nvSpPr>
        <xdr:cNvPr id="191" name="TextBox 190">
          <a:extLst>
            <a:ext uri="{FF2B5EF4-FFF2-40B4-BE49-F238E27FC236}">
              <a16:creationId xmlns:a16="http://schemas.microsoft.com/office/drawing/2014/main" id="{00000000-0008-0000-0300-0000BF000000}"/>
            </a:ext>
          </a:extLst>
        </xdr:cNvPr>
        <xdr:cNvSpPr txBox="1"/>
      </xdr:nvSpPr>
      <xdr:spPr>
        <a:xfrm>
          <a:off x="5086350" y="25765125"/>
          <a:ext cx="3560766"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755464"/>
    <xdr:sp macro="" textlink="">
      <xdr:nvSpPr>
        <xdr:cNvPr id="192" name="TextBox 191">
          <a:extLst>
            <a:ext uri="{FF2B5EF4-FFF2-40B4-BE49-F238E27FC236}">
              <a16:creationId xmlns:a16="http://schemas.microsoft.com/office/drawing/2014/main" id="{00000000-0008-0000-0300-0000C0000000}"/>
            </a:ext>
          </a:extLst>
        </xdr:cNvPr>
        <xdr:cNvSpPr txBox="1"/>
      </xdr:nvSpPr>
      <xdr:spPr>
        <a:xfrm>
          <a:off x="9538335" y="20364450"/>
          <a:ext cx="3555927"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682488"/>
    <xdr:sp macro="" textlink="">
      <xdr:nvSpPr>
        <xdr:cNvPr id="193" name="TextBox 192">
          <a:extLst>
            <a:ext uri="{FF2B5EF4-FFF2-40B4-BE49-F238E27FC236}">
              <a16:creationId xmlns:a16="http://schemas.microsoft.com/office/drawing/2014/main" id="{00000000-0008-0000-0300-0000C1000000}"/>
            </a:ext>
          </a:extLst>
        </xdr:cNvPr>
        <xdr:cNvSpPr txBox="1"/>
      </xdr:nvSpPr>
      <xdr:spPr>
        <a:xfrm>
          <a:off x="9538335" y="25765125"/>
          <a:ext cx="3555927"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194" name="TextBox 193">
          <a:extLst>
            <a:ext uri="{FF2B5EF4-FFF2-40B4-BE49-F238E27FC236}">
              <a16:creationId xmlns:a16="http://schemas.microsoft.com/office/drawing/2014/main" id="{00000000-0008-0000-0300-0000C2000000}"/>
            </a:ext>
          </a:extLst>
        </xdr:cNvPr>
        <xdr:cNvSpPr txBox="1"/>
      </xdr:nvSpPr>
      <xdr:spPr>
        <a:xfrm>
          <a:off x="8966835" y="25765125"/>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755464"/>
    <xdr:sp macro="" textlink="">
      <xdr:nvSpPr>
        <xdr:cNvPr id="195" name="TextBox 194">
          <a:extLst>
            <a:ext uri="{FF2B5EF4-FFF2-40B4-BE49-F238E27FC236}">
              <a16:creationId xmlns:a16="http://schemas.microsoft.com/office/drawing/2014/main" id="{00000000-0008-0000-0300-0000C3000000}"/>
            </a:ext>
          </a:extLst>
        </xdr:cNvPr>
        <xdr:cNvSpPr txBox="1"/>
      </xdr:nvSpPr>
      <xdr:spPr>
        <a:xfrm>
          <a:off x="15440025" y="20364450"/>
          <a:ext cx="3556010"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196" name="TextBox 195">
          <a:extLst>
            <a:ext uri="{FF2B5EF4-FFF2-40B4-BE49-F238E27FC236}">
              <a16:creationId xmlns:a16="http://schemas.microsoft.com/office/drawing/2014/main" id="{00000000-0008-0000-0300-0000C4000000}"/>
            </a:ext>
          </a:extLst>
        </xdr:cNvPr>
        <xdr:cNvSpPr txBox="1"/>
      </xdr:nvSpPr>
      <xdr:spPr>
        <a:xfrm>
          <a:off x="15440025" y="25765125"/>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846" cy="1682488"/>
    <xdr:sp macro="" textlink="">
      <xdr:nvSpPr>
        <xdr:cNvPr id="197" name="TextBox 196">
          <a:extLst>
            <a:ext uri="{FF2B5EF4-FFF2-40B4-BE49-F238E27FC236}">
              <a16:creationId xmlns:a16="http://schemas.microsoft.com/office/drawing/2014/main" id="{00000000-0008-0000-0300-0000C5000000}"/>
            </a:ext>
          </a:extLst>
        </xdr:cNvPr>
        <xdr:cNvSpPr txBox="1"/>
      </xdr:nvSpPr>
      <xdr:spPr>
        <a:xfrm>
          <a:off x="11915775" y="25765125"/>
          <a:ext cx="3555846"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3718" cy="1682488"/>
    <xdr:sp macro="" textlink="">
      <xdr:nvSpPr>
        <xdr:cNvPr id="198" name="TextBox 197">
          <a:extLst>
            <a:ext uri="{FF2B5EF4-FFF2-40B4-BE49-F238E27FC236}">
              <a16:creationId xmlns:a16="http://schemas.microsoft.com/office/drawing/2014/main" id="{00000000-0008-0000-0300-0000C6000000}"/>
            </a:ext>
          </a:extLst>
        </xdr:cNvPr>
        <xdr:cNvSpPr txBox="1"/>
      </xdr:nvSpPr>
      <xdr:spPr>
        <a:xfrm>
          <a:off x="16868775" y="25765125"/>
          <a:ext cx="3523718"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755464"/>
    <xdr:sp macro="" textlink="">
      <xdr:nvSpPr>
        <xdr:cNvPr id="199" name="TextBox 198">
          <a:extLst>
            <a:ext uri="{FF2B5EF4-FFF2-40B4-BE49-F238E27FC236}">
              <a16:creationId xmlns:a16="http://schemas.microsoft.com/office/drawing/2014/main" id="{00000000-0008-0000-0300-0000C7000000}"/>
            </a:ext>
          </a:extLst>
        </xdr:cNvPr>
        <xdr:cNvSpPr txBox="1"/>
      </xdr:nvSpPr>
      <xdr:spPr>
        <a:xfrm>
          <a:off x="11348085" y="20364450"/>
          <a:ext cx="3556010"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200" name="TextBox 199">
          <a:extLst>
            <a:ext uri="{FF2B5EF4-FFF2-40B4-BE49-F238E27FC236}">
              <a16:creationId xmlns:a16="http://schemas.microsoft.com/office/drawing/2014/main" id="{00000000-0008-0000-0300-0000C8000000}"/>
            </a:ext>
          </a:extLst>
        </xdr:cNvPr>
        <xdr:cNvSpPr txBox="1"/>
      </xdr:nvSpPr>
      <xdr:spPr>
        <a:xfrm>
          <a:off x="11348085" y="25765125"/>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741250"/>
    <xdr:sp macro="" textlink="">
      <xdr:nvSpPr>
        <xdr:cNvPr id="201" name="TextBox 200">
          <a:extLst>
            <a:ext uri="{FF2B5EF4-FFF2-40B4-BE49-F238E27FC236}">
              <a16:creationId xmlns:a16="http://schemas.microsoft.com/office/drawing/2014/main" id="{00000000-0008-0000-0300-0000C9000000}"/>
            </a:ext>
          </a:extLst>
        </xdr:cNvPr>
        <xdr:cNvSpPr txBox="1"/>
      </xdr:nvSpPr>
      <xdr:spPr>
        <a:xfrm>
          <a:off x="9252585" y="30356175"/>
          <a:ext cx="3555927"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741250"/>
    <xdr:sp macro="" textlink="">
      <xdr:nvSpPr>
        <xdr:cNvPr id="202" name="TextBox 201">
          <a:extLst>
            <a:ext uri="{FF2B5EF4-FFF2-40B4-BE49-F238E27FC236}">
              <a16:creationId xmlns:a16="http://schemas.microsoft.com/office/drawing/2014/main" id="{00000000-0008-0000-0300-0000CA000000}"/>
            </a:ext>
          </a:extLst>
        </xdr:cNvPr>
        <xdr:cNvSpPr txBox="1"/>
      </xdr:nvSpPr>
      <xdr:spPr>
        <a:xfrm>
          <a:off x="10967085" y="30356175"/>
          <a:ext cx="3556010"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679418"/>
    <xdr:sp macro="" textlink="">
      <xdr:nvSpPr>
        <xdr:cNvPr id="188" name="TextBox 187">
          <a:extLst>
            <a:ext uri="{FF2B5EF4-FFF2-40B4-BE49-F238E27FC236}">
              <a16:creationId xmlns:a16="http://schemas.microsoft.com/office/drawing/2014/main" id="{00000000-0008-0000-0300-0000BC000000}"/>
            </a:ext>
          </a:extLst>
        </xdr:cNvPr>
        <xdr:cNvSpPr txBox="1"/>
      </xdr:nvSpPr>
      <xdr:spPr>
        <a:xfrm>
          <a:off x="5619750" y="20583525"/>
          <a:ext cx="3537719" cy="167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747852"/>
    <xdr:sp macro="" textlink="">
      <xdr:nvSpPr>
        <xdr:cNvPr id="203" name="TextBox 202">
          <a:extLst>
            <a:ext uri="{FF2B5EF4-FFF2-40B4-BE49-F238E27FC236}">
              <a16:creationId xmlns:a16="http://schemas.microsoft.com/office/drawing/2014/main" id="{00000000-0008-0000-0300-0000CB000000}"/>
            </a:ext>
          </a:extLst>
        </xdr:cNvPr>
        <xdr:cNvSpPr txBox="1"/>
      </xdr:nvSpPr>
      <xdr:spPr>
        <a:xfrm>
          <a:off x="5619750" y="16640175"/>
          <a:ext cx="3537719" cy="1747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672229"/>
    <xdr:sp macro="" textlink="">
      <xdr:nvSpPr>
        <xdr:cNvPr id="204" name="TextBox 203">
          <a:extLst>
            <a:ext uri="{FF2B5EF4-FFF2-40B4-BE49-F238E27FC236}">
              <a16:creationId xmlns:a16="http://schemas.microsoft.com/office/drawing/2014/main" id="{00000000-0008-0000-0300-0000CC000000}"/>
            </a:ext>
          </a:extLst>
        </xdr:cNvPr>
        <xdr:cNvSpPr txBox="1"/>
      </xdr:nvSpPr>
      <xdr:spPr>
        <a:xfrm>
          <a:off x="5619750" y="20583525"/>
          <a:ext cx="3537719"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205" name="TextBox 204">
          <a:extLst>
            <a:ext uri="{FF2B5EF4-FFF2-40B4-BE49-F238E27FC236}">
              <a16:creationId xmlns:a16="http://schemas.microsoft.com/office/drawing/2014/main" id="{00000000-0008-0000-0300-0000CD000000}"/>
            </a:ext>
          </a:extLst>
        </xdr:cNvPr>
        <xdr:cNvSpPr txBox="1"/>
      </xdr:nvSpPr>
      <xdr:spPr>
        <a:xfrm>
          <a:off x="6576060" y="205835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755464"/>
    <xdr:sp macro="" textlink="">
      <xdr:nvSpPr>
        <xdr:cNvPr id="206" name="TextBox 205">
          <a:extLst>
            <a:ext uri="{FF2B5EF4-FFF2-40B4-BE49-F238E27FC236}">
              <a16:creationId xmlns:a16="http://schemas.microsoft.com/office/drawing/2014/main" id="{00000000-0008-0000-0300-0000CE000000}"/>
            </a:ext>
          </a:extLst>
        </xdr:cNvPr>
        <xdr:cNvSpPr txBox="1"/>
      </xdr:nvSpPr>
      <xdr:spPr>
        <a:xfrm>
          <a:off x="9195435" y="16640175"/>
          <a:ext cx="3544382"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672229"/>
    <xdr:sp macro="" textlink="">
      <xdr:nvSpPr>
        <xdr:cNvPr id="207" name="TextBox 206">
          <a:extLst>
            <a:ext uri="{FF2B5EF4-FFF2-40B4-BE49-F238E27FC236}">
              <a16:creationId xmlns:a16="http://schemas.microsoft.com/office/drawing/2014/main" id="{00000000-0008-0000-0300-0000CF000000}"/>
            </a:ext>
          </a:extLst>
        </xdr:cNvPr>
        <xdr:cNvSpPr txBox="1"/>
      </xdr:nvSpPr>
      <xdr:spPr>
        <a:xfrm>
          <a:off x="9195435" y="20583525"/>
          <a:ext cx="3544382"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208" name="TextBox 207">
          <a:extLst>
            <a:ext uri="{FF2B5EF4-FFF2-40B4-BE49-F238E27FC236}">
              <a16:creationId xmlns:a16="http://schemas.microsoft.com/office/drawing/2014/main" id="{00000000-0008-0000-0300-0000D0000000}"/>
            </a:ext>
          </a:extLst>
        </xdr:cNvPr>
        <xdr:cNvSpPr txBox="1"/>
      </xdr:nvSpPr>
      <xdr:spPr>
        <a:xfrm>
          <a:off x="8719185" y="205835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55464"/>
    <xdr:sp macro="" textlink="">
      <xdr:nvSpPr>
        <xdr:cNvPr id="209" name="TextBox 208">
          <a:extLst>
            <a:ext uri="{FF2B5EF4-FFF2-40B4-BE49-F238E27FC236}">
              <a16:creationId xmlns:a16="http://schemas.microsoft.com/office/drawing/2014/main" id="{00000000-0008-0000-0300-0000D1000000}"/>
            </a:ext>
          </a:extLst>
        </xdr:cNvPr>
        <xdr:cNvSpPr txBox="1"/>
      </xdr:nvSpPr>
      <xdr:spPr>
        <a:xfrm>
          <a:off x="14434185" y="16640175"/>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210" name="TextBox 209">
          <a:extLst>
            <a:ext uri="{FF2B5EF4-FFF2-40B4-BE49-F238E27FC236}">
              <a16:creationId xmlns:a16="http://schemas.microsoft.com/office/drawing/2014/main" id="{00000000-0008-0000-0300-0000D2000000}"/>
            </a:ext>
          </a:extLst>
        </xdr:cNvPr>
        <xdr:cNvSpPr txBox="1"/>
      </xdr:nvSpPr>
      <xdr:spPr>
        <a:xfrm>
          <a:off x="14434185" y="205835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2831" cy="1672229"/>
    <xdr:sp macro="" textlink="">
      <xdr:nvSpPr>
        <xdr:cNvPr id="211" name="TextBox 210">
          <a:extLst>
            <a:ext uri="{FF2B5EF4-FFF2-40B4-BE49-F238E27FC236}">
              <a16:creationId xmlns:a16="http://schemas.microsoft.com/office/drawing/2014/main" id="{00000000-0008-0000-0300-0000D3000000}"/>
            </a:ext>
          </a:extLst>
        </xdr:cNvPr>
        <xdr:cNvSpPr txBox="1"/>
      </xdr:nvSpPr>
      <xdr:spPr>
        <a:xfrm>
          <a:off x="11096625" y="20583525"/>
          <a:ext cx="3532831"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55464"/>
    <xdr:sp macro="" textlink="">
      <xdr:nvSpPr>
        <xdr:cNvPr id="212" name="TextBox 211">
          <a:extLst>
            <a:ext uri="{FF2B5EF4-FFF2-40B4-BE49-F238E27FC236}">
              <a16:creationId xmlns:a16="http://schemas.microsoft.com/office/drawing/2014/main" id="{00000000-0008-0000-0300-0000D4000000}"/>
            </a:ext>
          </a:extLst>
        </xdr:cNvPr>
        <xdr:cNvSpPr txBox="1"/>
      </xdr:nvSpPr>
      <xdr:spPr>
        <a:xfrm>
          <a:off x="10624185" y="16640175"/>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213" name="TextBox 212">
          <a:extLst>
            <a:ext uri="{FF2B5EF4-FFF2-40B4-BE49-F238E27FC236}">
              <a16:creationId xmlns:a16="http://schemas.microsoft.com/office/drawing/2014/main" id="{00000000-0008-0000-0300-0000D5000000}"/>
            </a:ext>
          </a:extLst>
        </xdr:cNvPr>
        <xdr:cNvSpPr txBox="1"/>
      </xdr:nvSpPr>
      <xdr:spPr>
        <a:xfrm>
          <a:off x="10624185" y="205835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741250"/>
    <xdr:sp macro="" textlink="">
      <xdr:nvSpPr>
        <xdr:cNvPr id="214" name="TextBox 213">
          <a:extLst>
            <a:ext uri="{FF2B5EF4-FFF2-40B4-BE49-F238E27FC236}">
              <a16:creationId xmlns:a16="http://schemas.microsoft.com/office/drawing/2014/main" id="{00000000-0008-0000-0300-0000D6000000}"/>
            </a:ext>
          </a:extLst>
        </xdr:cNvPr>
        <xdr:cNvSpPr txBox="1"/>
      </xdr:nvSpPr>
      <xdr:spPr>
        <a:xfrm>
          <a:off x="8957310" y="26974800"/>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41250"/>
    <xdr:sp macro="" textlink="">
      <xdr:nvSpPr>
        <xdr:cNvPr id="215" name="TextBox 214">
          <a:extLst>
            <a:ext uri="{FF2B5EF4-FFF2-40B4-BE49-F238E27FC236}">
              <a16:creationId xmlns:a16="http://schemas.microsoft.com/office/drawing/2014/main" id="{00000000-0008-0000-0300-0000D7000000}"/>
            </a:ext>
          </a:extLst>
        </xdr:cNvPr>
        <xdr:cNvSpPr txBox="1"/>
      </xdr:nvSpPr>
      <xdr:spPr>
        <a:xfrm>
          <a:off x="14196060" y="2697480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41250"/>
    <xdr:sp macro="" textlink="">
      <xdr:nvSpPr>
        <xdr:cNvPr id="216" name="TextBox 215">
          <a:extLst>
            <a:ext uri="{FF2B5EF4-FFF2-40B4-BE49-F238E27FC236}">
              <a16:creationId xmlns:a16="http://schemas.microsoft.com/office/drawing/2014/main" id="{00000000-0008-0000-0300-0000D8000000}"/>
            </a:ext>
          </a:extLst>
        </xdr:cNvPr>
        <xdr:cNvSpPr txBox="1"/>
      </xdr:nvSpPr>
      <xdr:spPr>
        <a:xfrm>
          <a:off x="10386060" y="2697480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741250"/>
    <xdr:sp macro="" textlink="">
      <xdr:nvSpPr>
        <xdr:cNvPr id="217" name="TextBox 216">
          <a:extLst>
            <a:ext uri="{FF2B5EF4-FFF2-40B4-BE49-F238E27FC236}">
              <a16:creationId xmlns:a16="http://schemas.microsoft.com/office/drawing/2014/main" id="{00000000-0008-0000-0300-0000D9000000}"/>
            </a:ext>
          </a:extLst>
        </xdr:cNvPr>
        <xdr:cNvSpPr txBox="1"/>
      </xdr:nvSpPr>
      <xdr:spPr>
        <a:xfrm>
          <a:off x="8957310" y="24364950"/>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41250"/>
    <xdr:sp macro="" textlink="">
      <xdr:nvSpPr>
        <xdr:cNvPr id="218" name="TextBox 217">
          <a:extLst>
            <a:ext uri="{FF2B5EF4-FFF2-40B4-BE49-F238E27FC236}">
              <a16:creationId xmlns:a16="http://schemas.microsoft.com/office/drawing/2014/main" id="{00000000-0008-0000-0300-0000DA000000}"/>
            </a:ext>
          </a:extLst>
        </xdr:cNvPr>
        <xdr:cNvSpPr txBox="1"/>
      </xdr:nvSpPr>
      <xdr:spPr>
        <a:xfrm>
          <a:off x="14196060" y="2436495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41250"/>
    <xdr:sp macro="" textlink="">
      <xdr:nvSpPr>
        <xdr:cNvPr id="219" name="TextBox 218">
          <a:extLst>
            <a:ext uri="{FF2B5EF4-FFF2-40B4-BE49-F238E27FC236}">
              <a16:creationId xmlns:a16="http://schemas.microsoft.com/office/drawing/2014/main" id="{00000000-0008-0000-0300-0000DB000000}"/>
            </a:ext>
          </a:extLst>
        </xdr:cNvPr>
        <xdr:cNvSpPr txBox="1"/>
      </xdr:nvSpPr>
      <xdr:spPr>
        <a:xfrm>
          <a:off x="10386060" y="2436495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83569"/>
    <xdr:sp macro="" textlink="">
      <xdr:nvSpPr>
        <xdr:cNvPr id="220" name="TextBox 219">
          <a:extLst>
            <a:ext uri="{FF2B5EF4-FFF2-40B4-BE49-F238E27FC236}">
              <a16:creationId xmlns:a16="http://schemas.microsoft.com/office/drawing/2014/main" id="{00000000-0008-0000-0300-0000DC000000}"/>
            </a:ext>
          </a:extLst>
        </xdr:cNvPr>
        <xdr:cNvSpPr txBox="1"/>
      </xdr:nvSpPr>
      <xdr:spPr>
        <a:xfrm>
          <a:off x="20269200" y="22574250"/>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744986"/>
    <xdr:sp macro="" textlink="">
      <xdr:nvSpPr>
        <xdr:cNvPr id="221" name="TextBox 220">
          <a:extLst>
            <a:ext uri="{FF2B5EF4-FFF2-40B4-BE49-F238E27FC236}">
              <a16:creationId xmlns:a16="http://schemas.microsoft.com/office/drawing/2014/main" id="{00000000-0008-0000-0300-0000DD000000}"/>
            </a:ext>
          </a:extLst>
        </xdr:cNvPr>
        <xdr:cNvSpPr txBox="1"/>
      </xdr:nvSpPr>
      <xdr:spPr>
        <a:xfrm>
          <a:off x="20269200" y="18202275"/>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76302"/>
    <xdr:sp macro="" textlink="">
      <xdr:nvSpPr>
        <xdr:cNvPr id="222" name="TextBox 221">
          <a:extLst>
            <a:ext uri="{FF2B5EF4-FFF2-40B4-BE49-F238E27FC236}">
              <a16:creationId xmlns:a16="http://schemas.microsoft.com/office/drawing/2014/main" id="{00000000-0008-0000-0300-0000DE000000}"/>
            </a:ext>
          </a:extLst>
        </xdr:cNvPr>
        <xdr:cNvSpPr txBox="1"/>
      </xdr:nvSpPr>
      <xdr:spPr>
        <a:xfrm>
          <a:off x="20269200" y="22574250"/>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223" name="TextBox 222">
          <a:extLst>
            <a:ext uri="{FF2B5EF4-FFF2-40B4-BE49-F238E27FC236}">
              <a16:creationId xmlns:a16="http://schemas.microsoft.com/office/drawing/2014/main" id="{00000000-0008-0000-0300-0000DF00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42629"/>
    <xdr:sp macro="" textlink="">
      <xdr:nvSpPr>
        <xdr:cNvPr id="224" name="TextBox 223">
          <a:extLst>
            <a:ext uri="{FF2B5EF4-FFF2-40B4-BE49-F238E27FC236}">
              <a16:creationId xmlns:a16="http://schemas.microsoft.com/office/drawing/2014/main" id="{00000000-0008-0000-0300-0000E0000000}"/>
            </a:ext>
          </a:extLst>
        </xdr:cNvPr>
        <xdr:cNvSpPr txBox="1"/>
      </xdr:nvSpPr>
      <xdr:spPr>
        <a:xfrm>
          <a:off x="20269200" y="18202275"/>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676302"/>
    <xdr:sp macro="" textlink="">
      <xdr:nvSpPr>
        <xdr:cNvPr id="225" name="TextBox 224">
          <a:extLst>
            <a:ext uri="{FF2B5EF4-FFF2-40B4-BE49-F238E27FC236}">
              <a16:creationId xmlns:a16="http://schemas.microsoft.com/office/drawing/2014/main" id="{00000000-0008-0000-0300-0000E1000000}"/>
            </a:ext>
          </a:extLst>
        </xdr:cNvPr>
        <xdr:cNvSpPr txBox="1"/>
      </xdr:nvSpPr>
      <xdr:spPr>
        <a:xfrm>
          <a:off x="20269200" y="22574250"/>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226" name="TextBox 225">
          <a:extLst>
            <a:ext uri="{FF2B5EF4-FFF2-40B4-BE49-F238E27FC236}">
              <a16:creationId xmlns:a16="http://schemas.microsoft.com/office/drawing/2014/main" id="{00000000-0008-0000-0300-0000E200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227" name="TextBox 226">
          <a:extLst>
            <a:ext uri="{FF2B5EF4-FFF2-40B4-BE49-F238E27FC236}">
              <a16:creationId xmlns:a16="http://schemas.microsoft.com/office/drawing/2014/main" id="{00000000-0008-0000-0300-0000E3000000}"/>
            </a:ext>
          </a:extLst>
        </xdr:cNvPr>
        <xdr:cNvSpPr txBox="1"/>
      </xdr:nvSpPr>
      <xdr:spPr>
        <a:xfrm>
          <a:off x="20269200" y="182022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228" name="TextBox 227">
          <a:extLst>
            <a:ext uri="{FF2B5EF4-FFF2-40B4-BE49-F238E27FC236}">
              <a16:creationId xmlns:a16="http://schemas.microsoft.com/office/drawing/2014/main" id="{00000000-0008-0000-0300-0000E400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1363" cy="1676302"/>
    <xdr:sp macro="" textlink="">
      <xdr:nvSpPr>
        <xdr:cNvPr id="229" name="TextBox 228">
          <a:extLst>
            <a:ext uri="{FF2B5EF4-FFF2-40B4-BE49-F238E27FC236}">
              <a16:creationId xmlns:a16="http://schemas.microsoft.com/office/drawing/2014/main" id="{00000000-0008-0000-0300-0000E5000000}"/>
            </a:ext>
          </a:extLst>
        </xdr:cNvPr>
        <xdr:cNvSpPr txBox="1"/>
      </xdr:nvSpPr>
      <xdr:spPr>
        <a:xfrm>
          <a:off x="20269200" y="22574250"/>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445197" cy="1676302"/>
    <xdr:sp macro="" textlink="">
      <xdr:nvSpPr>
        <xdr:cNvPr id="230" name="TextBox 229">
          <a:extLst>
            <a:ext uri="{FF2B5EF4-FFF2-40B4-BE49-F238E27FC236}">
              <a16:creationId xmlns:a16="http://schemas.microsoft.com/office/drawing/2014/main" id="{00000000-0008-0000-0300-0000E6000000}"/>
            </a:ext>
          </a:extLst>
        </xdr:cNvPr>
        <xdr:cNvSpPr txBox="1"/>
      </xdr:nvSpPr>
      <xdr:spPr>
        <a:xfrm>
          <a:off x="20269200" y="22574250"/>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231" name="TextBox 230">
          <a:extLst>
            <a:ext uri="{FF2B5EF4-FFF2-40B4-BE49-F238E27FC236}">
              <a16:creationId xmlns:a16="http://schemas.microsoft.com/office/drawing/2014/main" id="{00000000-0008-0000-0300-0000E7000000}"/>
            </a:ext>
          </a:extLst>
        </xdr:cNvPr>
        <xdr:cNvSpPr txBox="1"/>
      </xdr:nvSpPr>
      <xdr:spPr>
        <a:xfrm>
          <a:off x="20269200" y="182022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232" name="TextBox 231">
          <a:extLst>
            <a:ext uri="{FF2B5EF4-FFF2-40B4-BE49-F238E27FC236}">
              <a16:creationId xmlns:a16="http://schemas.microsoft.com/office/drawing/2014/main" id="{00000000-0008-0000-0300-0000E800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76039"/>
    <xdr:sp macro="" textlink="">
      <xdr:nvSpPr>
        <xdr:cNvPr id="233" name="TextBox 232">
          <a:extLst>
            <a:ext uri="{FF2B5EF4-FFF2-40B4-BE49-F238E27FC236}">
              <a16:creationId xmlns:a16="http://schemas.microsoft.com/office/drawing/2014/main" id="{00000000-0008-0000-0300-0000E9000000}"/>
            </a:ext>
          </a:extLst>
        </xdr:cNvPr>
        <xdr:cNvSpPr txBox="1"/>
      </xdr:nvSpPr>
      <xdr:spPr>
        <a:xfrm>
          <a:off x="20269200" y="26412825"/>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234" name="TextBox 233">
          <a:extLst>
            <a:ext uri="{FF2B5EF4-FFF2-40B4-BE49-F238E27FC236}">
              <a16:creationId xmlns:a16="http://schemas.microsoft.com/office/drawing/2014/main" id="{00000000-0008-0000-0300-0000EA000000}"/>
            </a:ext>
          </a:extLst>
        </xdr:cNvPr>
        <xdr:cNvSpPr txBox="1"/>
      </xdr:nvSpPr>
      <xdr:spPr>
        <a:xfrm>
          <a:off x="20269200" y="26412825"/>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235" name="TextBox 234">
          <a:extLst>
            <a:ext uri="{FF2B5EF4-FFF2-40B4-BE49-F238E27FC236}">
              <a16:creationId xmlns:a16="http://schemas.microsoft.com/office/drawing/2014/main" id="{00000000-0008-0000-0300-0000EB000000}"/>
            </a:ext>
          </a:extLst>
        </xdr:cNvPr>
        <xdr:cNvSpPr txBox="1"/>
      </xdr:nvSpPr>
      <xdr:spPr>
        <a:xfrm>
          <a:off x="20269200" y="26412825"/>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620421"/>
    <xdr:sp macro="" textlink="">
      <xdr:nvSpPr>
        <xdr:cNvPr id="236" name="TextBox 235">
          <a:extLst>
            <a:ext uri="{FF2B5EF4-FFF2-40B4-BE49-F238E27FC236}">
              <a16:creationId xmlns:a16="http://schemas.microsoft.com/office/drawing/2014/main" id="{00000000-0008-0000-0300-0000EC000000}"/>
            </a:ext>
          </a:extLst>
        </xdr:cNvPr>
        <xdr:cNvSpPr txBox="1"/>
      </xdr:nvSpPr>
      <xdr:spPr>
        <a:xfrm>
          <a:off x="20269200" y="22574250"/>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842257"/>
    <xdr:sp macro="" textlink="">
      <xdr:nvSpPr>
        <xdr:cNvPr id="237" name="TextBox 236">
          <a:extLst>
            <a:ext uri="{FF2B5EF4-FFF2-40B4-BE49-F238E27FC236}">
              <a16:creationId xmlns:a16="http://schemas.microsoft.com/office/drawing/2014/main" id="{00000000-0008-0000-0300-0000ED000000}"/>
            </a:ext>
          </a:extLst>
        </xdr:cNvPr>
        <xdr:cNvSpPr txBox="1"/>
      </xdr:nvSpPr>
      <xdr:spPr>
        <a:xfrm>
          <a:off x="20269200" y="18202275"/>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587258"/>
    <xdr:sp macro="" textlink="">
      <xdr:nvSpPr>
        <xdr:cNvPr id="238" name="TextBox 237">
          <a:extLst>
            <a:ext uri="{FF2B5EF4-FFF2-40B4-BE49-F238E27FC236}">
              <a16:creationId xmlns:a16="http://schemas.microsoft.com/office/drawing/2014/main" id="{00000000-0008-0000-0300-0000EE000000}"/>
            </a:ext>
          </a:extLst>
        </xdr:cNvPr>
        <xdr:cNvSpPr txBox="1"/>
      </xdr:nvSpPr>
      <xdr:spPr>
        <a:xfrm>
          <a:off x="20269200" y="22574250"/>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932" cy="1587258"/>
    <xdr:sp macro="" textlink="">
      <xdr:nvSpPr>
        <xdr:cNvPr id="239" name="TextBox 238">
          <a:extLst>
            <a:ext uri="{FF2B5EF4-FFF2-40B4-BE49-F238E27FC236}">
              <a16:creationId xmlns:a16="http://schemas.microsoft.com/office/drawing/2014/main" id="{00000000-0008-0000-0300-0000EF000000}"/>
            </a:ext>
          </a:extLst>
        </xdr:cNvPr>
        <xdr:cNvSpPr txBox="1"/>
      </xdr:nvSpPr>
      <xdr:spPr>
        <a:xfrm>
          <a:off x="20269200" y="22574250"/>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240" name="TextBox 239">
          <a:extLst>
            <a:ext uri="{FF2B5EF4-FFF2-40B4-BE49-F238E27FC236}">
              <a16:creationId xmlns:a16="http://schemas.microsoft.com/office/drawing/2014/main" id="{00000000-0008-0000-0300-0000F0000000}"/>
            </a:ext>
          </a:extLst>
        </xdr:cNvPr>
        <xdr:cNvSpPr txBox="1"/>
      </xdr:nvSpPr>
      <xdr:spPr>
        <a:xfrm>
          <a:off x="20269200" y="182022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241" name="TextBox 240">
          <a:extLst>
            <a:ext uri="{FF2B5EF4-FFF2-40B4-BE49-F238E27FC236}">
              <a16:creationId xmlns:a16="http://schemas.microsoft.com/office/drawing/2014/main" id="{00000000-0008-0000-0300-0000F1000000}"/>
            </a:ext>
          </a:extLst>
        </xdr:cNvPr>
        <xdr:cNvSpPr txBox="1"/>
      </xdr:nvSpPr>
      <xdr:spPr>
        <a:xfrm>
          <a:off x="20269200" y="2257425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593" cy="1587258"/>
    <xdr:sp macro="" textlink="">
      <xdr:nvSpPr>
        <xdr:cNvPr id="242" name="TextBox 241">
          <a:extLst>
            <a:ext uri="{FF2B5EF4-FFF2-40B4-BE49-F238E27FC236}">
              <a16:creationId xmlns:a16="http://schemas.microsoft.com/office/drawing/2014/main" id="{00000000-0008-0000-0300-0000F2000000}"/>
            </a:ext>
          </a:extLst>
        </xdr:cNvPr>
        <xdr:cNvSpPr txBox="1"/>
      </xdr:nvSpPr>
      <xdr:spPr>
        <a:xfrm>
          <a:off x="20269200" y="22574250"/>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8203" cy="1587258"/>
    <xdr:sp macro="" textlink="">
      <xdr:nvSpPr>
        <xdr:cNvPr id="243" name="TextBox 242">
          <a:extLst>
            <a:ext uri="{FF2B5EF4-FFF2-40B4-BE49-F238E27FC236}">
              <a16:creationId xmlns:a16="http://schemas.microsoft.com/office/drawing/2014/main" id="{00000000-0008-0000-0300-0000F3000000}"/>
            </a:ext>
          </a:extLst>
        </xdr:cNvPr>
        <xdr:cNvSpPr txBox="1"/>
      </xdr:nvSpPr>
      <xdr:spPr>
        <a:xfrm>
          <a:off x="20269200" y="22574250"/>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244" name="TextBox 243">
          <a:extLst>
            <a:ext uri="{FF2B5EF4-FFF2-40B4-BE49-F238E27FC236}">
              <a16:creationId xmlns:a16="http://schemas.microsoft.com/office/drawing/2014/main" id="{00000000-0008-0000-0300-0000F4000000}"/>
            </a:ext>
          </a:extLst>
        </xdr:cNvPr>
        <xdr:cNvSpPr txBox="1"/>
      </xdr:nvSpPr>
      <xdr:spPr>
        <a:xfrm>
          <a:off x="20269200" y="182022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245" name="TextBox 244">
          <a:extLst>
            <a:ext uri="{FF2B5EF4-FFF2-40B4-BE49-F238E27FC236}">
              <a16:creationId xmlns:a16="http://schemas.microsoft.com/office/drawing/2014/main" id="{00000000-0008-0000-0300-0000F5000000}"/>
            </a:ext>
          </a:extLst>
        </xdr:cNvPr>
        <xdr:cNvSpPr txBox="1"/>
      </xdr:nvSpPr>
      <xdr:spPr>
        <a:xfrm>
          <a:off x="20269200" y="2257425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246" name="TextBox 245">
          <a:extLst>
            <a:ext uri="{FF2B5EF4-FFF2-40B4-BE49-F238E27FC236}">
              <a16:creationId xmlns:a16="http://schemas.microsoft.com/office/drawing/2014/main" id="{00000000-0008-0000-0300-0000F6000000}"/>
            </a:ext>
          </a:extLst>
        </xdr:cNvPr>
        <xdr:cNvSpPr txBox="1"/>
      </xdr:nvSpPr>
      <xdr:spPr>
        <a:xfrm>
          <a:off x="20269200" y="2641282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247" name="TextBox 246">
          <a:extLst>
            <a:ext uri="{FF2B5EF4-FFF2-40B4-BE49-F238E27FC236}">
              <a16:creationId xmlns:a16="http://schemas.microsoft.com/office/drawing/2014/main" id="{00000000-0008-0000-0300-0000F7000000}"/>
            </a:ext>
          </a:extLst>
        </xdr:cNvPr>
        <xdr:cNvSpPr txBox="1"/>
      </xdr:nvSpPr>
      <xdr:spPr>
        <a:xfrm>
          <a:off x="20269200" y="2641282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222"/>
    <xdr:sp macro="" textlink="">
      <xdr:nvSpPr>
        <xdr:cNvPr id="248" name="TextBox 247">
          <a:extLst>
            <a:ext uri="{FF2B5EF4-FFF2-40B4-BE49-F238E27FC236}">
              <a16:creationId xmlns:a16="http://schemas.microsoft.com/office/drawing/2014/main" id="{00000000-0008-0000-0300-0000F8000000}"/>
            </a:ext>
          </a:extLst>
        </xdr:cNvPr>
        <xdr:cNvSpPr txBox="1"/>
      </xdr:nvSpPr>
      <xdr:spPr>
        <a:xfrm>
          <a:off x="20269200" y="22574250"/>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748771"/>
    <xdr:sp macro="" textlink="">
      <xdr:nvSpPr>
        <xdr:cNvPr id="249" name="TextBox 248">
          <a:extLst>
            <a:ext uri="{FF2B5EF4-FFF2-40B4-BE49-F238E27FC236}">
              <a16:creationId xmlns:a16="http://schemas.microsoft.com/office/drawing/2014/main" id="{00000000-0008-0000-0300-0000F9000000}"/>
            </a:ext>
          </a:extLst>
        </xdr:cNvPr>
        <xdr:cNvSpPr txBox="1"/>
      </xdr:nvSpPr>
      <xdr:spPr>
        <a:xfrm>
          <a:off x="20269200" y="18202275"/>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119"/>
    <xdr:sp macro="" textlink="">
      <xdr:nvSpPr>
        <xdr:cNvPr id="250" name="TextBox 249">
          <a:extLst>
            <a:ext uri="{FF2B5EF4-FFF2-40B4-BE49-F238E27FC236}">
              <a16:creationId xmlns:a16="http://schemas.microsoft.com/office/drawing/2014/main" id="{00000000-0008-0000-0300-0000FA000000}"/>
            </a:ext>
          </a:extLst>
        </xdr:cNvPr>
        <xdr:cNvSpPr txBox="1"/>
      </xdr:nvSpPr>
      <xdr:spPr>
        <a:xfrm>
          <a:off x="20269200" y="22574250"/>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114" cy="1662119"/>
    <xdr:sp macro="" textlink="">
      <xdr:nvSpPr>
        <xdr:cNvPr id="251" name="TextBox 250">
          <a:extLst>
            <a:ext uri="{FF2B5EF4-FFF2-40B4-BE49-F238E27FC236}">
              <a16:creationId xmlns:a16="http://schemas.microsoft.com/office/drawing/2014/main" id="{00000000-0008-0000-0300-0000FB000000}"/>
            </a:ext>
          </a:extLst>
        </xdr:cNvPr>
        <xdr:cNvSpPr txBox="1"/>
      </xdr:nvSpPr>
      <xdr:spPr>
        <a:xfrm>
          <a:off x="20269200" y="22574250"/>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731221"/>
    <xdr:sp macro="" textlink="">
      <xdr:nvSpPr>
        <xdr:cNvPr id="252" name="TextBox 251">
          <a:extLst>
            <a:ext uri="{FF2B5EF4-FFF2-40B4-BE49-F238E27FC236}">
              <a16:creationId xmlns:a16="http://schemas.microsoft.com/office/drawing/2014/main" id="{00000000-0008-0000-0300-0000FC000000}"/>
            </a:ext>
          </a:extLst>
        </xdr:cNvPr>
        <xdr:cNvSpPr txBox="1"/>
      </xdr:nvSpPr>
      <xdr:spPr>
        <a:xfrm>
          <a:off x="20269200" y="18202275"/>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662119"/>
    <xdr:sp macro="" textlink="">
      <xdr:nvSpPr>
        <xdr:cNvPr id="253" name="TextBox 252">
          <a:extLst>
            <a:ext uri="{FF2B5EF4-FFF2-40B4-BE49-F238E27FC236}">
              <a16:creationId xmlns:a16="http://schemas.microsoft.com/office/drawing/2014/main" id="{00000000-0008-0000-0300-0000FD000000}"/>
            </a:ext>
          </a:extLst>
        </xdr:cNvPr>
        <xdr:cNvSpPr txBox="1"/>
      </xdr:nvSpPr>
      <xdr:spPr>
        <a:xfrm>
          <a:off x="20269200" y="22574250"/>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254" name="TextBox 253">
          <a:extLst>
            <a:ext uri="{FF2B5EF4-FFF2-40B4-BE49-F238E27FC236}">
              <a16:creationId xmlns:a16="http://schemas.microsoft.com/office/drawing/2014/main" id="{00000000-0008-0000-0300-0000FE000000}"/>
            </a:ext>
          </a:extLst>
        </xdr:cNvPr>
        <xdr:cNvSpPr txBox="1"/>
      </xdr:nvSpPr>
      <xdr:spPr>
        <a:xfrm>
          <a:off x="20269200" y="2257425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731221"/>
    <xdr:sp macro="" textlink="">
      <xdr:nvSpPr>
        <xdr:cNvPr id="255" name="TextBox 254">
          <a:extLst>
            <a:ext uri="{FF2B5EF4-FFF2-40B4-BE49-F238E27FC236}">
              <a16:creationId xmlns:a16="http://schemas.microsoft.com/office/drawing/2014/main" id="{00000000-0008-0000-0300-0000FF000000}"/>
            </a:ext>
          </a:extLst>
        </xdr:cNvPr>
        <xdr:cNvSpPr txBox="1"/>
      </xdr:nvSpPr>
      <xdr:spPr>
        <a:xfrm>
          <a:off x="20269200" y="18202275"/>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256" name="TextBox 255">
          <a:extLst>
            <a:ext uri="{FF2B5EF4-FFF2-40B4-BE49-F238E27FC236}">
              <a16:creationId xmlns:a16="http://schemas.microsoft.com/office/drawing/2014/main" id="{00000000-0008-0000-0300-000000010000}"/>
            </a:ext>
          </a:extLst>
        </xdr:cNvPr>
        <xdr:cNvSpPr txBox="1"/>
      </xdr:nvSpPr>
      <xdr:spPr>
        <a:xfrm>
          <a:off x="20269200" y="2257425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4833" cy="1662119"/>
    <xdr:sp macro="" textlink="">
      <xdr:nvSpPr>
        <xdr:cNvPr id="257" name="TextBox 256">
          <a:extLst>
            <a:ext uri="{FF2B5EF4-FFF2-40B4-BE49-F238E27FC236}">
              <a16:creationId xmlns:a16="http://schemas.microsoft.com/office/drawing/2014/main" id="{00000000-0008-0000-0300-000001010000}"/>
            </a:ext>
          </a:extLst>
        </xdr:cNvPr>
        <xdr:cNvSpPr txBox="1"/>
      </xdr:nvSpPr>
      <xdr:spPr>
        <a:xfrm>
          <a:off x="20269200" y="22574250"/>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731221"/>
    <xdr:sp macro="" textlink="">
      <xdr:nvSpPr>
        <xdr:cNvPr id="258" name="TextBox 257">
          <a:extLst>
            <a:ext uri="{FF2B5EF4-FFF2-40B4-BE49-F238E27FC236}">
              <a16:creationId xmlns:a16="http://schemas.microsoft.com/office/drawing/2014/main" id="{00000000-0008-0000-0300-000002010000}"/>
            </a:ext>
          </a:extLst>
        </xdr:cNvPr>
        <xdr:cNvSpPr txBox="1"/>
      </xdr:nvSpPr>
      <xdr:spPr>
        <a:xfrm>
          <a:off x="20269200" y="18202275"/>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119"/>
    <xdr:sp macro="" textlink="">
      <xdr:nvSpPr>
        <xdr:cNvPr id="259" name="TextBox 258">
          <a:extLst>
            <a:ext uri="{FF2B5EF4-FFF2-40B4-BE49-F238E27FC236}">
              <a16:creationId xmlns:a16="http://schemas.microsoft.com/office/drawing/2014/main" id="{00000000-0008-0000-0300-000003010000}"/>
            </a:ext>
          </a:extLst>
        </xdr:cNvPr>
        <xdr:cNvSpPr txBox="1"/>
      </xdr:nvSpPr>
      <xdr:spPr>
        <a:xfrm>
          <a:off x="20269200" y="22574250"/>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877" cy="1662343"/>
    <xdr:sp macro="" textlink="">
      <xdr:nvSpPr>
        <xdr:cNvPr id="260" name="TextBox 259">
          <a:extLst>
            <a:ext uri="{FF2B5EF4-FFF2-40B4-BE49-F238E27FC236}">
              <a16:creationId xmlns:a16="http://schemas.microsoft.com/office/drawing/2014/main" id="{00000000-0008-0000-0300-000004010000}"/>
            </a:ext>
          </a:extLst>
        </xdr:cNvPr>
        <xdr:cNvSpPr txBox="1"/>
      </xdr:nvSpPr>
      <xdr:spPr>
        <a:xfrm>
          <a:off x="20269200" y="26412825"/>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343"/>
    <xdr:sp macro="" textlink="">
      <xdr:nvSpPr>
        <xdr:cNvPr id="261" name="TextBox 260">
          <a:extLst>
            <a:ext uri="{FF2B5EF4-FFF2-40B4-BE49-F238E27FC236}">
              <a16:creationId xmlns:a16="http://schemas.microsoft.com/office/drawing/2014/main" id="{00000000-0008-0000-0300-000005010000}"/>
            </a:ext>
          </a:extLst>
        </xdr:cNvPr>
        <xdr:cNvSpPr txBox="1"/>
      </xdr:nvSpPr>
      <xdr:spPr>
        <a:xfrm>
          <a:off x="20269200" y="26412825"/>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343"/>
    <xdr:sp macro="" textlink="">
      <xdr:nvSpPr>
        <xdr:cNvPr id="262" name="TextBox 261">
          <a:extLst>
            <a:ext uri="{FF2B5EF4-FFF2-40B4-BE49-F238E27FC236}">
              <a16:creationId xmlns:a16="http://schemas.microsoft.com/office/drawing/2014/main" id="{00000000-0008-0000-0300-000006010000}"/>
            </a:ext>
          </a:extLst>
        </xdr:cNvPr>
        <xdr:cNvSpPr txBox="1"/>
      </xdr:nvSpPr>
      <xdr:spPr>
        <a:xfrm>
          <a:off x="20269200" y="26412825"/>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934"/>
    <xdr:sp macro="" textlink="">
      <xdr:nvSpPr>
        <xdr:cNvPr id="263" name="TextBox 262">
          <a:extLst>
            <a:ext uri="{FF2B5EF4-FFF2-40B4-BE49-F238E27FC236}">
              <a16:creationId xmlns:a16="http://schemas.microsoft.com/office/drawing/2014/main" id="{00000000-0008-0000-0300-000007010000}"/>
            </a:ext>
          </a:extLst>
        </xdr:cNvPr>
        <xdr:cNvSpPr txBox="1"/>
      </xdr:nvSpPr>
      <xdr:spPr>
        <a:xfrm>
          <a:off x="20269200" y="22574250"/>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742770"/>
    <xdr:sp macro="" textlink="">
      <xdr:nvSpPr>
        <xdr:cNvPr id="264" name="TextBox 263">
          <a:extLst>
            <a:ext uri="{FF2B5EF4-FFF2-40B4-BE49-F238E27FC236}">
              <a16:creationId xmlns:a16="http://schemas.microsoft.com/office/drawing/2014/main" id="{00000000-0008-0000-0300-000008010000}"/>
            </a:ext>
          </a:extLst>
        </xdr:cNvPr>
        <xdr:cNvSpPr txBox="1"/>
      </xdr:nvSpPr>
      <xdr:spPr>
        <a:xfrm>
          <a:off x="20269200" y="18202275"/>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831"/>
    <xdr:sp macro="" textlink="">
      <xdr:nvSpPr>
        <xdr:cNvPr id="265" name="TextBox 264">
          <a:extLst>
            <a:ext uri="{FF2B5EF4-FFF2-40B4-BE49-F238E27FC236}">
              <a16:creationId xmlns:a16="http://schemas.microsoft.com/office/drawing/2014/main" id="{00000000-0008-0000-0300-000009010000}"/>
            </a:ext>
          </a:extLst>
        </xdr:cNvPr>
        <xdr:cNvSpPr txBox="1"/>
      </xdr:nvSpPr>
      <xdr:spPr>
        <a:xfrm>
          <a:off x="20269200" y="22574250"/>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5023"/>
    <xdr:sp macro="" textlink="">
      <xdr:nvSpPr>
        <xdr:cNvPr id="266" name="TextBox 265">
          <a:extLst>
            <a:ext uri="{FF2B5EF4-FFF2-40B4-BE49-F238E27FC236}">
              <a16:creationId xmlns:a16="http://schemas.microsoft.com/office/drawing/2014/main" id="{00000000-0008-0000-0300-00000A010000}"/>
            </a:ext>
          </a:extLst>
        </xdr:cNvPr>
        <xdr:cNvSpPr txBox="1"/>
      </xdr:nvSpPr>
      <xdr:spPr>
        <a:xfrm>
          <a:off x="20269200" y="22574250"/>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717993"/>
    <xdr:sp macro="" textlink="">
      <xdr:nvSpPr>
        <xdr:cNvPr id="267" name="TextBox 266">
          <a:extLst>
            <a:ext uri="{FF2B5EF4-FFF2-40B4-BE49-F238E27FC236}">
              <a16:creationId xmlns:a16="http://schemas.microsoft.com/office/drawing/2014/main" id="{00000000-0008-0000-0300-00000B010000}"/>
            </a:ext>
          </a:extLst>
        </xdr:cNvPr>
        <xdr:cNvSpPr txBox="1"/>
      </xdr:nvSpPr>
      <xdr:spPr>
        <a:xfrm>
          <a:off x="20269200" y="18202275"/>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4935"/>
    <xdr:sp macro="" textlink="">
      <xdr:nvSpPr>
        <xdr:cNvPr id="268" name="TextBox 267">
          <a:extLst>
            <a:ext uri="{FF2B5EF4-FFF2-40B4-BE49-F238E27FC236}">
              <a16:creationId xmlns:a16="http://schemas.microsoft.com/office/drawing/2014/main" id="{00000000-0008-0000-0300-00000C010000}"/>
            </a:ext>
          </a:extLst>
        </xdr:cNvPr>
        <xdr:cNvSpPr txBox="1"/>
      </xdr:nvSpPr>
      <xdr:spPr>
        <a:xfrm>
          <a:off x="20269200" y="22574250"/>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4773" cy="1434935"/>
    <xdr:sp macro="" textlink="">
      <xdr:nvSpPr>
        <xdr:cNvPr id="269" name="TextBox 268">
          <a:extLst>
            <a:ext uri="{FF2B5EF4-FFF2-40B4-BE49-F238E27FC236}">
              <a16:creationId xmlns:a16="http://schemas.microsoft.com/office/drawing/2014/main" id="{00000000-0008-0000-0300-00000D010000}"/>
            </a:ext>
          </a:extLst>
        </xdr:cNvPr>
        <xdr:cNvSpPr txBox="1"/>
      </xdr:nvSpPr>
      <xdr:spPr>
        <a:xfrm>
          <a:off x="20269200" y="22574250"/>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270" name="TextBox 269">
          <a:extLst>
            <a:ext uri="{FF2B5EF4-FFF2-40B4-BE49-F238E27FC236}">
              <a16:creationId xmlns:a16="http://schemas.microsoft.com/office/drawing/2014/main" id="{00000000-0008-0000-0300-00000E010000}"/>
            </a:ext>
          </a:extLst>
        </xdr:cNvPr>
        <xdr:cNvSpPr txBox="1"/>
      </xdr:nvSpPr>
      <xdr:spPr>
        <a:xfrm>
          <a:off x="20269200" y="2257425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271" name="TextBox 270">
          <a:extLst>
            <a:ext uri="{FF2B5EF4-FFF2-40B4-BE49-F238E27FC236}">
              <a16:creationId xmlns:a16="http://schemas.microsoft.com/office/drawing/2014/main" id="{00000000-0008-0000-0300-00000F010000}"/>
            </a:ext>
          </a:extLst>
        </xdr:cNvPr>
        <xdr:cNvSpPr txBox="1"/>
      </xdr:nvSpPr>
      <xdr:spPr>
        <a:xfrm>
          <a:off x="20269200" y="182022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272" name="TextBox 271">
          <a:extLst>
            <a:ext uri="{FF2B5EF4-FFF2-40B4-BE49-F238E27FC236}">
              <a16:creationId xmlns:a16="http://schemas.microsoft.com/office/drawing/2014/main" id="{00000000-0008-0000-0300-000010010000}"/>
            </a:ext>
          </a:extLst>
        </xdr:cNvPr>
        <xdr:cNvSpPr txBox="1"/>
      </xdr:nvSpPr>
      <xdr:spPr>
        <a:xfrm>
          <a:off x="20269200" y="2257425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273" name="TextBox 272">
          <a:extLst>
            <a:ext uri="{FF2B5EF4-FFF2-40B4-BE49-F238E27FC236}">
              <a16:creationId xmlns:a16="http://schemas.microsoft.com/office/drawing/2014/main" id="{00000000-0008-0000-0300-000011010000}"/>
            </a:ext>
          </a:extLst>
        </xdr:cNvPr>
        <xdr:cNvSpPr txBox="1"/>
      </xdr:nvSpPr>
      <xdr:spPr>
        <a:xfrm>
          <a:off x="20269200" y="2257425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274" name="TextBox 273">
          <a:extLst>
            <a:ext uri="{FF2B5EF4-FFF2-40B4-BE49-F238E27FC236}">
              <a16:creationId xmlns:a16="http://schemas.microsoft.com/office/drawing/2014/main" id="{00000000-0008-0000-0300-000012010000}"/>
            </a:ext>
          </a:extLst>
        </xdr:cNvPr>
        <xdr:cNvSpPr txBox="1"/>
      </xdr:nvSpPr>
      <xdr:spPr>
        <a:xfrm>
          <a:off x="20269200" y="182022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275" name="TextBox 274">
          <a:extLst>
            <a:ext uri="{FF2B5EF4-FFF2-40B4-BE49-F238E27FC236}">
              <a16:creationId xmlns:a16="http://schemas.microsoft.com/office/drawing/2014/main" id="{00000000-0008-0000-0300-000013010000}"/>
            </a:ext>
          </a:extLst>
        </xdr:cNvPr>
        <xdr:cNvSpPr txBox="1"/>
      </xdr:nvSpPr>
      <xdr:spPr>
        <a:xfrm>
          <a:off x="20269200" y="2257425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276" name="TextBox 275">
          <a:extLst>
            <a:ext uri="{FF2B5EF4-FFF2-40B4-BE49-F238E27FC236}">
              <a16:creationId xmlns:a16="http://schemas.microsoft.com/office/drawing/2014/main" id="{00000000-0008-0000-0300-000014010000}"/>
            </a:ext>
          </a:extLst>
        </xdr:cNvPr>
        <xdr:cNvSpPr txBox="1"/>
      </xdr:nvSpPr>
      <xdr:spPr>
        <a:xfrm>
          <a:off x="20269200" y="2257425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277" name="TextBox 276">
          <a:extLst>
            <a:ext uri="{FF2B5EF4-FFF2-40B4-BE49-F238E27FC236}">
              <a16:creationId xmlns:a16="http://schemas.microsoft.com/office/drawing/2014/main" id="{00000000-0008-0000-0300-000015010000}"/>
            </a:ext>
          </a:extLst>
        </xdr:cNvPr>
        <xdr:cNvSpPr txBox="1"/>
      </xdr:nvSpPr>
      <xdr:spPr>
        <a:xfrm>
          <a:off x="20269200" y="2257425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746347"/>
    <xdr:sp macro="" textlink="">
      <xdr:nvSpPr>
        <xdr:cNvPr id="278" name="TextBox 277">
          <a:extLst>
            <a:ext uri="{FF2B5EF4-FFF2-40B4-BE49-F238E27FC236}">
              <a16:creationId xmlns:a16="http://schemas.microsoft.com/office/drawing/2014/main" id="{00000000-0008-0000-0300-000016010000}"/>
            </a:ext>
          </a:extLst>
        </xdr:cNvPr>
        <xdr:cNvSpPr txBox="1"/>
      </xdr:nvSpPr>
      <xdr:spPr>
        <a:xfrm>
          <a:off x="20269200" y="18202275"/>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661857"/>
    <xdr:sp macro="" textlink="">
      <xdr:nvSpPr>
        <xdr:cNvPr id="279" name="TextBox 278">
          <a:extLst>
            <a:ext uri="{FF2B5EF4-FFF2-40B4-BE49-F238E27FC236}">
              <a16:creationId xmlns:a16="http://schemas.microsoft.com/office/drawing/2014/main" id="{00000000-0008-0000-0300-000017010000}"/>
            </a:ext>
          </a:extLst>
        </xdr:cNvPr>
        <xdr:cNvSpPr txBox="1"/>
      </xdr:nvSpPr>
      <xdr:spPr>
        <a:xfrm>
          <a:off x="20269200" y="22574250"/>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178" cy="1661857"/>
    <xdr:sp macro="" textlink="">
      <xdr:nvSpPr>
        <xdr:cNvPr id="280" name="TextBox 279">
          <a:extLst>
            <a:ext uri="{FF2B5EF4-FFF2-40B4-BE49-F238E27FC236}">
              <a16:creationId xmlns:a16="http://schemas.microsoft.com/office/drawing/2014/main" id="{00000000-0008-0000-0300-000018010000}"/>
            </a:ext>
          </a:extLst>
        </xdr:cNvPr>
        <xdr:cNvSpPr txBox="1"/>
      </xdr:nvSpPr>
      <xdr:spPr>
        <a:xfrm>
          <a:off x="20269200" y="22574250"/>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9642" cy="1678802"/>
    <xdr:sp macro="" textlink="">
      <xdr:nvSpPr>
        <xdr:cNvPr id="281" name="TextBox 280">
          <a:extLst>
            <a:ext uri="{FF2B5EF4-FFF2-40B4-BE49-F238E27FC236}">
              <a16:creationId xmlns:a16="http://schemas.microsoft.com/office/drawing/2014/main" id="{00000000-0008-0000-0300-000019010000}"/>
            </a:ext>
          </a:extLst>
        </xdr:cNvPr>
        <xdr:cNvSpPr txBox="1"/>
      </xdr:nvSpPr>
      <xdr:spPr>
        <a:xfrm>
          <a:off x="20269200" y="26412825"/>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419"/>
    <xdr:sp macro="" textlink="">
      <xdr:nvSpPr>
        <xdr:cNvPr id="282" name="TextBox 281">
          <a:extLst>
            <a:ext uri="{FF2B5EF4-FFF2-40B4-BE49-F238E27FC236}">
              <a16:creationId xmlns:a16="http://schemas.microsoft.com/office/drawing/2014/main" id="{00000000-0008-0000-0300-00001A010000}"/>
            </a:ext>
          </a:extLst>
        </xdr:cNvPr>
        <xdr:cNvSpPr txBox="1"/>
      </xdr:nvSpPr>
      <xdr:spPr>
        <a:xfrm>
          <a:off x="20269200" y="22574250"/>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759058"/>
    <xdr:sp macro="" textlink="">
      <xdr:nvSpPr>
        <xdr:cNvPr id="283" name="TextBox 282">
          <a:extLst>
            <a:ext uri="{FF2B5EF4-FFF2-40B4-BE49-F238E27FC236}">
              <a16:creationId xmlns:a16="http://schemas.microsoft.com/office/drawing/2014/main" id="{00000000-0008-0000-0300-00001B010000}"/>
            </a:ext>
          </a:extLst>
        </xdr:cNvPr>
        <xdr:cNvSpPr txBox="1"/>
      </xdr:nvSpPr>
      <xdr:spPr>
        <a:xfrm>
          <a:off x="20269200" y="18202275"/>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316"/>
    <xdr:sp macro="" textlink="">
      <xdr:nvSpPr>
        <xdr:cNvPr id="284" name="TextBox 283">
          <a:extLst>
            <a:ext uri="{FF2B5EF4-FFF2-40B4-BE49-F238E27FC236}">
              <a16:creationId xmlns:a16="http://schemas.microsoft.com/office/drawing/2014/main" id="{00000000-0008-0000-0300-00001C010000}"/>
            </a:ext>
          </a:extLst>
        </xdr:cNvPr>
        <xdr:cNvSpPr txBox="1"/>
      </xdr:nvSpPr>
      <xdr:spPr>
        <a:xfrm>
          <a:off x="20269200" y="22574250"/>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21" cy="1650316"/>
    <xdr:sp macro="" textlink="">
      <xdr:nvSpPr>
        <xdr:cNvPr id="285" name="TextBox 284">
          <a:extLst>
            <a:ext uri="{FF2B5EF4-FFF2-40B4-BE49-F238E27FC236}">
              <a16:creationId xmlns:a16="http://schemas.microsoft.com/office/drawing/2014/main" id="{00000000-0008-0000-0300-00001D010000}"/>
            </a:ext>
          </a:extLst>
        </xdr:cNvPr>
        <xdr:cNvSpPr txBox="1"/>
      </xdr:nvSpPr>
      <xdr:spPr>
        <a:xfrm>
          <a:off x="20269200" y="22574250"/>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286" name="TextBox 285">
          <a:extLst>
            <a:ext uri="{FF2B5EF4-FFF2-40B4-BE49-F238E27FC236}">
              <a16:creationId xmlns:a16="http://schemas.microsoft.com/office/drawing/2014/main" id="{00000000-0008-0000-0300-00001E010000}"/>
            </a:ext>
          </a:extLst>
        </xdr:cNvPr>
        <xdr:cNvSpPr txBox="1"/>
      </xdr:nvSpPr>
      <xdr:spPr>
        <a:xfrm>
          <a:off x="20269200" y="2257425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287" name="TextBox 286">
          <a:extLst>
            <a:ext uri="{FF2B5EF4-FFF2-40B4-BE49-F238E27FC236}">
              <a16:creationId xmlns:a16="http://schemas.microsoft.com/office/drawing/2014/main" id="{00000000-0008-0000-0300-00001F010000}"/>
            </a:ext>
          </a:extLst>
        </xdr:cNvPr>
        <xdr:cNvSpPr txBox="1"/>
      </xdr:nvSpPr>
      <xdr:spPr>
        <a:xfrm>
          <a:off x="20269200" y="2641282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288" name="TextBox 287">
          <a:extLst>
            <a:ext uri="{FF2B5EF4-FFF2-40B4-BE49-F238E27FC236}">
              <a16:creationId xmlns:a16="http://schemas.microsoft.com/office/drawing/2014/main" id="{00000000-0008-0000-0300-000020010000}"/>
            </a:ext>
          </a:extLst>
        </xdr:cNvPr>
        <xdr:cNvSpPr txBox="1"/>
      </xdr:nvSpPr>
      <xdr:spPr>
        <a:xfrm>
          <a:off x="20269200" y="2641282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2021"/>
    <xdr:sp macro="" textlink="">
      <xdr:nvSpPr>
        <xdr:cNvPr id="289" name="TextBox 288">
          <a:extLst>
            <a:ext uri="{FF2B5EF4-FFF2-40B4-BE49-F238E27FC236}">
              <a16:creationId xmlns:a16="http://schemas.microsoft.com/office/drawing/2014/main" id="{00000000-0008-0000-0300-000021010000}"/>
            </a:ext>
          </a:extLst>
        </xdr:cNvPr>
        <xdr:cNvSpPr txBox="1"/>
      </xdr:nvSpPr>
      <xdr:spPr>
        <a:xfrm>
          <a:off x="20269200" y="22574250"/>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748948"/>
    <xdr:sp macro="" textlink="">
      <xdr:nvSpPr>
        <xdr:cNvPr id="290" name="TextBox 289">
          <a:extLst>
            <a:ext uri="{FF2B5EF4-FFF2-40B4-BE49-F238E27FC236}">
              <a16:creationId xmlns:a16="http://schemas.microsoft.com/office/drawing/2014/main" id="{00000000-0008-0000-0300-000022010000}"/>
            </a:ext>
          </a:extLst>
        </xdr:cNvPr>
        <xdr:cNvSpPr txBox="1"/>
      </xdr:nvSpPr>
      <xdr:spPr>
        <a:xfrm>
          <a:off x="20269200" y="18202275"/>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1918"/>
    <xdr:sp macro="" textlink="">
      <xdr:nvSpPr>
        <xdr:cNvPr id="291" name="TextBox 290">
          <a:extLst>
            <a:ext uri="{FF2B5EF4-FFF2-40B4-BE49-F238E27FC236}">
              <a16:creationId xmlns:a16="http://schemas.microsoft.com/office/drawing/2014/main" id="{00000000-0008-0000-0300-000023010000}"/>
            </a:ext>
          </a:extLst>
        </xdr:cNvPr>
        <xdr:cNvSpPr txBox="1"/>
      </xdr:nvSpPr>
      <xdr:spPr>
        <a:xfrm>
          <a:off x="20269200" y="22574250"/>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5265" cy="1661918"/>
    <xdr:sp macro="" textlink="">
      <xdr:nvSpPr>
        <xdr:cNvPr id="292" name="TextBox 291">
          <a:extLst>
            <a:ext uri="{FF2B5EF4-FFF2-40B4-BE49-F238E27FC236}">
              <a16:creationId xmlns:a16="http://schemas.microsoft.com/office/drawing/2014/main" id="{00000000-0008-0000-0300-000024010000}"/>
            </a:ext>
          </a:extLst>
        </xdr:cNvPr>
        <xdr:cNvSpPr txBox="1"/>
      </xdr:nvSpPr>
      <xdr:spPr>
        <a:xfrm>
          <a:off x="20269200" y="22574250"/>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945" cy="1661918"/>
    <xdr:sp macro="" textlink="">
      <xdr:nvSpPr>
        <xdr:cNvPr id="293" name="TextBox 292">
          <a:extLst>
            <a:ext uri="{FF2B5EF4-FFF2-40B4-BE49-F238E27FC236}">
              <a16:creationId xmlns:a16="http://schemas.microsoft.com/office/drawing/2014/main" id="{00000000-0008-0000-0300-000025010000}"/>
            </a:ext>
          </a:extLst>
        </xdr:cNvPr>
        <xdr:cNvSpPr txBox="1"/>
      </xdr:nvSpPr>
      <xdr:spPr>
        <a:xfrm>
          <a:off x="20269200" y="22574250"/>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2021"/>
    <xdr:sp macro="" textlink="">
      <xdr:nvSpPr>
        <xdr:cNvPr id="294" name="TextBox 293">
          <a:extLst>
            <a:ext uri="{FF2B5EF4-FFF2-40B4-BE49-F238E27FC236}">
              <a16:creationId xmlns:a16="http://schemas.microsoft.com/office/drawing/2014/main" id="{00000000-0008-0000-0300-000026010000}"/>
            </a:ext>
          </a:extLst>
        </xdr:cNvPr>
        <xdr:cNvSpPr txBox="1"/>
      </xdr:nvSpPr>
      <xdr:spPr>
        <a:xfrm>
          <a:off x="20269200" y="22574250"/>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748948"/>
    <xdr:sp macro="" textlink="">
      <xdr:nvSpPr>
        <xdr:cNvPr id="295" name="TextBox 294">
          <a:extLst>
            <a:ext uri="{FF2B5EF4-FFF2-40B4-BE49-F238E27FC236}">
              <a16:creationId xmlns:a16="http://schemas.microsoft.com/office/drawing/2014/main" id="{00000000-0008-0000-0300-000027010000}"/>
            </a:ext>
          </a:extLst>
        </xdr:cNvPr>
        <xdr:cNvSpPr txBox="1"/>
      </xdr:nvSpPr>
      <xdr:spPr>
        <a:xfrm>
          <a:off x="20269200" y="18202275"/>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1918"/>
    <xdr:sp macro="" textlink="">
      <xdr:nvSpPr>
        <xdr:cNvPr id="296" name="TextBox 295">
          <a:extLst>
            <a:ext uri="{FF2B5EF4-FFF2-40B4-BE49-F238E27FC236}">
              <a16:creationId xmlns:a16="http://schemas.microsoft.com/office/drawing/2014/main" id="{00000000-0008-0000-0300-000028010000}"/>
            </a:ext>
          </a:extLst>
        </xdr:cNvPr>
        <xdr:cNvSpPr txBox="1"/>
      </xdr:nvSpPr>
      <xdr:spPr>
        <a:xfrm>
          <a:off x="20269200" y="22574250"/>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297" name="TextBox 296">
          <a:extLst>
            <a:ext uri="{FF2B5EF4-FFF2-40B4-BE49-F238E27FC236}">
              <a16:creationId xmlns:a16="http://schemas.microsoft.com/office/drawing/2014/main" id="{00000000-0008-0000-0300-000029010000}"/>
            </a:ext>
          </a:extLst>
        </xdr:cNvPr>
        <xdr:cNvSpPr txBox="1"/>
      </xdr:nvSpPr>
      <xdr:spPr>
        <a:xfrm>
          <a:off x="20269200" y="2257425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746584"/>
    <xdr:sp macro="" textlink="">
      <xdr:nvSpPr>
        <xdr:cNvPr id="298" name="TextBox 297">
          <a:extLst>
            <a:ext uri="{FF2B5EF4-FFF2-40B4-BE49-F238E27FC236}">
              <a16:creationId xmlns:a16="http://schemas.microsoft.com/office/drawing/2014/main" id="{00000000-0008-0000-0300-00002A010000}"/>
            </a:ext>
          </a:extLst>
        </xdr:cNvPr>
        <xdr:cNvSpPr txBox="1"/>
      </xdr:nvSpPr>
      <xdr:spPr>
        <a:xfrm>
          <a:off x="20269200" y="18202275"/>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661918"/>
    <xdr:sp macro="" textlink="">
      <xdr:nvSpPr>
        <xdr:cNvPr id="299" name="TextBox 298">
          <a:extLst>
            <a:ext uri="{FF2B5EF4-FFF2-40B4-BE49-F238E27FC236}">
              <a16:creationId xmlns:a16="http://schemas.microsoft.com/office/drawing/2014/main" id="{00000000-0008-0000-0300-00002B010000}"/>
            </a:ext>
          </a:extLst>
        </xdr:cNvPr>
        <xdr:cNvSpPr txBox="1"/>
      </xdr:nvSpPr>
      <xdr:spPr>
        <a:xfrm>
          <a:off x="20269200" y="22574250"/>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00147" cy="1661918"/>
    <xdr:sp macro="" textlink="">
      <xdr:nvSpPr>
        <xdr:cNvPr id="300" name="TextBox 299">
          <a:extLst>
            <a:ext uri="{FF2B5EF4-FFF2-40B4-BE49-F238E27FC236}">
              <a16:creationId xmlns:a16="http://schemas.microsoft.com/office/drawing/2014/main" id="{00000000-0008-0000-0300-00002C010000}"/>
            </a:ext>
          </a:extLst>
        </xdr:cNvPr>
        <xdr:cNvSpPr txBox="1"/>
      </xdr:nvSpPr>
      <xdr:spPr>
        <a:xfrm>
          <a:off x="20269200" y="22574250"/>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592" cy="1661918"/>
    <xdr:sp macro="" textlink="">
      <xdr:nvSpPr>
        <xdr:cNvPr id="301" name="TextBox 300">
          <a:extLst>
            <a:ext uri="{FF2B5EF4-FFF2-40B4-BE49-F238E27FC236}">
              <a16:creationId xmlns:a16="http://schemas.microsoft.com/office/drawing/2014/main" id="{00000000-0008-0000-0300-00002D010000}"/>
            </a:ext>
          </a:extLst>
        </xdr:cNvPr>
        <xdr:cNvSpPr txBox="1"/>
      </xdr:nvSpPr>
      <xdr:spPr>
        <a:xfrm>
          <a:off x="20269200" y="22574250"/>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746584"/>
    <xdr:sp macro="" textlink="">
      <xdr:nvSpPr>
        <xdr:cNvPr id="302" name="TextBox 301">
          <a:extLst>
            <a:ext uri="{FF2B5EF4-FFF2-40B4-BE49-F238E27FC236}">
              <a16:creationId xmlns:a16="http://schemas.microsoft.com/office/drawing/2014/main" id="{00000000-0008-0000-0300-00002E010000}"/>
            </a:ext>
          </a:extLst>
        </xdr:cNvPr>
        <xdr:cNvSpPr txBox="1"/>
      </xdr:nvSpPr>
      <xdr:spPr>
        <a:xfrm>
          <a:off x="20269200" y="18202275"/>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661918"/>
    <xdr:sp macro="" textlink="">
      <xdr:nvSpPr>
        <xdr:cNvPr id="303" name="TextBox 302">
          <a:extLst>
            <a:ext uri="{FF2B5EF4-FFF2-40B4-BE49-F238E27FC236}">
              <a16:creationId xmlns:a16="http://schemas.microsoft.com/office/drawing/2014/main" id="{00000000-0008-0000-0300-00002F010000}"/>
            </a:ext>
          </a:extLst>
        </xdr:cNvPr>
        <xdr:cNvSpPr txBox="1"/>
      </xdr:nvSpPr>
      <xdr:spPr>
        <a:xfrm>
          <a:off x="20269200" y="22574250"/>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304" name="TextBox 303">
          <a:extLst>
            <a:ext uri="{FF2B5EF4-FFF2-40B4-BE49-F238E27FC236}">
              <a16:creationId xmlns:a16="http://schemas.microsoft.com/office/drawing/2014/main" id="{00000000-0008-0000-0300-000030010000}"/>
            </a:ext>
          </a:extLst>
        </xdr:cNvPr>
        <xdr:cNvSpPr txBox="1"/>
      </xdr:nvSpPr>
      <xdr:spPr>
        <a:xfrm>
          <a:off x="20269200" y="2641282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305" name="TextBox 304">
          <a:extLst>
            <a:ext uri="{FF2B5EF4-FFF2-40B4-BE49-F238E27FC236}">
              <a16:creationId xmlns:a16="http://schemas.microsoft.com/office/drawing/2014/main" id="{00000000-0008-0000-0300-000031010000}"/>
            </a:ext>
          </a:extLst>
        </xdr:cNvPr>
        <xdr:cNvSpPr txBox="1"/>
      </xdr:nvSpPr>
      <xdr:spPr>
        <a:xfrm>
          <a:off x="20269200" y="2641282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83569"/>
    <xdr:sp macro="" textlink="">
      <xdr:nvSpPr>
        <xdr:cNvPr id="306" name="TextBox 305">
          <a:extLst>
            <a:ext uri="{FF2B5EF4-FFF2-40B4-BE49-F238E27FC236}">
              <a16:creationId xmlns:a16="http://schemas.microsoft.com/office/drawing/2014/main" id="{00000000-0008-0000-0300-000032010000}"/>
            </a:ext>
          </a:extLst>
        </xdr:cNvPr>
        <xdr:cNvSpPr txBox="1"/>
      </xdr:nvSpPr>
      <xdr:spPr>
        <a:xfrm>
          <a:off x="20269200" y="22574250"/>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744986"/>
    <xdr:sp macro="" textlink="">
      <xdr:nvSpPr>
        <xdr:cNvPr id="307" name="TextBox 306">
          <a:extLst>
            <a:ext uri="{FF2B5EF4-FFF2-40B4-BE49-F238E27FC236}">
              <a16:creationId xmlns:a16="http://schemas.microsoft.com/office/drawing/2014/main" id="{00000000-0008-0000-0300-000033010000}"/>
            </a:ext>
          </a:extLst>
        </xdr:cNvPr>
        <xdr:cNvSpPr txBox="1"/>
      </xdr:nvSpPr>
      <xdr:spPr>
        <a:xfrm>
          <a:off x="20269200" y="18202275"/>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76302"/>
    <xdr:sp macro="" textlink="">
      <xdr:nvSpPr>
        <xdr:cNvPr id="308" name="TextBox 307">
          <a:extLst>
            <a:ext uri="{FF2B5EF4-FFF2-40B4-BE49-F238E27FC236}">
              <a16:creationId xmlns:a16="http://schemas.microsoft.com/office/drawing/2014/main" id="{00000000-0008-0000-0300-000034010000}"/>
            </a:ext>
          </a:extLst>
        </xdr:cNvPr>
        <xdr:cNvSpPr txBox="1"/>
      </xdr:nvSpPr>
      <xdr:spPr>
        <a:xfrm>
          <a:off x="20269200" y="22574250"/>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309" name="TextBox 308">
          <a:extLst>
            <a:ext uri="{FF2B5EF4-FFF2-40B4-BE49-F238E27FC236}">
              <a16:creationId xmlns:a16="http://schemas.microsoft.com/office/drawing/2014/main" id="{00000000-0008-0000-0300-00003501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42629"/>
    <xdr:sp macro="" textlink="">
      <xdr:nvSpPr>
        <xdr:cNvPr id="310" name="TextBox 309">
          <a:extLst>
            <a:ext uri="{FF2B5EF4-FFF2-40B4-BE49-F238E27FC236}">
              <a16:creationId xmlns:a16="http://schemas.microsoft.com/office/drawing/2014/main" id="{00000000-0008-0000-0300-000036010000}"/>
            </a:ext>
          </a:extLst>
        </xdr:cNvPr>
        <xdr:cNvSpPr txBox="1"/>
      </xdr:nvSpPr>
      <xdr:spPr>
        <a:xfrm>
          <a:off x="20269200" y="18202275"/>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676302"/>
    <xdr:sp macro="" textlink="">
      <xdr:nvSpPr>
        <xdr:cNvPr id="311" name="TextBox 310">
          <a:extLst>
            <a:ext uri="{FF2B5EF4-FFF2-40B4-BE49-F238E27FC236}">
              <a16:creationId xmlns:a16="http://schemas.microsoft.com/office/drawing/2014/main" id="{00000000-0008-0000-0300-000037010000}"/>
            </a:ext>
          </a:extLst>
        </xdr:cNvPr>
        <xdr:cNvSpPr txBox="1"/>
      </xdr:nvSpPr>
      <xdr:spPr>
        <a:xfrm>
          <a:off x="20269200" y="22574250"/>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312" name="TextBox 311">
          <a:extLst>
            <a:ext uri="{FF2B5EF4-FFF2-40B4-BE49-F238E27FC236}">
              <a16:creationId xmlns:a16="http://schemas.microsoft.com/office/drawing/2014/main" id="{00000000-0008-0000-0300-00003801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313" name="TextBox 312">
          <a:extLst>
            <a:ext uri="{FF2B5EF4-FFF2-40B4-BE49-F238E27FC236}">
              <a16:creationId xmlns:a16="http://schemas.microsoft.com/office/drawing/2014/main" id="{00000000-0008-0000-0300-000039010000}"/>
            </a:ext>
          </a:extLst>
        </xdr:cNvPr>
        <xdr:cNvSpPr txBox="1"/>
      </xdr:nvSpPr>
      <xdr:spPr>
        <a:xfrm>
          <a:off x="20269200" y="182022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314" name="TextBox 313">
          <a:extLst>
            <a:ext uri="{FF2B5EF4-FFF2-40B4-BE49-F238E27FC236}">
              <a16:creationId xmlns:a16="http://schemas.microsoft.com/office/drawing/2014/main" id="{00000000-0008-0000-0300-00003A01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1363" cy="1676302"/>
    <xdr:sp macro="" textlink="">
      <xdr:nvSpPr>
        <xdr:cNvPr id="315" name="TextBox 314">
          <a:extLst>
            <a:ext uri="{FF2B5EF4-FFF2-40B4-BE49-F238E27FC236}">
              <a16:creationId xmlns:a16="http://schemas.microsoft.com/office/drawing/2014/main" id="{00000000-0008-0000-0300-00003B010000}"/>
            </a:ext>
          </a:extLst>
        </xdr:cNvPr>
        <xdr:cNvSpPr txBox="1"/>
      </xdr:nvSpPr>
      <xdr:spPr>
        <a:xfrm>
          <a:off x="20269200" y="22574250"/>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445197" cy="1676302"/>
    <xdr:sp macro="" textlink="">
      <xdr:nvSpPr>
        <xdr:cNvPr id="316" name="TextBox 315">
          <a:extLst>
            <a:ext uri="{FF2B5EF4-FFF2-40B4-BE49-F238E27FC236}">
              <a16:creationId xmlns:a16="http://schemas.microsoft.com/office/drawing/2014/main" id="{00000000-0008-0000-0300-00003C010000}"/>
            </a:ext>
          </a:extLst>
        </xdr:cNvPr>
        <xdr:cNvSpPr txBox="1"/>
      </xdr:nvSpPr>
      <xdr:spPr>
        <a:xfrm>
          <a:off x="20269200" y="22574250"/>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317" name="TextBox 316">
          <a:extLst>
            <a:ext uri="{FF2B5EF4-FFF2-40B4-BE49-F238E27FC236}">
              <a16:creationId xmlns:a16="http://schemas.microsoft.com/office/drawing/2014/main" id="{00000000-0008-0000-0300-00003D010000}"/>
            </a:ext>
          </a:extLst>
        </xdr:cNvPr>
        <xdr:cNvSpPr txBox="1"/>
      </xdr:nvSpPr>
      <xdr:spPr>
        <a:xfrm>
          <a:off x="20269200" y="182022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318" name="TextBox 317">
          <a:extLst>
            <a:ext uri="{FF2B5EF4-FFF2-40B4-BE49-F238E27FC236}">
              <a16:creationId xmlns:a16="http://schemas.microsoft.com/office/drawing/2014/main" id="{00000000-0008-0000-0300-00003E01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76039"/>
    <xdr:sp macro="" textlink="">
      <xdr:nvSpPr>
        <xdr:cNvPr id="319" name="TextBox 318">
          <a:extLst>
            <a:ext uri="{FF2B5EF4-FFF2-40B4-BE49-F238E27FC236}">
              <a16:creationId xmlns:a16="http://schemas.microsoft.com/office/drawing/2014/main" id="{00000000-0008-0000-0300-00003F010000}"/>
            </a:ext>
          </a:extLst>
        </xdr:cNvPr>
        <xdr:cNvSpPr txBox="1"/>
      </xdr:nvSpPr>
      <xdr:spPr>
        <a:xfrm>
          <a:off x="20269200" y="26412825"/>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320" name="TextBox 319">
          <a:extLst>
            <a:ext uri="{FF2B5EF4-FFF2-40B4-BE49-F238E27FC236}">
              <a16:creationId xmlns:a16="http://schemas.microsoft.com/office/drawing/2014/main" id="{00000000-0008-0000-0300-000040010000}"/>
            </a:ext>
          </a:extLst>
        </xdr:cNvPr>
        <xdr:cNvSpPr txBox="1"/>
      </xdr:nvSpPr>
      <xdr:spPr>
        <a:xfrm>
          <a:off x="20269200" y="26412825"/>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321" name="TextBox 320">
          <a:extLst>
            <a:ext uri="{FF2B5EF4-FFF2-40B4-BE49-F238E27FC236}">
              <a16:creationId xmlns:a16="http://schemas.microsoft.com/office/drawing/2014/main" id="{00000000-0008-0000-0300-000041010000}"/>
            </a:ext>
          </a:extLst>
        </xdr:cNvPr>
        <xdr:cNvSpPr txBox="1"/>
      </xdr:nvSpPr>
      <xdr:spPr>
        <a:xfrm>
          <a:off x="20269200" y="26412825"/>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620421"/>
    <xdr:sp macro="" textlink="">
      <xdr:nvSpPr>
        <xdr:cNvPr id="322" name="TextBox 321">
          <a:extLst>
            <a:ext uri="{FF2B5EF4-FFF2-40B4-BE49-F238E27FC236}">
              <a16:creationId xmlns:a16="http://schemas.microsoft.com/office/drawing/2014/main" id="{00000000-0008-0000-0300-000042010000}"/>
            </a:ext>
          </a:extLst>
        </xdr:cNvPr>
        <xdr:cNvSpPr txBox="1"/>
      </xdr:nvSpPr>
      <xdr:spPr>
        <a:xfrm>
          <a:off x="20269200" y="22574250"/>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842257"/>
    <xdr:sp macro="" textlink="">
      <xdr:nvSpPr>
        <xdr:cNvPr id="323" name="TextBox 322">
          <a:extLst>
            <a:ext uri="{FF2B5EF4-FFF2-40B4-BE49-F238E27FC236}">
              <a16:creationId xmlns:a16="http://schemas.microsoft.com/office/drawing/2014/main" id="{00000000-0008-0000-0300-000043010000}"/>
            </a:ext>
          </a:extLst>
        </xdr:cNvPr>
        <xdr:cNvSpPr txBox="1"/>
      </xdr:nvSpPr>
      <xdr:spPr>
        <a:xfrm>
          <a:off x="20269200" y="18202275"/>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587258"/>
    <xdr:sp macro="" textlink="">
      <xdr:nvSpPr>
        <xdr:cNvPr id="324" name="TextBox 323">
          <a:extLst>
            <a:ext uri="{FF2B5EF4-FFF2-40B4-BE49-F238E27FC236}">
              <a16:creationId xmlns:a16="http://schemas.microsoft.com/office/drawing/2014/main" id="{00000000-0008-0000-0300-000044010000}"/>
            </a:ext>
          </a:extLst>
        </xdr:cNvPr>
        <xdr:cNvSpPr txBox="1"/>
      </xdr:nvSpPr>
      <xdr:spPr>
        <a:xfrm>
          <a:off x="20269200" y="22574250"/>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932" cy="1587258"/>
    <xdr:sp macro="" textlink="">
      <xdr:nvSpPr>
        <xdr:cNvPr id="325" name="TextBox 324">
          <a:extLst>
            <a:ext uri="{FF2B5EF4-FFF2-40B4-BE49-F238E27FC236}">
              <a16:creationId xmlns:a16="http://schemas.microsoft.com/office/drawing/2014/main" id="{00000000-0008-0000-0300-000045010000}"/>
            </a:ext>
          </a:extLst>
        </xdr:cNvPr>
        <xdr:cNvSpPr txBox="1"/>
      </xdr:nvSpPr>
      <xdr:spPr>
        <a:xfrm>
          <a:off x="20269200" y="22574250"/>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326" name="TextBox 325">
          <a:extLst>
            <a:ext uri="{FF2B5EF4-FFF2-40B4-BE49-F238E27FC236}">
              <a16:creationId xmlns:a16="http://schemas.microsoft.com/office/drawing/2014/main" id="{00000000-0008-0000-0300-000046010000}"/>
            </a:ext>
          </a:extLst>
        </xdr:cNvPr>
        <xdr:cNvSpPr txBox="1"/>
      </xdr:nvSpPr>
      <xdr:spPr>
        <a:xfrm>
          <a:off x="20269200" y="182022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327" name="TextBox 326">
          <a:extLst>
            <a:ext uri="{FF2B5EF4-FFF2-40B4-BE49-F238E27FC236}">
              <a16:creationId xmlns:a16="http://schemas.microsoft.com/office/drawing/2014/main" id="{00000000-0008-0000-0300-000047010000}"/>
            </a:ext>
          </a:extLst>
        </xdr:cNvPr>
        <xdr:cNvSpPr txBox="1"/>
      </xdr:nvSpPr>
      <xdr:spPr>
        <a:xfrm>
          <a:off x="20269200" y="2257425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593" cy="1587258"/>
    <xdr:sp macro="" textlink="">
      <xdr:nvSpPr>
        <xdr:cNvPr id="328" name="TextBox 327">
          <a:extLst>
            <a:ext uri="{FF2B5EF4-FFF2-40B4-BE49-F238E27FC236}">
              <a16:creationId xmlns:a16="http://schemas.microsoft.com/office/drawing/2014/main" id="{00000000-0008-0000-0300-000048010000}"/>
            </a:ext>
          </a:extLst>
        </xdr:cNvPr>
        <xdr:cNvSpPr txBox="1"/>
      </xdr:nvSpPr>
      <xdr:spPr>
        <a:xfrm>
          <a:off x="20269200" y="22574250"/>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8203" cy="1587258"/>
    <xdr:sp macro="" textlink="">
      <xdr:nvSpPr>
        <xdr:cNvPr id="329" name="TextBox 328">
          <a:extLst>
            <a:ext uri="{FF2B5EF4-FFF2-40B4-BE49-F238E27FC236}">
              <a16:creationId xmlns:a16="http://schemas.microsoft.com/office/drawing/2014/main" id="{00000000-0008-0000-0300-000049010000}"/>
            </a:ext>
          </a:extLst>
        </xdr:cNvPr>
        <xdr:cNvSpPr txBox="1"/>
      </xdr:nvSpPr>
      <xdr:spPr>
        <a:xfrm>
          <a:off x="20269200" y="22574250"/>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330" name="TextBox 329">
          <a:extLst>
            <a:ext uri="{FF2B5EF4-FFF2-40B4-BE49-F238E27FC236}">
              <a16:creationId xmlns:a16="http://schemas.microsoft.com/office/drawing/2014/main" id="{00000000-0008-0000-0300-00004A010000}"/>
            </a:ext>
          </a:extLst>
        </xdr:cNvPr>
        <xdr:cNvSpPr txBox="1"/>
      </xdr:nvSpPr>
      <xdr:spPr>
        <a:xfrm>
          <a:off x="20269200" y="182022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331" name="TextBox 330">
          <a:extLst>
            <a:ext uri="{FF2B5EF4-FFF2-40B4-BE49-F238E27FC236}">
              <a16:creationId xmlns:a16="http://schemas.microsoft.com/office/drawing/2014/main" id="{00000000-0008-0000-0300-00004B010000}"/>
            </a:ext>
          </a:extLst>
        </xdr:cNvPr>
        <xdr:cNvSpPr txBox="1"/>
      </xdr:nvSpPr>
      <xdr:spPr>
        <a:xfrm>
          <a:off x="20269200" y="2257425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332" name="TextBox 331">
          <a:extLst>
            <a:ext uri="{FF2B5EF4-FFF2-40B4-BE49-F238E27FC236}">
              <a16:creationId xmlns:a16="http://schemas.microsoft.com/office/drawing/2014/main" id="{00000000-0008-0000-0300-00004C010000}"/>
            </a:ext>
          </a:extLst>
        </xdr:cNvPr>
        <xdr:cNvSpPr txBox="1"/>
      </xdr:nvSpPr>
      <xdr:spPr>
        <a:xfrm>
          <a:off x="20269200" y="2641282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333" name="TextBox 332">
          <a:extLst>
            <a:ext uri="{FF2B5EF4-FFF2-40B4-BE49-F238E27FC236}">
              <a16:creationId xmlns:a16="http://schemas.microsoft.com/office/drawing/2014/main" id="{00000000-0008-0000-0300-00004D010000}"/>
            </a:ext>
          </a:extLst>
        </xdr:cNvPr>
        <xdr:cNvSpPr txBox="1"/>
      </xdr:nvSpPr>
      <xdr:spPr>
        <a:xfrm>
          <a:off x="20269200" y="2641282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222"/>
    <xdr:sp macro="" textlink="">
      <xdr:nvSpPr>
        <xdr:cNvPr id="334" name="TextBox 333">
          <a:extLst>
            <a:ext uri="{FF2B5EF4-FFF2-40B4-BE49-F238E27FC236}">
              <a16:creationId xmlns:a16="http://schemas.microsoft.com/office/drawing/2014/main" id="{00000000-0008-0000-0300-00004E010000}"/>
            </a:ext>
          </a:extLst>
        </xdr:cNvPr>
        <xdr:cNvSpPr txBox="1"/>
      </xdr:nvSpPr>
      <xdr:spPr>
        <a:xfrm>
          <a:off x="20269200" y="22574250"/>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748771"/>
    <xdr:sp macro="" textlink="">
      <xdr:nvSpPr>
        <xdr:cNvPr id="335" name="TextBox 334">
          <a:extLst>
            <a:ext uri="{FF2B5EF4-FFF2-40B4-BE49-F238E27FC236}">
              <a16:creationId xmlns:a16="http://schemas.microsoft.com/office/drawing/2014/main" id="{00000000-0008-0000-0300-00004F010000}"/>
            </a:ext>
          </a:extLst>
        </xdr:cNvPr>
        <xdr:cNvSpPr txBox="1"/>
      </xdr:nvSpPr>
      <xdr:spPr>
        <a:xfrm>
          <a:off x="20269200" y="18202275"/>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119"/>
    <xdr:sp macro="" textlink="">
      <xdr:nvSpPr>
        <xdr:cNvPr id="336" name="TextBox 335">
          <a:extLst>
            <a:ext uri="{FF2B5EF4-FFF2-40B4-BE49-F238E27FC236}">
              <a16:creationId xmlns:a16="http://schemas.microsoft.com/office/drawing/2014/main" id="{00000000-0008-0000-0300-000050010000}"/>
            </a:ext>
          </a:extLst>
        </xdr:cNvPr>
        <xdr:cNvSpPr txBox="1"/>
      </xdr:nvSpPr>
      <xdr:spPr>
        <a:xfrm>
          <a:off x="20269200" y="22574250"/>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114" cy="1662119"/>
    <xdr:sp macro="" textlink="">
      <xdr:nvSpPr>
        <xdr:cNvPr id="337" name="TextBox 336">
          <a:extLst>
            <a:ext uri="{FF2B5EF4-FFF2-40B4-BE49-F238E27FC236}">
              <a16:creationId xmlns:a16="http://schemas.microsoft.com/office/drawing/2014/main" id="{00000000-0008-0000-0300-000051010000}"/>
            </a:ext>
          </a:extLst>
        </xdr:cNvPr>
        <xdr:cNvSpPr txBox="1"/>
      </xdr:nvSpPr>
      <xdr:spPr>
        <a:xfrm>
          <a:off x="20269200" y="22574250"/>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731221"/>
    <xdr:sp macro="" textlink="">
      <xdr:nvSpPr>
        <xdr:cNvPr id="338" name="TextBox 337">
          <a:extLst>
            <a:ext uri="{FF2B5EF4-FFF2-40B4-BE49-F238E27FC236}">
              <a16:creationId xmlns:a16="http://schemas.microsoft.com/office/drawing/2014/main" id="{00000000-0008-0000-0300-000052010000}"/>
            </a:ext>
          </a:extLst>
        </xdr:cNvPr>
        <xdr:cNvSpPr txBox="1"/>
      </xdr:nvSpPr>
      <xdr:spPr>
        <a:xfrm>
          <a:off x="20269200" y="18202275"/>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662119"/>
    <xdr:sp macro="" textlink="">
      <xdr:nvSpPr>
        <xdr:cNvPr id="339" name="TextBox 338">
          <a:extLst>
            <a:ext uri="{FF2B5EF4-FFF2-40B4-BE49-F238E27FC236}">
              <a16:creationId xmlns:a16="http://schemas.microsoft.com/office/drawing/2014/main" id="{00000000-0008-0000-0300-000053010000}"/>
            </a:ext>
          </a:extLst>
        </xdr:cNvPr>
        <xdr:cNvSpPr txBox="1"/>
      </xdr:nvSpPr>
      <xdr:spPr>
        <a:xfrm>
          <a:off x="20269200" y="22574250"/>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340" name="TextBox 339">
          <a:extLst>
            <a:ext uri="{FF2B5EF4-FFF2-40B4-BE49-F238E27FC236}">
              <a16:creationId xmlns:a16="http://schemas.microsoft.com/office/drawing/2014/main" id="{00000000-0008-0000-0300-000054010000}"/>
            </a:ext>
          </a:extLst>
        </xdr:cNvPr>
        <xdr:cNvSpPr txBox="1"/>
      </xdr:nvSpPr>
      <xdr:spPr>
        <a:xfrm>
          <a:off x="20269200" y="2257425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731221"/>
    <xdr:sp macro="" textlink="">
      <xdr:nvSpPr>
        <xdr:cNvPr id="341" name="TextBox 340">
          <a:extLst>
            <a:ext uri="{FF2B5EF4-FFF2-40B4-BE49-F238E27FC236}">
              <a16:creationId xmlns:a16="http://schemas.microsoft.com/office/drawing/2014/main" id="{00000000-0008-0000-0300-000055010000}"/>
            </a:ext>
          </a:extLst>
        </xdr:cNvPr>
        <xdr:cNvSpPr txBox="1"/>
      </xdr:nvSpPr>
      <xdr:spPr>
        <a:xfrm>
          <a:off x="20269200" y="18202275"/>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342" name="TextBox 341">
          <a:extLst>
            <a:ext uri="{FF2B5EF4-FFF2-40B4-BE49-F238E27FC236}">
              <a16:creationId xmlns:a16="http://schemas.microsoft.com/office/drawing/2014/main" id="{00000000-0008-0000-0300-000056010000}"/>
            </a:ext>
          </a:extLst>
        </xdr:cNvPr>
        <xdr:cNvSpPr txBox="1"/>
      </xdr:nvSpPr>
      <xdr:spPr>
        <a:xfrm>
          <a:off x="20269200" y="2257425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4833" cy="1662119"/>
    <xdr:sp macro="" textlink="">
      <xdr:nvSpPr>
        <xdr:cNvPr id="343" name="TextBox 342">
          <a:extLst>
            <a:ext uri="{FF2B5EF4-FFF2-40B4-BE49-F238E27FC236}">
              <a16:creationId xmlns:a16="http://schemas.microsoft.com/office/drawing/2014/main" id="{00000000-0008-0000-0300-000057010000}"/>
            </a:ext>
          </a:extLst>
        </xdr:cNvPr>
        <xdr:cNvSpPr txBox="1"/>
      </xdr:nvSpPr>
      <xdr:spPr>
        <a:xfrm>
          <a:off x="20269200" y="22574250"/>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731221"/>
    <xdr:sp macro="" textlink="">
      <xdr:nvSpPr>
        <xdr:cNvPr id="344" name="TextBox 343">
          <a:extLst>
            <a:ext uri="{FF2B5EF4-FFF2-40B4-BE49-F238E27FC236}">
              <a16:creationId xmlns:a16="http://schemas.microsoft.com/office/drawing/2014/main" id="{00000000-0008-0000-0300-000058010000}"/>
            </a:ext>
          </a:extLst>
        </xdr:cNvPr>
        <xdr:cNvSpPr txBox="1"/>
      </xdr:nvSpPr>
      <xdr:spPr>
        <a:xfrm>
          <a:off x="20269200" y="18202275"/>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119"/>
    <xdr:sp macro="" textlink="">
      <xdr:nvSpPr>
        <xdr:cNvPr id="345" name="TextBox 344">
          <a:extLst>
            <a:ext uri="{FF2B5EF4-FFF2-40B4-BE49-F238E27FC236}">
              <a16:creationId xmlns:a16="http://schemas.microsoft.com/office/drawing/2014/main" id="{00000000-0008-0000-0300-000059010000}"/>
            </a:ext>
          </a:extLst>
        </xdr:cNvPr>
        <xdr:cNvSpPr txBox="1"/>
      </xdr:nvSpPr>
      <xdr:spPr>
        <a:xfrm>
          <a:off x="20269200" y="22574250"/>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877" cy="1662343"/>
    <xdr:sp macro="" textlink="">
      <xdr:nvSpPr>
        <xdr:cNvPr id="346" name="TextBox 345">
          <a:extLst>
            <a:ext uri="{FF2B5EF4-FFF2-40B4-BE49-F238E27FC236}">
              <a16:creationId xmlns:a16="http://schemas.microsoft.com/office/drawing/2014/main" id="{00000000-0008-0000-0300-00005A010000}"/>
            </a:ext>
          </a:extLst>
        </xdr:cNvPr>
        <xdr:cNvSpPr txBox="1"/>
      </xdr:nvSpPr>
      <xdr:spPr>
        <a:xfrm>
          <a:off x="20269200" y="26412825"/>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343"/>
    <xdr:sp macro="" textlink="">
      <xdr:nvSpPr>
        <xdr:cNvPr id="347" name="TextBox 346">
          <a:extLst>
            <a:ext uri="{FF2B5EF4-FFF2-40B4-BE49-F238E27FC236}">
              <a16:creationId xmlns:a16="http://schemas.microsoft.com/office/drawing/2014/main" id="{00000000-0008-0000-0300-00005B010000}"/>
            </a:ext>
          </a:extLst>
        </xdr:cNvPr>
        <xdr:cNvSpPr txBox="1"/>
      </xdr:nvSpPr>
      <xdr:spPr>
        <a:xfrm>
          <a:off x="20269200" y="26412825"/>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343"/>
    <xdr:sp macro="" textlink="">
      <xdr:nvSpPr>
        <xdr:cNvPr id="348" name="TextBox 347">
          <a:extLst>
            <a:ext uri="{FF2B5EF4-FFF2-40B4-BE49-F238E27FC236}">
              <a16:creationId xmlns:a16="http://schemas.microsoft.com/office/drawing/2014/main" id="{00000000-0008-0000-0300-00005C010000}"/>
            </a:ext>
          </a:extLst>
        </xdr:cNvPr>
        <xdr:cNvSpPr txBox="1"/>
      </xdr:nvSpPr>
      <xdr:spPr>
        <a:xfrm>
          <a:off x="20269200" y="26412825"/>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934"/>
    <xdr:sp macro="" textlink="">
      <xdr:nvSpPr>
        <xdr:cNvPr id="349" name="TextBox 348">
          <a:extLst>
            <a:ext uri="{FF2B5EF4-FFF2-40B4-BE49-F238E27FC236}">
              <a16:creationId xmlns:a16="http://schemas.microsoft.com/office/drawing/2014/main" id="{00000000-0008-0000-0300-00005D010000}"/>
            </a:ext>
          </a:extLst>
        </xdr:cNvPr>
        <xdr:cNvSpPr txBox="1"/>
      </xdr:nvSpPr>
      <xdr:spPr>
        <a:xfrm>
          <a:off x="20269200" y="22574250"/>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742770"/>
    <xdr:sp macro="" textlink="">
      <xdr:nvSpPr>
        <xdr:cNvPr id="350" name="TextBox 349">
          <a:extLst>
            <a:ext uri="{FF2B5EF4-FFF2-40B4-BE49-F238E27FC236}">
              <a16:creationId xmlns:a16="http://schemas.microsoft.com/office/drawing/2014/main" id="{00000000-0008-0000-0300-00005E010000}"/>
            </a:ext>
          </a:extLst>
        </xdr:cNvPr>
        <xdr:cNvSpPr txBox="1"/>
      </xdr:nvSpPr>
      <xdr:spPr>
        <a:xfrm>
          <a:off x="20269200" y="18202275"/>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831"/>
    <xdr:sp macro="" textlink="">
      <xdr:nvSpPr>
        <xdr:cNvPr id="351" name="TextBox 350">
          <a:extLst>
            <a:ext uri="{FF2B5EF4-FFF2-40B4-BE49-F238E27FC236}">
              <a16:creationId xmlns:a16="http://schemas.microsoft.com/office/drawing/2014/main" id="{00000000-0008-0000-0300-00005F010000}"/>
            </a:ext>
          </a:extLst>
        </xdr:cNvPr>
        <xdr:cNvSpPr txBox="1"/>
      </xdr:nvSpPr>
      <xdr:spPr>
        <a:xfrm>
          <a:off x="20269200" y="22574250"/>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5023"/>
    <xdr:sp macro="" textlink="">
      <xdr:nvSpPr>
        <xdr:cNvPr id="352" name="TextBox 351">
          <a:extLst>
            <a:ext uri="{FF2B5EF4-FFF2-40B4-BE49-F238E27FC236}">
              <a16:creationId xmlns:a16="http://schemas.microsoft.com/office/drawing/2014/main" id="{00000000-0008-0000-0300-000060010000}"/>
            </a:ext>
          </a:extLst>
        </xdr:cNvPr>
        <xdr:cNvSpPr txBox="1"/>
      </xdr:nvSpPr>
      <xdr:spPr>
        <a:xfrm>
          <a:off x="20269200" y="22574250"/>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717993"/>
    <xdr:sp macro="" textlink="">
      <xdr:nvSpPr>
        <xdr:cNvPr id="353" name="TextBox 352">
          <a:extLst>
            <a:ext uri="{FF2B5EF4-FFF2-40B4-BE49-F238E27FC236}">
              <a16:creationId xmlns:a16="http://schemas.microsoft.com/office/drawing/2014/main" id="{00000000-0008-0000-0300-000061010000}"/>
            </a:ext>
          </a:extLst>
        </xdr:cNvPr>
        <xdr:cNvSpPr txBox="1"/>
      </xdr:nvSpPr>
      <xdr:spPr>
        <a:xfrm>
          <a:off x="20269200" y="18202275"/>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4935"/>
    <xdr:sp macro="" textlink="">
      <xdr:nvSpPr>
        <xdr:cNvPr id="354" name="TextBox 353">
          <a:extLst>
            <a:ext uri="{FF2B5EF4-FFF2-40B4-BE49-F238E27FC236}">
              <a16:creationId xmlns:a16="http://schemas.microsoft.com/office/drawing/2014/main" id="{00000000-0008-0000-0300-000062010000}"/>
            </a:ext>
          </a:extLst>
        </xdr:cNvPr>
        <xdr:cNvSpPr txBox="1"/>
      </xdr:nvSpPr>
      <xdr:spPr>
        <a:xfrm>
          <a:off x="20269200" y="22574250"/>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4773" cy="1434935"/>
    <xdr:sp macro="" textlink="">
      <xdr:nvSpPr>
        <xdr:cNvPr id="355" name="TextBox 354">
          <a:extLst>
            <a:ext uri="{FF2B5EF4-FFF2-40B4-BE49-F238E27FC236}">
              <a16:creationId xmlns:a16="http://schemas.microsoft.com/office/drawing/2014/main" id="{00000000-0008-0000-0300-000063010000}"/>
            </a:ext>
          </a:extLst>
        </xdr:cNvPr>
        <xdr:cNvSpPr txBox="1"/>
      </xdr:nvSpPr>
      <xdr:spPr>
        <a:xfrm>
          <a:off x="20269200" y="22574250"/>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356" name="TextBox 355">
          <a:extLst>
            <a:ext uri="{FF2B5EF4-FFF2-40B4-BE49-F238E27FC236}">
              <a16:creationId xmlns:a16="http://schemas.microsoft.com/office/drawing/2014/main" id="{00000000-0008-0000-0300-000064010000}"/>
            </a:ext>
          </a:extLst>
        </xdr:cNvPr>
        <xdr:cNvSpPr txBox="1"/>
      </xdr:nvSpPr>
      <xdr:spPr>
        <a:xfrm>
          <a:off x="20269200" y="2257425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357" name="TextBox 356">
          <a:extLst>
            <a:ext uri="{FF2B5EF4-FFF2-40B4-BE49-F238E27FC236}">
              <a16:creationId xmlns:a16="http://schemas.microsoft.com/office/drawing/2014/main" id="{00000000-0008-0000-0300-000065010000}"/>
            </a:ext>
          </a:extLst>
        </xdr:cNvPr>
        <xdr:cNvSpPr txBox="1"/>
      </xdr:nvSpPr>
      <xdr:spPr>
        <a:xfrm>
          <a:off x="20269200" y="182022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358" name="TextBox 357">
          <a:extLst>
            <a:ext uri="{FF2B5EF4-FFF2-40B4-BE49-F238E27FC236}">
              <a16:creationId xmlns:a16="http://schemas.microsoft.com/office/drawing/2014/main" id="{00000000-0008-0000-0300-000066010000}"/>
            </a:ext>
          </a:extLst>
        </xdr:cNvPr>
        <xdr:cNvSpPr txBox="1"/>
      </xdr:nvSpPr>
      <xdr:spPr>
        <a:xfrm>
          <a:off x="20269200" y="2257425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359" name="TextBox 358">
          <a:extLst>
            <a:ext uri="{FF2B5EF4-FFF2-40B4-BE49-F238E27FC236}">
              <a16:creationId xmlns:a16="http://schemas.microsoft.com/office/drawing/2014/main" id="{00000000-0008-0000-0300-000067010000}"/>
            </a:ext>
          </a:extLst>
        </xdr:cNvPr>
        <xdr:cNvSpPr txBox="1"/>
      </xdr:nvSpPr>
      <xdr:spPr>
        <a:xfrm>
          <a:off x="20269200" y="2257425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360" name="TextBox 359">
          <a:extLst>
            <a:ext uri="{FF2B5EF4-FFF2-40B4-BE49-F238E27FC236}">
              <a16:creationId xmlns:a16="http://schemas.microsoft.com/office/drawing/2014/main" id="{00000000-0008-0000-0300-000068010000}"/>
            </a:ext>
          </a:extLst>
        </xdr:cNvPr>
        <xdr:cNvSpPr txBox="1"/>
      </xdr:nvSpPr>
      <xdr:spPr>
        <a:xfrm>
          <a:off x="20269200" y="182022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361" name="TextBox 360">
          <a:extLst>
            <a:ext uri="{FF2B5EF4-FFF2-40B4-BE49-F238E27FC236}">
              <a16:creationId xmlns:a16="http://schemas.microsoft.com/office/drawing/2014/main" id="{00000000-0008-0000-0300-000069010000}"/>
            </a:ext>
          </a:extLst>
        </xdr:cNvPr>
        <xdr:cNvSpPr txBox="1"/>
      </xdr:nvSpPr>
      <xdr:spPr>
        <a:xfrm>
          <a:off x="20269200" y="2257425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362" name="TextBox 361">
          <a:extLst>
            <a:ext uri="{FF2B5EF4-FFF2-40B4-BE49-F238E27FC236}">
              <a16:creationId xmlns:a16="http://schemas.microsoft.com/office/drawing/2014/main" id="{00000000-0008-0000-0300-00006A010000}"/>
            </a:ext>
          </a:extLst>
        </xdr:cNvPr>
        <xdr:cNvSpPr txBox="1"/>
      </xdr:nvSpPr>
      <xdr:spPr>
        <a:xfrm>
          <a:off x="20269200" y="2257425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363" name="TextBox 362">
          <a:extLst>
            <a:ext uri="{FF2B5EF4-FFF2-40B4-BE49-F238E27FC236}">
              <a16:creationId xmlns:a16="http://schemas.microsoft.com/office/drawing/2014/main" id="{00000000-0008-0000-0300-00006B010000}"/>
            </a:ext>
          </a:extLst>
        </xdr:cNvPr>
        <xdr:cNvSpPr txBox="1"/>
      </xdr:nvSpPr>
      <xdr:spPr>
        <a:xfrm>
          <a:off x="20269200" y="2257425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746347"/>
    <xdr:sp macro="" textlink="">
      <xdr:nvSpPr>
        <xdr:cNvPr id="364" name="TextBox 363">
          <a:extLst>
            <a:ext uri="{FF2B5EF4-FFF2-40B4-BE49-F238E27FC236}">
              <a16:creationId xmlns:a16="http://schemas.microsoft.com/office/drawing/2014/main" id="{00000000-0008-0000-0300-00006C010000}"/>
            </a:ext>
          </a:extLst>
        </xdr:cNvPr>
        <xdr:cNvSpPr txBox="1"/>
      </xdr:nvSpPr>
      <xdr:spPr>
        <a:xfrm>
          <a:off x="20269200" y="18202275"/>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661857"/>
    <xdr:sp macro="" textlink="">
      <xdr:nvSpPr>
        <xdr:cNvPr id="365" name="TextBox 364">
          <a:extLst>
            <a:ext uri="{FF2B5EF4-FFF2-40B4-BE49-F238E27FC236}">
              <a16:creationId xmlns:a16="http://schemas.microsoft.com/office/drawing/2014/main" id="{00000000-0008-0000-0300-00006D010000}"/>
            </a:ext>
          </a:extLst>
        </xdr:cNvPr>
        <xdr:cNvSpPr txBox="1"/>
      </xdr:nvSpPr>
      <xdr:spPr>
        <a:xfrm>
          <a:off x="20269200" y="22574250"/>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178" cy="1661857"/>
    <xdr:sp macro="" textlink="">
      <xdr:nvSpPr>
        <xdr:cNvPr id="366" name="TextBox 365">
          <a:extLst>
            <a:ext uri="{FF2B5EF4-FFF2-40B4-BE49-F238E27FC236}">
              <a16:creationId xmlns:a16="http://schemas.microsoft.com/office/drawing/2014/main" id="{00000000-0008-0000-0300-00006E010000}"/>
            </a:ext>
          </a:extLst>
        </xdr:cNvPr>
        <xdr:cNvSpPr txBox="1"/>
      </xdr:nvSpPr>
      <xdr:spPr>
        <a:xfrm>
          <a:off x="20269200" y="22574250"/>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9642" cy="1678802"/>
    <xdr:sp macro="" textlink="">
      <xdr:nvSpPr>
        <xdr:cNvPr id="367" name="TextBox 366">
          <a:extLst>
            <a:ext uri="{FF2B5EF4-FFF2-40B4-BE49-F238E27FC236}">
              <a16:creationId xmlns:a16="http://schemas.microsoft.com/office/drawing/2014/main" id="{00000000-0008-0000-0300-00006F010000}"/>
            </a:ext>
          </a:extLst>
        </xdr:cNvPr>
        <xdr:cNvSpPr txBox="1"/>
      </xdr:nvSpPr>
      <xdr:spPr>
        <a:xfrm>
          <a:off x="20269200" y="26412825"/>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419"/>
    <xdr:sp macro="" textlink="">
      <xdr:nvSpPr>
        <xdr:cNvPr id="368" name="TextBox 367">
          <a:extLst>
            <a:ext uri="{FF2B5EF4-FFF2-40B4-BE49-F238E27FC236}">
              <a16:creationId xmlns:a16="http://schemas.microsoft.com/office/drawing/2014/main" id="{00000000-0008-0000-0300-000070010000}"/>
            </a:ext>
          </a:extLst>
        </xdr:cNvPr>
        <xdr:cNvSpPr txBox="1"/>
      </xdr:nvSpPr>
      <xdr:spPr>
        <a:xfrm>
          <a:off x="20269200" y="22574250"/>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759058"/>
    <xdr:sp macro="" textlink="">
      <xdr:nvSpPr>
        <xdr:cNvPr id="369" name="TextBox 368">
          <a:extLst>
            <a:ext uri="{FF2B5EF4-FFF2-40B4-BE49-F238E27FC236}">
              <a16:creationId xmlns:a16="http://schemas.microsoft.com/office/drawing/2014/main" id="{00000000-0008-0000-0300-000071010000}"/>
            </a:ext>
          </a:extLst>
        </xdr:cNvPr>
        <xdr:cNvSpPr txBox="1"/>
      </xdr:nvSpPr>
      <xdr:spPr>
        <a:xfrm>
          <a:off x="20269200" y="18202275"/>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316"/>
    <xdr:sp macro="" textlink="">
      <xdr:nvSpPr>
        <xdr:cNvPr id="370" name="TextBox 369">
          <a:extLst>
            <a:ext uri="{FF2B5EF4-FFF2-40B4-BE49-F238E27FC236}">
              <a16:creationId xmlns:a16="http://schemas.microsoft.com/office/drawing/2014/main" id="{00000000-0008-0000-0300-000072010000}"/>
            </a:ext>
          </a:extLst>
        </xdr:cNvPr>
        <xdr:cNvSpPr txBox="1"/>
      </xdr:nvSpPr>
      <xdr:spPr>
        <a:xfrm>
          <a:off x="20269200" y="22574250"/>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21" cy="1650316"/>
    <xdr:sp macro="" textlink="">
      <xdr:nvSpPr>
        <xdr:cNvPr id="371" name="TextBox 370">
          <a:extLst>
            <a:ext uri="{FF2B5EF4-FFF2-40B4-BE49-F238E27FC236}">
              <a16:creationId xmlns:a16="http://schemas.microsoft.com/office/drawing/2014/main" id="{00000000-0008-0000-0300-000073010000}"/>
            </a:ext>
          </a:extLst>
        </xdr:cNvPr>
        <xdr:cNvSpPr txBox="1"/>
      </xdr:nvSpPr>
      <xdr:spPr>
        <a:xfrm>
          <a:off x="20269200" y="22574250"/>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372" name="TextBox 371">
          <a:extLst>
            <a:ext uri="{FF2B5EF4-FFF2-40B4-BE49-F238E27FC236}">
              <a16:creationId xmlns:a16="http://schemas.microsoft.com/office/drawing/2014/main" id="{00000000-0008-0000-0300-000074010000}"/>
            </a:ext>
          </a:extLst>
        </xdr:cNvPr>
        <xdr:cNvSpPr txBox="1"/>
      </xdr:nvSpPr>
      <xdr:spPr>
        <a:xfrm>
          <a:off x="20269200" y="2257425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373" name="TextBox 372">
          <a:extLst>
            <a:ext uri="{FF2B5EF4-FFF2-40B4-BE49-F238E27FC236}">
              <a16:creationId xmlns:a16="http://schemas.microsoft.com/office/drawing/2014/main" id="{00000000-0008-0000-0300-000075010000}"/>
            </a:ext>
          </a:extLst>
        </xdr:cNvPr>
        <xdr:cNvSpPr txBox="1"/>
      </xdr:nvSpPr>
      <xdr:spPr>
        <a:xfrm>
          <a:off x="20269200" y="2641282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374" name="TextBox 373">
          <a:extLst>
            <a:ext uri="{FF2B5EF4-FFF2-40B4-BE49-F238E27FC236}">
              <a16:creationId xmlns:a16="http://schemas.microsoft.com/office/drawing/2014/main" id="{00000000-0008-0000-0300-000076010000}"/>
            </a:ext>
          </a:extLst>
        </xdr:cNvPr>
        <xdr:cNvSpPr txBox="1"/>
      </xdr:nvSpPr>
      <xdr:spPr>
        <a:xfrm>
          <a:off x="20269200" y="2641282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2021"/>
    <xdr:sp macro="" textlink="">
      <xdr:nvSpPr>
        <xdr:cNvPr id="375" name="TextBox 374">
          <a:extLst>
            <a:ext uri="{FF2B5EF4-FFF2-40B4-BE49-F238E27FC236}">
              <a16:creationId xmlns:a16="http://schemas.microsoft.com/office/drawing/2014/main" id="{00000000-0008-0000-0300-000077010000}"/>
            </a:ext>
          </a:extLst>
        </xdr:cNvPr>
        <xdr:cNvSpPr txBox="1"/>
      </xdr:nvSpPr>
      <xdr:spPr>
        <a:xfrm>
          <a:off x="20269200" y="22574250"/>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748948"/>
    <xdr:sp macro="" textlink="">
      <xdr:nvSpPr>
        <xdr:cNvPr id="376" name="TextBox 375">
          <a:extLst>
            <a:ext uri="{FF2B5EF4-FFF2-40B4-BE49-F238E27FC236}">
              <a16:creationId xmlns:a16="http://schemas.microsoft.com/office/drawing/2014/main" id="{00000000-0008-0000-0300-000078010000}"/>
            </a:ext>
          </a:extLst>
        </xdr:cNvPr>
        <xdr:cNvSpPr txBox="1"/>
      </xdr:nvSpPr>
      <xdr:spPr>
        <a:xfrm>
          <a:off x="20269200" y="18202275"/>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1918"/>
    <xdr:sp macro="" textlink="">
      <xdr:nvSpPr>
        <xdr:cNvPr id="377" name="TextBox 376">
          <a:extLst>
            <a:ext uri="{FF2B5EF4-FFF2-40B4-BE49-F238E27FC236}">
              <a16:creationId xmlns:a16="http://schemas.microsoft.com/office/drawing/2014/main" id="{00000000-0008-0000-0300-000079010000}"/>
            </a:ext>
          </a:extLst>
        </xdr:cNvPr>
        <xdr:cNvSpPr txBox="1"/>
      </xdr:nvSpPr>
      <xdr:spPr>
        <a:xfrm>
          <a:off x="20269200" y="22574250"/>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5265" cy="1661918"/>
    <xdr:sp macro="" textlink="">
      <xdr:nvSpPr>
        <xdr:cNvPr id="378" name="TextBox 377">
          <a:extLst>
            <a:ext uri="{FF2B5EF4-FFF2-40B4-BE49-F238E27FC236}">
              <a16:creationId xmlns:a16="http://schemas.microsoft.com/office/drawing/2014/main" id="{00000000-0008-0000-0300-00007A010000}"/>
            </a:ext>
          </a:extLst>
        </xdr:cNvPr>
        <xdr:cNvSpPr txBox="1"/>
      </xdr:nvSpPr>
      <xdr:spPr>
        <a:xfrm>
          <a:off x="20269200" y="22574250"/>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945" cy="1661918"/>
    <xdr:sp macro="" textlink="">
      <xdr:nvSpPr>
        <xdr:cNvPr id="379" name="TextBox 378">
          <a:extLst>
            <a:ext uri="{FF2B5EF4-FFF2-40B4-BE49-F238E27FC236}">
              <a16:creationId xmlns:a16="http://schemas.microsoft.com/office/drawing/2014/main" id="{00000000-0008-0000-0300-00007B010000}"/>
            </a:ext>
          </a:extLst>
        </xdr:cNvPr>
        <xdr:cNvSpPr txBox="1"/>
      </xdr:nvSpPr>
      <xdr:spPr>
        <a:xfrm>
          <a:off x="20269200" y="22574250"/>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2021"/>
    <xdr:sp macro="" textlink="">
      <xdr:nvSpPr>
        <xdr:cNvPr id="380" name="TextBox 379">
          <a:extLst>
            <a:ext uri="{FF2B5EF4-FFF2-40B4-BE49-F238E27FC236}">
              <a16:creationId xmlns:a16="http://schemas.microsoft.com/office/drawing/2014/main" id="{00000000-0008-0000-0300-00007C010000}"/>
            </a:ext>
          </a:extLst>
        </xdr:cNvPr>
        <xdr:cNvSpPr txBox="1"/>
      </xdr:nvSpPr>
      <xdr:spPr>
        <a:xfrm>
          <a:off x="20269200" y="22574250"/>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748948"/>
    <xdr:sp macro="" textlink="">
      <xdr:nvSpPr>
        <xdr:cNvPr id="381" name="TextBox 380">
          <a:extLst>
            <a:ext uri="{FF2B5EF4-FFF2-40B4-BE49-F238E27FC236}">
              <a16:creationId xmlns:a16="http://schemas.microsoft.com/office/drawing/2014/main" id="{00000000-0008-0000-0300-00007D010000}"/>
            </a:ext>
          </a:extLst>
        </xdr:cNvPr>
        <xdr:cNvSpPr txBox="1"/>
      </xdr:nvSpPr>
      <xdr:spPr>
        <a:xfrm>
          <a:off x="20269200" y="18202275"/>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1918"/>
    <xdr:sp macro="" textlink="">
      <xdr:nvSpPr>
        <xdr:cNvPr id="382" name="TextBox 381">
          <a:extLst>
            <a:ext uri="{FF2B5EF4-FFF2-40B4-BE49-F238E27FC236}">
              <a16:creationId xmlns:a16="http://schemas.microsoft.com/office/drawing/2014/main" id="{00000000-0008-0000-0300-00007E010000}"/>
            </a:ext>
          </a:extLst>
        </xdr:cNvPr>
        <xdr:cNvSpPr txBox="1"/>
      </xdr:nvSpPr>
      <xdr:spPr>
        <a:xfrm>
          <a:off x="20269200" y="22574250"/>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383" name="TextBox 382">
          <a:extLst>
            <a:ext uri="{FF2B5EF4-FFF2-40B4-BE49-F238E27FC236}">
              <a16:creationId xmlns:a16="http://schemas.microsoft.com/office/drawing/2014/main" id="{00000000-0008-0000-0300-00007F010000}"/>
            </a:ext>
          </a:extLst>
        </xdr:cNvPr>
        <xdr:cNvSpPr txBox="1"/>
      </xdr:nvSpPr>
      <xdr:spPr>
        <a:xfrm>
          <a:off x="20269200" y="2257425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746584"/>
    <xdr:sp macro="" textlink="">
      <xdr:nvSpPr>
        <xdr:cNvPr id="384" name="TextBox 383">
          <a:extLst>
            <a:ext uri="{FF2B5EF4-FFF2-40B4-BE49-F238E27FC236}">
              <a16:creationId xmlns:a16="http://schemas.microsoft.com/office/drawing/2014/main" id="{00000000-0008-0000-0300-000080010000}"/>
            </a:ext>
          </a:extLst>
        </xdr:cNvPr>
        <xdr:cNvSpPr txBox="1"/>
      </xdr:nvSpPr>
      <xdr:spPr>
        <a:xfrm>
          <a:off x="20269200" y="18202275"/>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661918"/>
    <xdr:sp macro="" textlink="">
      <xdr:nvSpPr>
        <xdr:cNvPr id="385" name="TextBox 384">
          <a:extLst>
            <a:ext uri="{FF2B5EF4-FFF2-40B4-BE49-F238E27FC236}">
              <a16:creationId xmlns:a16="http://schemas.microsoft.com/office/drawing/2014/main" id="{00000000-0008-0000-0300-000081010000}"/>
            </a:ext>
          </a:extLst>
        </xdr:cNvPr>
        <xdr:cNvSpPr txBox="1"/>
      </xdr:nvSpPr>
      <xdr:spPr>
        <a:xfrm>
          <a:off x="20269200" y="22574250"/>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00147" cy="1661918"/>
    <xdr:sp macro="" textlink="">
      <xdr:nvSpPr>
        <xdr:cNvPr id="386" name="TextBox 385">
          <a:extLst>
            <a:ext uri="{FF2B5EF4-FFF2-40B4-BE49-F238E27FC236}">
              <a16:creationId xmlns:a16="http://schemas.microsoft.com/office/drawing/2014/main" id="{00000000-0008-0000-0300-000082010000}"/>
            </a:ext>
          </a:extLst>
        </xdr:cNvPr>
        <xdr:cNvSpPr txBox="1"/>
      </xdr:nvSpPr>
      <xdr:spPr>
        <a:xfrm>
          <a:off x="20269200" y="22574250"/>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592" cy="1661918"/>
    <xdr:sp macro="" textlink="">
      <xdr:nvSpPr>
        <xdr:cNvPr id="387" name="TextBox 386">
          <a:extLst>
            <a:ext uri="{FF2B5EF4-FFF2-40B4-BE49-F238E27FC236}">
              <a16:creationId xmlns:a16="http://schemas.microsoft.com/office/drawing/2014/main" id="{00000000-0008-0000-0300-000083010000}"/>
            </a:ext>
          </a:extLst>
        </xdr:cNvPr>
        <xdr:cNvSpPr txBox="1"/>
      </xdr:nvSpPr>
      <xdr:spPr>
        <a:xfrm>
          <a:off x="20269200" y="22574250"/>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746584"/>
    <xdr:sp macro="" textlink="">
      <xdr:nvSpPr>
        <xdr:cNvPr id="388" name="TextBox 387">
          <a:extLst>
            <a:ext uri="{FF2B5EF4-FFF2-40B4-BE49-F238E27FC236}">
              <a16:creationId xmlns:a16="http://schemas.microsoft.com/office/drawing/2014/main" id="{00000000-0008-0000-0300-000084010000}"/>
            </a:ext>
          </a:extLst>
        </xdr:cNvPr>
        <xdr:cNvSpPr txBox="1"/>
      </xdr:nvSpPr>
      <xdr:spPr>
        <a:xfrm>
          <a:off x="20269200" y="18202275"/>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661918"/>
    <xdr:sp macro="" textlink="">
      <xdr:nvSpPr>
        <xdr:cNvPr id="389" name="TextBox 388">
          <a:extLst>
            <a:ext uri="{FF2B5EF4-FFF2-40B4-BE49-F238E27FC236}">
              <a16:creationId xmlns:a16="http://schemas.microsoft.com/office/drawing/2014/main" id="{00000000-0008-0000-0300-000085010000}"/>
            </a:ext>
          </a:extLst>
        </xdr:cNvPr>
        <xdr:cNvSpPr txBox="1"/>
      </xdr:nvSpPr>
      <xdr:spPr>
        <a:xfrm>
          <a:off x="20269200" y="22574250"/>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390" name="TextBox 389">
          <a:extLst>
            <a:ext uri="{FF2B5EF4-FFF2-40B4-BE49-F238E27FC236}">
              <a16:creationId xmlns:a16="http://schemas.microsoft.com/office/drawing/2014/main" id="{00000000-0008-0000-0300-000086010000}"/>
            </a:ext>
          </a:extLst>
        </xdr:cNvPr>
        <xdr:cNvSpPr txBox="1"/>
      </xdr:nvSpPr>
      <xdr:spPr>
        <a:xfrm>
          <a:off x="20269200" y="2641282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391" name="TextBox 390">
          <a:extLst>
            <a:ext uri="{FF2B5EF4-FFF2-40B4-BE49-F238E27FC236}">
              <a16:creationId xmlns:a16="http://schemas.microsoft.com/office/drawing/2014/main" id="{00000000-0008-0000-0300-000087010000}"/>
            </a:ext>
          </a:extLst>
        </xdr:cNvPr>
        <xdr:cNvSpPr txBox="1"/>
      </xdr:nvSpPr>
      <xdr:spPr>
        <a:xfrm>
          <a:off x="20269200" y="2641282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679418"/>
    <xdr:sp macro="" textlink="">
      <xdr:nvSpPr>
        <xdr:cNvPr id="392" name="TextBox 391">
          <a:extLst>
            <a:ext uri="{FF2B5EF4-FFF2-40B4-BE49-F238E27FC236}">
              <a16:creationId xmlns:a16="http://schemas.microsoft.com/office/drawing/2014/main" id="{00000000-0008-0000-0300-000088010000}"/>
            </a:ext>
          </a:extLst>
        </xdr:cNvPr>
        <xdr:cNvSpPr txBox="1"/>
      </xdr:nvSpPr>
      <xdr:spPr>
        <a:xfrm>
          <a:off x="15201900" y="22574250"/>
          <a:ext cx="3560766" cy="167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747852"/>
    <xdr:sp macro="" textlink="">
      <xdr:nvSpPr>
        <xdr:cNvPr id="393" name="TextBox 392">
          <a:extLst>
            <a:ext uri="{FF2B5EF4-FFF2-40B4-BE49-F238E27FC236}">
              <a16:creationId xmlns:a16="http://schemas.microsoft.com/office/drawing/2014/main" id="{00000000-0008-0000-0300-000089010000}"/>
            </a:ext>
          </a:extLst>
        </xdr:cNvPr>
        <xdr:cNvSpPr txBox="1"/>
      </xdr:nvSpPr>
      <xdr:spPr>
        <a:xfrm>
          <a:off x="15201900" y="18202275"/>
          <a:ext cx="3560766" cy="1747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682488"/>
    <xdr:sp macro="" textlink="">
      <xdr:nvSpPr>
        <xdr:cNvPr id="394" name="TextBox 393">
          <a:extLst>
            <a:ext uri="{FF2B5EF4-FFF2-40B4-BE49-F238E27FC236}">
              <a16:creationId xmlns:a16="http://schemas.microsoft.com/office/drawing/2014/main" id="{00000000-0008-0000-0300-00008A010000}"/>
            </a:ext>
          </a:extLst>
        </xdr:cNvPr>
        <xdr:cNvSpPr txBox="1"/>
      </xdr:nvSpPr>
      <xdr:spPr>
        <a:xfrm>
          <a:off x="15201900" y="22574250"/>
          <a:ext cx="3560766"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755464"/>
    <xdr:sp macro="" textlink="">
      <xdr:nvSpPr>
        <xdr:cNvPr id="395" name="TextBox 394">
          <a:extLst>
            <a:ext uri="{FF2B5EF4-FFF2-40B4-BE49-F238E27FC236}">
              <a16:creationId xmlns:a16="http://schemas.microsoft.com/office/drawing/2014/main" id="{00000000-0008-0000-0300-00008B010000}"/>
            </a:ext>
          </a:extLst>
        </xdr:cNvPr>
        <xdr:cNvSpPr txBox="1"/>
      </xdr:nvSpPr>
      <xdr:spPr>
        <a:xfrm>
          <a:off x="31703010" y="18202275"/>
          <a:ext cx="3555927"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682488"/>
    <xdr:sp macro="" textlink="">
      <xdr:nvSpPr>
        <xdr:cNvPr id="396" name="TextBox 395">
          <a:extLst>
            <a:ext uri="{FF2B5EF4-FFF2-40B4-BE49-F238E27FC236}">
              <a16:creationId xmlns:a16="http://schemas.microsoft.com/office/drawing/2014/main" id="{00000000-0008-0000-0300-00008C010000}"/>
            </a:ext>
          </a:extLst>
        </xdr:cNvPr>
        <xdr:cNvSpPr txBox="1"/>
      </xdr:nvSpPr>
      <xdr:spPr>
        <a:xfrm>
          <a:off x="31703010" y="22574250"/>
          <a:ext cx="3555927"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397" name="TextBox 396">
          <a:extLst>
            <a:ext uri="{FF2B5EF4-FFF2-40B4-BE49-F238E27FC236}">
              <a16:creationId xmlns:a16="http://schemas.microsoft.com/office/drawing/2014/main" id="{00000000-0008-0000-0300-00008D010000}"/>
            </a:ext>
          </a:extLst>
        </xdr:cNvPr>
        <xdr:cNvSpPr txBox="1"/>
      </xdr:nvSpPr>
      <xdr:spPr>
        <a:xfrm>
          <a:off x="32417385" y="22574250"/>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755464"/>
    <xdr:sp macro="" textlink="">
      <xdr:nvSpPr>
        <xdr:cNvPr id="398" name="TextBox 397">
          <a:extLst>
            <a:ext uri="{FF2B5EF4-FFF2-40B4-BE49-F238E27FC236}">
              <a16:creationId xmlns:a16="http://schemas.microsoft.com/office/drawing/2014/main" id="{00000000-0008-0000-0300-00008E010000}"/>
            </a:ext>
          </a:extLst>
        </xdr:cNvPr>
        <xdr:cNvSpPr txBox="1"/>
      </xdr:nvSpPr>
      <xdr:spPr>
        <a:xfrm>
          <a:off x="25269825" y="18202275"/>
          <a:ext cx="3556010"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399" name="TextBox 398">
          <a:extLst>
            <a:ext uri="{FF2B5EF4-FFF2-40B4-BE49-F238E27FC236}">
              <a16:creationId xmlns:a16="http://schemas.microsoft.com/office/drawing/2014/main" id="{00000000-0008-0000-0300-00008F010000}"/>
            </a:ext>
          </a:extLst>
        </xdr:cNvPr>
        <xdr:cNvSpPr txBox="1"/>
      </xdr:nvSpPr>
      <xdr:spPr>
        <a:xfrm>
          <a:off x="25269825" y="22574250"/>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846" cy="1682488"/>
    <xdr:sp macro="" textlink="">
      <xdr:nvSpPr>
        <xdr:cNvPr id="400" name="TextBox 399">
          <a:extLst>
            <a:ext uri="{FF2B5EF4-FFF2-40B4-BE49-F238E27FC236}">
              <a16:creationId xmlns:a16="http://schemas.microsoft.com/office/drawing/2014/main" id="{00000000-0008-0000-0300-000090010000}"/>
            </a:ext>
          </a:extLst>
        </xdr:cNvPr>
        <xdr:cNvSpPr txBox="1"/>
      </xdr:nvSpPr>
      <xdr:spPr>
        <a:xfrm>
          <a:off x="19059525" y="22574250"/>
          <a:ext cx="3555846"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3718" cy="1682488"/>
    <xdr:sp macro="" textlink="">
      <xdr:nvSpPr>
        <xdr:cNvPr id="401" name="TextBox 400">
          <a:extLst>
            <a:ext uri="{FF2B5EF4-FFF2-40B4-BE49-F238E27FC236}">
              <a16:creationId xmlns:a16="http://schemas.microsoft.com/office/drawing/2014/main" id="{00000000-0008-0000-0300-000091010000}"/>
            </a:ext>
          </a:extLst>
        </xdr:cNvPr>
        <xdr:cNvSpPr txBox="1"/>
      </xdr:nvSpPr>
      <xdr:spPr>
        <a:xfrm>
          <a:off x="26698575" y="22574250"/>
          <a:ext cx="3523718"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755464"/>
    <xdr:sp macro="" textlink="">
      <xdr:nvSpPr>
        <xdr:cNvPr id="402" name="TextBox 401">
          <a:extLst>
            <a:ext uri="{FF2B5EF4-FFF2-40B4-BE49-F238E27FC236}">
              <a16:creationId xmlns:a16="http://schemas.microsoft.com/office/drawing/2014/main" id="{00000000-0008-0000-0300-000092010000}"/>
            </a:ext>
          </a:extLst>
        </xdr:cNvPr>
        <xdr:cNvSpPr txBox="1"/>
      </xdr:nvSpPr>
      <xdr:spPr>
        <a:xfrm>
          <a:off x="12633960" y="18202275"/>
          <a:ext cx="3556010"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403" name="TextBox 402">
          <a:extLst>
            <a:ext uri="{FF2B5EF4-FFF2-40B4-BE49-F238E27FC236}">
              <a16:creationId xmlns:a16="http://schemas.microsoft.com/office/drawing/2014/main" id="{00000000-0008-0000-0300-000093010000}"/>
            </a:ext>
          </a:extLst>
        </xdr:cNvPr>
        <xdr:cNvSpPr txBox="1"/>
      </xdr:nvSpPr>
      <xdr:spPr>
        <a:xfrm>
          <a:off x="12633960" y="22574250"/>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741250"/>
    <xdr:sp macro="" textlink="">
      <xdr:nvSpPr>
        <xdr:cNvPr id="404" name="TextBox 403">
          <a:extLst>
            <a:ext uri="{FF2B5EF4-FFF2-40B4-BE49-F238E27FC236}">
              <a16:creationId xmlns:a16="http://schemas.microsoft.com/office/drawing/2014/main" id="{00000000-0008-0000-0300-000094010000}"/>
            </a:ext>
          </a:extLst>
        </xdr:cNvPr>
        <xdr:cNvSpPr txBox="1"/>
      </xdr:nvSpPr>
      <xdr:spPr>
        <a:xfrm>
          <a:off x="10833735" y="26412825"/>
          <a:ext cx="3555927"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741250"/>
    <xdr:sp macro="" textlink="">
      <xdr:nvSpPr>
        <xdr:cNvPr id="405" name="TextBox 404">
          <a:extLst>
            <a:ext uri="{FF2B5EF4-FFF2-40B4-BE49-F238E27FC236}">
              <a16:creationId xmlns:a16="http://schemas.microsoft.com/office/drawing/2014/main" id="{00000000-0008-0000-0300-000095010000}"/>
            </a:ext>
          </a:extLst>
        </xdr:cNvPr>
        <xdr:cNvSpPr txBox="1"/>
      </xdr:nvSpPr>
      <xdr:spPr>
        <a:xfrm>
          <a:off x="30274260" y="26412825"/>
          <a:ext cx="3556010"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679418"/>
    <xdr:sp macro="" textlink="">
      <xdr:nvSpPr>
        <xdr:cNvPr id="406" name="TextBox 405">
          <a:extLst>
            <a:ext uri="{FF2B5EF4-FFF2-40B4-BE49-F238E27FC236}">
              <a16:creationId xmlns:a16="http://schemas.microsoft.com/office/drawing/2014/main" id="{00000000-0008-0000-0300-000096010000}"/>
            </a:ext>
          </a:extLst>
        </xdr:cNvPr>
        <xdr:cNvSpPr txBox="1"/>
      </xdr:nvSpPr>
      <xdr:spPr>
        <a:xfrm>
          <a:off x="5943600" y="22574250"/>
          <a:ext cx="3537719" cy="167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747852"/>
    <xdr:sp macro="" textlink="">
      <xdr:nvSpPr>
        <xdr:cNvPr id="407" name="TextBox 406">
          <a:extLst>
            <a:ext uri="{FF2B5EF4-FFF2-40B4-BE49-F238E27FC236}">
              <a16:creationId xmlns:a16="http://schemas.microsoft.com/office/drawing/2014/main" id="{00000000-0008-0000-0300-000097010000}"/>
            </a:ext>
          </a:extLst>
        </xdr:cNvPr>
        <xdr:cNvSpPr txBox="1"/>
      </xdr:nvSpPr>
      <xdr:spPr>
        <a:xfrm>
          <a:off x="5943600" y="18202275"/>
          <a:ext cx="3537719" cy="1747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672229"/>
    <xdr:sp macro="" textlink="">
      <xdr:nvSpPr>
        <xdr:cNvPr id="408" name="TextBox 407">
          <a:extLst>
            <a:ext uri="{FF2B5EF4-FFF2-40B4-BE49-F238E27FC236}">
              <a16:creationId xmlns:a16="http://schemas.microsoft.com/office/drawing/2014/main" id="{00000000-0008-0000-0300-000098010000}"/>
            </a:ext>
          </a:extLst>
        </xdr:cNvPr>
        <xdr:cNvSpPr txBox="1"/>
      </xdr:nvSpPr>
      <xdr:spPr>
        <a:xfrm>
          <a:off x="5943600" y="22574250"/>
          <a:ext cx="3537719"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409" name="TextBox 408">
          <a:extLst>
            <a:ext uri="{FF2B5EF4-FFF2-40B4-BE49-F238E27FC236}">
              <a16:creationId xmlns:a16="http://schemas.microsoft.com/office/drawing/2014/main" id="{00000000-0008-0000-0300-000099010000}"/>
            </a:ext>
          </a:extLst>
        </xdr:cNvPr>
        <xdr:cNvSpPr txBox="1"/>
      </xdr:nvSpPr>
      <xdr:spPr>
        <a:xfrm>
          <a:off x="8261985" y="2257425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755464"/>
    <xdr:sp macro="" textlink="">
      <xdr:nvSpPr>
        <xdr:cNvPr id="410" name="TextBox 409">
          <a:extLst>
            <a:ext uri="{FF2B5EF4-FFF2-40B4-BE49-F238E27FC236}">
              <a16:creationId xmlns:a16="http://schemas.microsoft.com/office/drawing/2014/main" id="{00000000-0008-0000-0300-00009A010000}"/>
            </a:ext>
          </a:extLst>
        </xdr:cNvPr>
        <xdr:cNvSpPr txBox="1"/>
      </xdr:nvSpPr>
      <xdr:spPr>
        <a:xfrm>
          <a:off x="15462885" y="18202275"/>
          <a:ext cx="3544382"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672229"/>
    <xdr:sp macro="" textlink="">
      <xdr:nvSpPr>
        <xdr:cNvPr id="411" name="TextBox 410">
          <a:extLst>
            <a:ext uri="{FF2B5EF4-FFF2-40B4-BE49-F238E27FC236}">
              <a16:creationId xmlns:a16="http://schemas.microsoft.com/office/drawing/2014/main" id="{00000000-0008-0000-0300-00009B010000}"/>
            </a:ext>
          </a:extLst>
        </xdr:cNvPr>
        <xdr:cNvSpPr txBox="1"/>
      </xdr:nvSpPr>
      <xdr:spPr>
        <a:xfrm>
          <a:off x="15462885" y="22574250"/>
          <a:ext cx="3544382"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412" name="TextBox 411">
          <a:extLst>
            <a:ext uri="{FF2B5EF4-FFF2-40B4-BE49-F238E27FC236}">
              <a16:creationId xmlns:a16="http://schemas.microsoft.com/office/drawing/2014/main" id="{00000000-0008-0000-0300-00009C010000}"/>
            </a:ext>
          </a:extLst>
        </xdr:cNvPr>
        <xdr:cNvSpPr txBox="1"/>
      </xdr:nvSpPr>
      <xdr:spPr>
        <a:xfrm>
          <a:off x="14691360" y="2257425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55464"/>
    <xdr:sp macro="" textlink="">
      <xdr:nvSpPr>
        <xdr:cNvPr id="413" name="TextBox 412">
          <a:extLst>
            <a:ext uri="{FF2B5EF4-FFF2-40B4-BE49-F238E27FC236}">
              <a16:creationId xmlns:a16="http://schemas.microsoft.com/office/drawing/2014/main" id="{00000000-0008-0000-0300-00009D010000}"/>
            </a:ext>
          </a:extLst>
        </xdr:cNvPr>
        <xdr:cNvSpPr txBox="1"/>
      </xdr:nvSpPr>
      <xdr:spPr>
        <a:xfrm>
          <a:off x="26940510" y="18202275"/>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414" name="TextBox 413">
          <a:extLst>
            <a:ext uri="{FF2B5EF4-FFF2-40B4-BE49-F238E27FC236}">
              <a16:creationId xmlns:a16="http://schemas.microsoft.com/office/drawing/2014/main" id="{00000000-0008-0000-0300-00009E010000}"/>
            </a:ext>
          </a:extLst>
        </xdr:cNvPr>
        <xdr:cNvSpPr txBox="1"/>
      </xdr:nvSpPr>
      <xdr:spPr>
        <a:xfrm>
          <a:off x="26940510" y="2257425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2831" cy="1672229"/>
    <xdr:sp macro="" textlink="">
      <xdr:nvSpPr>
        <xdr:cNvPr id="415" name="TextBox 414">
          <a:extLst>
            <a:ext uri="{FF2B5EF4-FFF2-40B4-BE49-F238E27FC236}">
              <a16:creationId xmlns:a16="http://schemas.microsoft.com/office/drawing/2014/main" id="{00000000-0008-0000-0300-00009F010000}"/>
            </a:ext>
          </a:extLst>
        </xdr:cNvPr>
        <xdr:cNvSpPr txBox="1"/>
      </xdr:nvSpPr>
      <xdr:spPr>
        <a:xfrm>
          <a:off x="20983575" y="22574250"/>
          <a:ext cx="3532831"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55464"/>
    <xdr:sp macro="" textlink="">
      <xdr:nvSpPr>
        <xdr:cNvPr id="416" name="TextBox 415">
          <a:extLst>
            <a:ext uri="{FF2B5EF4-FFF2-40B4-BE49-F238E27FC236}">
              <a16:creationId xmlns:a16="http://schemas.microsoft.com/office/drawing/2014/main" id="{00000000-0008-0000-0300-0000A0010000}"/>
            </a:ext>
          </a:extLst>
        </xdr:cNvPr>
        <xdr:cNvSpPr txBox="1"/>
      </xdr:nvSpPr>
      <xdr:spPr>
        <a:xfrm>
          <a:off x="18034635" y="18202275"/>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417" name="TextBox 416">
          <a:extLst>
            <a:ext uri="{FF2B5EF4-FFF2-40B4-BE49-F238E27FC236}">
              <a16:creationId xmlns:a16="http://schemas.microsoft.com/office/drawing/2014/main" id="{00000000-0008-0000-0300-0000A1010000}"/>
            </a:ext>
          </a:extLst>
        </xdr:cNvPr>
        <xdr:cNvSpPr txBox="1"/>
      </xdr:nvSpPr>
      <xdr:spPr>
        <a:xfrm>
          <a:off x="18034635" y="2257425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741250"/>
    <xdr:sp macro="" textlink="">
      <xdr:nvSpPr>
        <xdr:cNvPr id="418" name="TextBox 417">
          <a:extLst>
            <a:ext uri="{FF2B5EF4-FFF2-40B4-BE49-F238E27FC236}">
              <a16:creationId xmlns:a16="http://schemas.microsoft.com/office/drawing/2014/main" id="{00000000-0008-0000-0300-0000A2010000}"/>
            </a:ext>
          </a:extLst>
        </xdr:cNvPr>
        <xdr:cNvSpPr txBox="1"/>
      </xdr:nvSpPr>
      <xdr:spPr>
        <a:xfrm>
          <a:off x="14948535" y="29136975"/>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41250"/>
    <xdr:sp macro="" textlink="">
      <xdr:nvSpPr>
        <xdr:cNvPr id="419" name="TextBox 418">
          <a:extLst>
            <a:ext uri="{FF2B5EF4-FFF2-40B4-BE49-F238E27FC236}">
              <a16:creationId xmlns:a16="http://schemas.microsoft.com/office/drawing/2014/main" id="{00000000-0008-0000-0300-0000A3010000}"/>
            </a:ext>
          </a:extLst>
        </xdr:cNvPr>
        <xdr:cNvSpPr txBox="1"/>
      </xdr:nvSpPr>
      <xdr:spPr>
        <a:xfrm>
          <a:off x="25988010" y="29136975"/>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741250"/>
    <xdr:sp macro="" textlink="">
      <xdr:nvSpPr>
        <xdr:cNvPr id="421" name="TextBox 420">
          <a:extLst>
            <a:ext uri="{FF2B5EF4-FFF2-40B4-BE49-F238E27FC236}">
              <a16:creationId xmlns:a16="http://schemas.microsoft.com/office/drawing/2014/main" id="{00000000-0008-0000-0300-0000A5010000}"/>
            </a:ext>
          </a:extLst>
        </xdr:cNvPr>
        <xdr:cNvSpPr txBox="1"/>
      </xdr:nvSpPr>
      <xdr:spPr>
        <a:xfrm>
          <a:off x="14948535" y="26412825"/>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41250"/>
    <xdr:sp macro="" textlink="">
      <xdr:nvSpPr>
        <xdr:cNvPr id="422" name="TextBox 421">
          <a:extLst>
            <a:ext uri="{FF2B5EF4-FFF2-40B4-BE49-F238E27FC236}">
              <a16:creationId xmlns:a16="http://schemas.microsoft.com/office/drawing/2014/main" id="{00000000-0008-0000-0300-0000A6010000}"/>
            </a:ext>
          </a:extLst>
        </xdr:cNvPr>
        <xdr:cNvSpPr txBox="1"/>
      </xdr:nvSpPr>
      <xdr:spPr>
        <a:xfrm>
          <a:off x="25988010" y="26412825"/>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41250"/>
    <xdr:sp macro="" textlink="">
      <xdr:nvSpPr>
        <xdr:cNvPr id="423" name="TextBox 422">
          <a:extLst>
            <a:ext uri="{FF2B5EF4-FFF2-40B4-BE49-F238E27FC236}">
              <a16:creationId xmlns:a16="http://schemas.microsoft.com/office/drawing/2014/main" id="{00000000-0008-0000-0300-0000A7010000}"/>
            </a:ext>
          </a:extLst>
        </xdr:cNvPr>
        <xdr:cNvSpPr txBox="1"/>
      </xdr:nvSpPr>
      <xdr:spPr>
        <a:xfrm>
          <a:off x="17520285" y="26412825"/>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83569"/>
    <xdr:sp macro="" textlink="">
      <xdr:nvSpPr>
        <xdr:cNvPr id="424" name="TextBox 423">
          <a:extLst>
            <a:ext uri="{FF2B5EF4-FFF2-40B4-BE49-F238E27FC236}">
              <a16:creationId xmlns:a16="http://schemas.microsoft.com/office/drawing/2014/main" id="{00000000-0008-0000-0300-0000A8010000}"/>
            </a:ext>
          </a:extLst>
        </xdr:cNvPr>
        <xdr:cNvSpPr txBox="1"/>
      </xdr:nvSpPr>
      <xdr:spPr>
        <a:xfrm>
          <a:off x="24102060" y="22974300"/>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744986"/>
    <xdr:sp macro="" textlink="">
      <xdr:nvSpPr>
        <xdr:cNvPr id="425" name="TextBox 424">
          <a:extLst>
            <a:ext uri="{FF2B5EF4-FFF2-40B4-BE49-F238E27FC236}">
              <a16:creationId xmlns:a16="http://schemas.microsoft.com/office/drawing/2014/main" id="{00000000-0008-0000-0300-0000A9010000}"/>
            </a:ext>
          </a:extLst>
        </xdr:cNvPr>
        <xdr:cNvSpPr txBox="1"/>
      </xdr:nvSpPr>
      <xdr:spPr>
        <a:xfrm>
          <a:off x="24102060" y="18402300"/>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76302"/>
    <xdr:sp macro="" textlink="">
      <xdr:nvSpPr>
        <xdr:cNvPr id="426" name="TextBox 425">
          <a:extLst>
            <a:ext uri="{FF2B5EF4-FFF2-40B4-BE49-F238E27FC236}">
              <a16:creationId xmlns:a16="http://schemas.microsoft.com/office/drawing/2014/main" id="{00000000-0008-0000-0300-0000AA010000}"/>
            </a:ext>
          </a:extLst>
        </xdr:cNvPr>
        <xdr:cNvSpPr txBox="1"/>
      </xdr:nvSpPr>
      <xdr:spPr>
        <a:xfrm>
          <a:off x="24102060" y="22974300"/>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427" name="TextBox 426">
          <a:extLst>
            <a:ext uri="{FF2B5EF4-FFF2-40B4-BE49-F238E27FC236}">
              <a16:creationId xmlns:a16="http://schemas.microsoft.com/office/drawing/2014/main" id="{00000000-0008-0000-0300-0000AB010000}"/>
            </a:ext>
          </a:extLst>
        </xdr:cNvPr>
        <xdr:cNvSpPr txBox="1"/>
      </xdr:nvSpPr>
      <xdr:spPr>
        <a:xfrm>
          <a:off x="24102060" y="2297430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42629"/>
    <xdr:sp macro="" textlink="">
      <xdr:nvSpPr>
        <xdr:cNvPr id="428" name="TextBox 427">
          <a:extLst>
            <a:ext uri="{FF2B5EF4-FFF2-40B4-BE49-F238E27FC236}">
              <a16:creationId xmlns:a16="http://schemas.microsoft.com/office/drawing/2014/main" id="{00000000-0008-0000-0300-0000AC010000}"/>
            </a:ext>
          </a:extLst>
        </xdr:cNvPr>
        <xdr:cNvSpPr txBox="1"/>
      </xdr:nvSpPr>
      <xdr:spPr>
        <a:xfrm>
          <a:off x="24102060" y="18402300"/>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676302"/>
    <xdr:sp macro="" textlink="">
      <xdr:nvSpPr>
        <xdr:cNvPr id="429" name="TextBox 428">
          <a:extLst>
            <a:ext uri="{FF2B5EF4-FFF2-40B4-BE49-F238E27FC236}">
              <a16:creationId xmlns:a16="http://schemas.microsoft.com/office/drawing/2014/main" id="{00000000-0008-0000-0300-0000AD010000}"/>
            </a:ext>
          </a:extLst>
        </xdr:cNvPr>
        <xdr:cNvSpPr txBox="1"/>
      </xdr:nvSpPr>
      <xdr:spPr>
        <a:xfrm>
          <a:off x="24102060" y="22974300"/>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430" name="TextBox 429">
          <a:extLst>
            <a:ext uri="{FF2B5EF4-FFF2-40B4-BE49-F238E27FC236}">
              <a16:creationId xmlns:a16="http://schemas.microsoft.com/office/drawing/2014/main" id="{00000000-0008-0000-0300-0000AE010000}"/>
            </a:ext>
          </a:extLst>
        </xdr:cNvPr>
        <xdr:cNvSpPr txBox="1"/>
      </xdr:nvSpPr>
      <xdr:spPr>
        <a:xfrm>
          <a:off x="24102060" y="2297430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431" name="TextBox 430">
          <a:extLst>
            <a:ext uri="{FF2B5EF4-FFF2-40B4-BE49-F238E27FC236}">
              <a16:creationId xmlns:a16="http://schemas.microsoft.com/office/drawing/2014/main" id="{00000000-0008-0000-0300-0000AF010000}"/>
            </a:ext>
          </a:extLst>
        </xdr:cNvPr>
        <xdr:cNvSpPr txBox="1"/>
      </xdr:nvSpPr>
      <xdr:spPr>
        <a:xfrm>
          <a:off x="24102060" y="18402300"/>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432" name="TextBox 431">
          <a:extLst>
            <a:ext uri="{FF2B5EF4-FFF2-40B4-BE49-F238E27FC236}">
              <a16:creationId xmlns:a16="http://schemas.microsoft.com/office/drawing/2014/main" id="{00000000-0008-0000-0300-0000B0010000}"/>
            </a:ext>
          </a:extLst>
        </xdr:cNvPr>
        <xdr:cNvSpPr txBox="1"/>
      </xdr:nvSpPr>
      <xdr:spPr>
        <a:xfrm>
          <a:off x="24102060" y="2297430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1363" cy="1676302"/>
    <xdr:sp macro="" textlink="">
      <xdr:nvSpPr>
        <xdr:cNvPr id="433" name="TextBox 432">
          <a:extLst>
            <a:ext uri="{FF2B5EF4-FFF2-40B4-BE49-F238E27FC236}">
              <a16:creationId xmlns:a16="http://schemas.microsoft.com/office/drawing/2014/main" id="{00000000-0008-0000-0300-0000B1010000}"/>
            </a:ext>
          </a:extLst>
        </xdr:cNvPr>
        <xdr:cNvSpPr txBox="1"/>
      </xdr:nvSpPr>
      <xdr:spPr>
        <a:xfrm>
          <a:off x="24102060" y="22974300"/>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445197" cy="1676302"/>
    <xdr:sp macro="" textlink="">
      <xdr:nvSpPr>
        <xdr:cNvPr id="434" name="TextBox 433">
          <a:extLst>
            <a:ext uri="{FF2B5EF4-FFF2-40B4-BE49-F238E27FC236}">
              <a16:creationId xmlns:a16="http://schemas.microsoft.com/office/drawing/2014/main" id="{00000000-0008-0000-0300-0000B2010000}"/>
            </a:ext>
          </a:extLst>
        </xdr:cNvPr>
        <xdr:cNvSpPr txBox="1"/>
      </xdr:nvSpPr>
      <xdr:spPr>
        <a:xfrm>
          <a:off x="24102060" y="22974300"/>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435" name="TextBox 434">
          <a:extLst>
            <a:ext uri="{FF2B5EF4-FFF2-40B4-BE49-F238E27FC236}">
              <a16:creationId xmlns:a16="http://schemas.microsoft.com/office/drawing/2014/main" id="{00000000-0008-0000-0300-0000B3010000}"/>
            </a:ext>
          </a:extLst>
        </xdr:cNvPr>
        <xdr:cNvSpPr txBox="1"/>
      </xdr:nvSpPr>
      <xdr:spPr>
        <a:xfrm>
          <a:off x="24102060" y="18402300"/>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436" name="TextBox 435">
          <a:extLst>
            <a:ext uri="{FF2B5EF4-FFF2-40B4-BE49-F238E27FC236}">
              <a16:creationId xmlns:a16="http://schemas.microsoft.com/office/drawing/2014/main" id="{00000000-0008-0000-0300-0000B4010000}"/>
            </a:ext>
          </a:extLst>
        </xdr:cNvPr>
        <xdr:cNvSpPr txBox="1"/>
      </xdr:nvSpPr>
      <xdr:spPr>
        <a:xfrm>
          <a:off x="24102060" y="2297430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76039"/>
    <xdr:sp macro="" textlink="">
      <xdr:nvSpPr>
        <xdr:cNvPr id="437" name="TextBox 436">
          <a:extLst>
            <a:ext uri="{FF2B5EF4-FFF2-40B4-BE49-F238E27FC236}">
              <a16:creationId xmlns:a16="http://schemas.microsoft.com/office/drawing/2014/main" id="{00000000-0008-0000-0300-0000B5010000}"/>
            </a:ext>
          </a:extLst>
        </xdr:cNvPr>
        <xdr:cNvSpPr txBox="1"/>
      </xdr:nvSpPr>
      <xdr:spPr>
        <a:xfrm>
          <a:off x="24102060" y="26753820"/>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438" name="TextBox 437">
          <a:extLst>
            <a:ext uri="{FF2B5EF4-FFF2-40B4-BE49-F238E27FC236}">
              <a16:creationId xmlns:a16="http://schemas.microsoft.com/office/drawing/2014/main" id="{00000000-0008-0000-0300-0000B6010000}"/>
            </a:ext>
          </a:extLst>
        </xdr:cNvPr>
        <xdr:cNvSpPr txBox="1"/>
      </xdr:nvSpPr>
      <xdr:spPr>
        <a:xfrm>
          <a:off x="24102060" y="2675382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439" name="TextBox 438">
          <a:extLst>
            <a:ext uri="{FF2B5EF4-FFF2-40B4-BE49-F238E27FC236}">
              <a16:creationId xmlns:a16="http://schemas.microsoft.com/office/drawing/2014/main" id="{00000000-0008-0000-0300-0000B7010000}"/>
            </a:ext>
          </a:extLst>
        </xdr:cNvPr>
        <xdr:cNvSpPr txBox="1"/>
      </xdr:nvSpPr>
      <xdr:spPr>
        <a:xfrm>
          <a:off x="24102060" y="2675382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620421"/>
    <xdr:sp macro="" textlink="">
      <xdr:nvSpPr>
        <xdr:cNvPr id="440" name="TextBox 439">
          <a:extLst>
            <a:ext uri="{FF2B5EF4-FFF2-40B4-BE49-F238E27FC236}">
              <a16:creationId xmlns:a16="http://schemas.microsoft.com/office/drawing/2014/main" id="{00000000-0008-0000-0300-0000B8010000}"/>
            </a:ext>
          </a:extLst>
        </xdr:cNvPr>
        <xdr:cNvSpPr txBox="1"/>
      </xdr:nvSpPr>
      <xdr:spPr>
        <a:xfrm>
          <a:off x="24102060" y="22974300"/>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842257"/>
    <xdr:sp macro="" textlink="">
      <xdr:nvSpPr>
        <xdr:cNvPr id="441" name="TextBox 440">
          <a:extLst>
            <a:ext uri="{FF2B5EF4-FFF2-40B4-BE49-F238E27FC236}">
              <a16:creationId xmlns:a16="http://schemas.microsoft.com/office/drawing/2014/main" id="{00000000-0008-0000-0300-0000B9010000}"/>
            </a:ext>
          </a:extLst>
        </xdr:cNvPr>
        <xdr:cNvSpPr txBox="1"/>
      </xdr:nvSpPr>
      <xdr:spPr>
        <a:xfrm>
          <a:off x="24102060" y="18402300"/>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587258"/>
    <xdr:sp macro="" textlink="">
      <xdr:nvSpPr>
        <xdr:cNvPr id="442" name="TextBox 441">
          <a:extLst>
            <a:ext uri="{FF2B5EF4-FFF2-40B4-BE49-F238E27FC236}">
              <a16:creationId xmlns:a16="http://schemas.microsoft.com/office/drawing/2014/main" id="{00000000-0008-0000-0300-0000BA010000}"/>
            </a:ext>
          </a:extLst>
        </xdr:cNvPr>
        <xdr:cNvSpPr txBox="1"/>
      </xdr:nvSpPr>
      <xdr:spPr>
        <a:xfrm>
          <a:off x="24102060" y="22974300"/>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932" cy="1587258"/>
    <xdr:sp macro="" textlink="">
      <xdr:nvSpPr>
        <xdr:cNvPr id="443" name="TextBox 442">
          <a:extLst>
            <a:ext uri="{FF2B5EF4-FFF2-40B4-BE49-F238E27FC236}">
              <a16:creationId xmlns:a16="http://schemas.microsoft.com/office/drawing/2014/main" id="{00000000-0008-0000-0300-0000BB010000}"/>
            </a:ext>
          </a:extLst>
        </xdr:cNvPr>
        <xdr:cNvSpPr txBox="1"/>
      </xdr:nvSpPr>
      <xdr:spPr>
        <a:xfrm>
          <a:off x="24102060" y="22974300"/>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444" name="TextBox 443">
          <a:extLst>
            <a:ext uri="{FF2B5EF4-FFF2-40B4-BE49-F238E27FC236}">
              <a16:creationId xmlns:a16="http://schemas.microsoft.com/office/drawing/2014/main" id="{00000000-0008-0000-0300-0000BC010000}"/>
            </a:ext>
          </a:extLst>
        </xdr:cNvPr>
        <xdr:cNvSpPr txBox="1"/>
      </xdr:nvSpPr>
      <xdr:spPr>
        <a:xfrm>
          <a:off x="24102060" y="1840230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445" name="TextBox 444">
          <a:extLst>
            <a:ext uri="{FF2B5EF4-FFF2-40B4-BE49-F238E27FC236}">
              <a16:creationId xmlns:a16="http://schemas.microsoft.com/office/drawing/2014/main" id="{00000000-0008-0000-0300-0000BD010000}"/>
            </a:ext>
          </a:extLst>
        </xdr:cNvPr>
        <xdr:cNvSpPr txBox="1"/>
      </xdr:nvSpPr>
      <xdr:spPr>
        <a:xfrm>
          <a:off x="24102060" y="2297430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593" cy="1587258"/>
    <xdr:sp macro="" textlink="">
      <xdr:nvSpPr>
        <xdr:cNvPr id="446" name="TextBox 445">
          <a:extLst>
            <a:ext uri="{FF2B5EF4-FFF2-40B4-BE49-F238E27FC236}">
              <a16:creationId xmlns:a16="http://schemas.microsoft.com/office/drawing/2014/main" id="{00000000-0008-0000-0300-0000BE010000}"/>
            </a:ext>
          </a:extLst>
        </xdr:cNvPr>
        <xdr:cNvSpPr txBox="1"/>
      </xdr:nvSpPr>
      <xdr:spPr>
        <a:xfrm>
          <a:off x="24102060" y="22974300"/>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8203" cy="1587258"/>
    <xdr:sp macro="" textlink="">
      <xdr:nvSpPr>
        <xdr:cNvPr id="447" name="TextBox 446">
          <a:extLst>
            <a:ext uri="{FF2B5EF4-FFF2-40B4-BE49-F238E27FC236}">
              <a16:creationId xmlns:a16="http://schemas.microsoft.com/office/drawing/2014/main" id="{00000000-0008-0000-0300-0000BF010000}"/>
            </a:ext>
          </a:extLst>
        </xdr:cNvPr>
        <xdr:cNvSpPr txBox="1"/>
      </xdr:nvSpPr>
      <xdr:spPr>
        <a:xfrm>
          <a:off x="24102060" y="22974300"/>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448" name="TextBox 447">
          <a:extLst>
            <a:ext uri="{FF2B5EF4-FFF2-40B4-BE49-F238E27FC236}">
              <a16:creationId xmlns:a16="http://schemas.microsoft.com/office/drawing/2014/main" id="{00000000-0008-0000-0300-0000C0010000}"/>
            </a:ext>
          </a:extLst>
        </xdr:cNvPr>
        <xdr:cNvSpPr txBox="1"/>
      </xdr:nvSpPr>
      <xdr:spPr>
        <a:xfrm>
          <a:off x="24102060" y="1840230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449" name="TextBox 448">
          <a:extLst>
            <a:ext uri="{FF2B5EF4-FFF2-40B4-BE49-F238E27FC236}">
              <a16:creationId xmlns:a16="http://schemas.microsoft.com/office/drawing/2014/main" id="{00000000-0008-0000-0300-0000C1010000}"/>
            </a:ext>
          </a:extLst>
        </xdr:cNvPr>
        <xdr:cNvSpPr txBox="1"/>
      </xdr:nvSpPr>
      <xdr:spPr>
        <a:xfrm>
          <a:off x="24102060" y="2297430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450" name="TextBox 449">
          <a:extLst>
            <a:ext uri="{FF2B5EF4-FFF2-40B4-BE49-F238E27FC236}">
              <a16:creationId xmlns:a16="http://schemas.microsoft.com/office/drawing/2014/main" id="{00000000-0008-0000-0300-0000C2010000}"/>
            </a:ext>
          </a:extLst>
        </xdr:cNvPr>
        <xdr:cNvSpPr txBox="1"/>
      </xdr:nvSpPr>
      <xdr:spPr>
        <a:xfrm>
          <a:off x="24102060" y="2675382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451" name="TextBox 450">
          <a:extLst>
            <a:ext uri="{FF2B5EF4-FFF2-40B4-BE49-F238E27FC236}">
              <a16:creationId xmlns:a16="http://schemas.microsoft.com/office/drawing/2014/main" id="{00000000-0008-0000-0300-0000C3010000}"/>
            </a:ext>
          </a:extLst>
        </xdr:cNvPr>
        <xdr:cNvSpPr txBox="1"/>
      </xdr:nvSpPr>
      <xdr:spPr>
        <a:xfrm>
          <a:off x="24102060" y="2675382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222"/>
    <xdr:sp macro="" textlink="">
      <xdr:nvSpPr>
        <xdr:cNvPr id="452" name="TextBox 451">
          <a:extLst>
            <a:ext uri="{FF2B5EF4-FFF2-40B4-BE49-F238E27FC236}">
              <a16:creationId xmlns:a16="http://schemas.microsoft.com/office/drawing/2014/main" id="{00000000-0008-0000-0300-0000C4010000}"/>
            </a:ext>
          </a:extLst>
        </xdr:cNvPr>
        <xdr:cNvSpPr txBox="1"/>
      </xdr:nvSpPr>
      <xdr:spPr>
        <a:xfrm>
          <a:off x="24102060" y="22974300"/>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748771"/>
    <xdr:sp macro="" textlink="">
      <xdr:nvSpPr>
        <xdr:cNvPr id="453" name="TextBox 452">
          <a:extLst>
            <a:ext uri="{FF2B5EF4-FFF2-40B4-BE49-F238E27FC236}">
              <a16:creationId xmlns:a16="http://schemas.microsoft.com/office/drawing/2014/main" id="{00000000-0008-0000-0300-0000C5010000}"/>
            </a:ext>
          </a:extLst>
        </xdr:cNvPr>
        <xdr:cNvSpPr txBox="1"/>
      </xdr:nvSpPr>
      <xdr:spPr>
        <a:xfrm>
          <a:off x="24102060" y="18402300"/>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119"/>
    <xdr:sp macro="" textlink="">
      <xdr:nvSpPr>
        <xdr:cNvPr id="454" name="TextBox 453">
          <a:extLst>
            <a:ext uri="{FF2B5EF4-FFF2-40B4-BE49-F238E27FC236}">
              <a16:creationId xmlns:a16="http://schemas.microsoft.com/office/drawing/2014/main" id="{00000000-0008-0000-0300-0000C6010000}"/>
            </a:ext>
          </a:extLst>
        </xdr:cNvPr>
        <xdr:cNvSpPr txBox="1"/>
      </xdr:nvSpPr>
      <xdr:spPr>
        <a:xfrm>
          <a:off x="24102060" y="22974300"/>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114" cy="1662119"/>
    <xdr:sp macro="" textlink="">
      <xdr:nvSpPr>
        <xdr:cNvPr id="455" name="TextBox 454">
          <a:extLst>
            <a:ext uri="{FF2B5EF4-FFF2-40B4-BE49-F238E27FC236}">
              <a16:creationId xmlns:a16="http://schemas.microsoft.com/office/drawing/2014/main" id="{00000000-0008-0000-0300-0000C7010000}"/>
            </a:ext>
          </a:extLst>
        </xdr:cNvPr>
        <xdr:cNvSpPr txBox="1"/>
      </xdr:nvSpPr>
      <xdr:spPr>
        <a:xfrm>
          <a:off x="24102060" y="22974300"/>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731221"/>
    <xdr:sp macro="" textlink="">
      <xdr:nvSpPr>
        <xdr:cNvPr id="456" name="TextBox 455">
          <a:extLst>
            <a:ext uri="{FF2B5EF4-FFF2-40B4-BE49-F238E27FC236}">
              <a16:creationId xmlns:a16="http://schemas.microsoft.com/office/drawing/2014/main" id="{00000000-0008-0000-0300-0000C8010000}"/>
            </a:ext>
          </a:extLst>
        </xdr:cNvPr>
        <xdr:cNvSpPr txBox="1"/>
      </xdr:nvSpPr>
      <xdr:spPr>
        <a:xfrm>
          <a:off x="24102060" y="18402300"/>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662119"/>
    <xdr:sp macro="" textlink="">
      <xdr:nvSpPr>
        <xdr:cNvPr id="457" name="TextBox 456">
          <a:extLst>
            <a:ext uri="{FF2B5EF4-FFF2-40B4-BE49-F238E27FC236}">
              <a16:creationId xmlns:a16="http://schemas.microsoft.com/office/drawing/2014/main" id="{00000000-0008-0000-0300-0000C9010000}"/>
            </a:ext>
          </a:extLst>
        </xdr:cNvPr>
        <xdr:cNvSpPr txBox="1"/>
      </xdr:nvSpPr>
      <xdr:spPr>
        <a:xfrm>
          <a:off x="24102060" y="22974300"/>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458" name="TextBox 457">
          <a:extLst>
            <a:ext uri="{FF2B5EF4-FFF2-40B4-BE49-F238E27FC236}">
              <a16:creationId xmlns:a16="http://schemas.microsoft.com/office/drawing/2014/main" id="{00000000-0008-0000-0300-0000CA010000}"/>
            </a:ext>
          </a:extLst>
        </xdr:cNvPr>
        <xdr:cNvSpPr txBox="1"/>
      </xdr:nvSpPr>
      <xdr:spPr>
        <a:xfrm>
          <a:off x="24102060" y="2297430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731221"/>
    <xdr:sp macro="" textlink="">
      <xdr:nvSpPr>
        <xdr:cNvPr id="459" name="TextBox 458">
          <a:extLst>
            <a:ext uri="{FF2B5EF4-FFF2-40B4-BE49-F238E27FC236}">
              <a16:creationId xmlns:a16="http://schemas.microsoft.com/office/drawing/2014/main" id="{00000000-0008-0000-0300-0000CB010000}"/>
            </a:ext>
          </a:extLst>
        </xdr:cNvPr>
        <xdr:cNvSpPr txBox="1"/>
      </xdr:nvSpPr>
      <xdr:spPr>
        <a:xfrm>
          <a:off x="24102060" y="18402300"/>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460" name="TextBox 459">
          <a:extLst>
            <a:ext uri="{FF2B5EF4-FFF2-40B4-BE49-F238E27FC236}">
              <a16:creationId xmlns:a16="http://schemas.microsoft.com/office/drawing/2014/main" id="{00000000-0008-0000-0300-0000CC010000}"/>
            </a:ext>
          </a:extLst>
        </xdr:cNvPr>
        <xdr:cNvSpPr txBox="1"/>
      </xdr:nvSpPr>
      <xdr:spPr>
        <a:xfrm>
          <a:off x="24102060" y="2297430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4833" cy="1662119"/>
    <xdr:sp macro="" textlink="">
      <xdr:nvSpPr>
        <xdr:cNvPr id="461" name="TextBox 460">
          <a:extLst>
            <a:ext uri="{FF2B5EF4-FFF2-40B4-BE49-F238E27FC236}">
              <a16:creationId xmlns:a16="http://schemas.microsoft.com/office/drawing/2014/main" id="{00000000-0008-0000-0300-0000CD010000}"/>
            </a:ext>
          </a:extLst>
        </xdr:cNvPr>
        <xdr:cNvSpPr txBox="1"/>
      </xdr:nvSpPr>
      <xdr:spPr>
        <a:xfrm>
          <a:off x="24102060" y="22974300"/>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731221"/>
    <xdr:sp macro="" textlink="">
      <xdr:nvSpPr>
        <xdr:cNvPr id="462" name="TextBox 461">
          <a:extLst>
            <a:ext uri="{FF2B5EF4-FFF2-40B4-BE49-F238E27FC236}">
              <a16:creationId xmlns:a16="http://schemas.microsoft.com/office/drawing/2014/main" id="{00000000-0008-0000-0300-0000CE010000}"/>
            </a:ext>
          </a:extLst>
        </xdr:cNvPr>
        <xdr:cNvSpPr txBox="1"/>
      </xdr:nvSpPr>
      <xdr:spPr>
        <a:xfrm>
          <a:off x="24102060" y="18402300"/>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119"/>
    <xdr:sp macro="" textlink="">
      <xdr:nvSpPr>
        <xdr:cNvPr id="463" name="TextBox 462">
          <a:extLst>
            <a:ext uri="{FF2B5EF4-FFF2-40B4-BE49-F238E27FC236}">
              <a16:creationId xmlns:a16="http://schemas.microsoft.com/office/drawing/2014/main" id="{00000000-0008-0000-0300-0000CF010000}"/>
            </a:ext>
          </a:extLst>
        </xdr:cNvPr>
        <xdr:cNvSpPr txBox="1"/>
      </xdr:nvSpPr>
      <xdr:spPr>
        <a:xfrm>
          <a:off x="24102060" y="22974300"/>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877" cy="1662343"/>
    <xdr:sp macro="" textlink="">
      <xdr:nvSpPr>
        <xdr:cNvPr id="464" name="TextBox 463">
          <a:extLst>
            <a:ext uri="{FF2B5EF4-FFF2-40B4-BE49-F238E27FC236}">
              <a16:creationId xmlns:a16="http://schemas.microsoft.com/office/drawing/2014/main" id="{00000000-0008-0000-0300-0000D0010000}"/>
            </a:ext>
          </a:extLst>
        </xdr:cNvPr>
        <xdr:cNvSpPr txBox="1"/>
      </xdr:nvSpPr>
      <xdr:spPr>
        <a:xfrm>
          <a:off x="24102060" y="26753820"/>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343"/>
    <xdr:sp macro="" textlink="">
      <xdr:nvSpPr>
        <xdr:cNvPr id="465" name="TextBox 464">
          <a:extLst>
            <a:ext uri="{FF2B5EF4-FFF2-40B4-BE49-F238E27FC236}">
              <a16:creationId xmlns:a16="http://schemas.microsoft.com/office/drawing/2014/main" id="{00000000-0008-0000-0300-0000D1010000}"/>
            </a:ext>
          </a:extLst>
        </xdr:cNvPr>
        <xdr:cNvSpPr txBox="1"/>
      </xdr:nvSpPr>
      <xdr:spPr>
        <a:xfrm>
          <a:off x="24102060" y="26753820"/>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343"/>
    <xdr:sp macro="" textlink="">
      <xdr:nvSpPr>
        <xdr:cNvPr id="466" name="TextBox 465">
          <a:extLst>
            <a:ext uri="{FF2B5EF4-FFF2-40B4-BE49-F238E27FC236}">
              <a16:creationId xmlns:a16="http://schemas.microsoft.com/office/drawing/2014/main" id="{00000000-0008-0000-0300-0000D2010000}"/>
            </a:ext>
          </a:extLst>
        </xdr:cNvPr>
        <xdr:cNvSpPr txBox="1"/>
      </xdr:nvSpPr>
      <xdr:spPr>
        <a:xfrm>
          <a:off x="24102060" y="26753820"/>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934"/>
    <xdr:sp macro="" textlink="">
      <xdr:nvSpPr>
        <xdr:cNvPr id="467" name="TextBox 466">
          <a:extLst>
            <a:ext uri="{FF2B5EF4-FFF2-40B4-BE49-F238E27FC236}">
              <a16:creationId xmlns:a16="http://schemas.microsoft.com/office/drawing/2014/main" id="{00000000-0008-0000-0300-0000D3010000}"/>
            </a:ext>
          </a:extLst>
        </xdr:cNvPr>
        <xdr:cNvSpPr txBox="1"/>
      </xdr:nvSpPr>
      <xdr:spPr>
        <a:xfrm>
          <a:off x="24102060" y="22974300"/>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742770"/>
    <xdr:sp macro="" textlink="">
      <xdr:nvSpPr>
        <xdr:cNvPr id="468" name="TextBox 467">
          <a:extLst>
            <a:ext uri="{FF2B5EF4-FFF2-40B4-BE49-F238E27FC236}">
              <a16:creationId xmlns:a16="http://schemas.microsoft.com/office/drawing/2014/main" id="{00000000-0008-0000-0300-0000D4010000}"/>
            </a:ext>
          </a:extLst>
        </xdr:cNvPr>
        <xdr:cNvSpPr txBox="1"/>
      </xdr:nvSpPr>
      <xdr:spPr>
        <a:xfrm>
          <a:off x="24102060" y="18402300"/>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831"/>
    <xdr:sp macro="" textlink="">
      <xdr:nvSpPr>
        <xdr:cNvPr id="469" name="TextBox 468">
          <a:extLst>
            <a:ext uri="{FF2B5EF4-FFF2-40B4-BE49-F238E27FC236}">
              <a16:creationId xmlns:a16="http://schemas.microsoft.com/office/drawing/2014/main" id="{00000000-0008-0000-0300-0000D5010000}"/>
            </a:ext>
          </a:extLst>
        </xdr:cNvPr>
        <xdr:cNvSpPr txBox="1"/>
      </xdr:nvSpPr>
      <xdr:spPr>
        <a:xfrm>
          <a:off x="24102060" y="22974300"/>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5023"/>
    <xdr:sp macro="" textlink="">
      <xdr:nvSpPr>
        <xdr:cNvPr id="470" name="TextBox 469">
          <a:extLst>
            <a:ext uri="{FF2B5EF4-FFF2-40B4-BE49-F238E27FC236}">
              <a16:creationId xmlns:a16="http://schemas.microsoft.com/office/drawing/2014/main" id="{00000000-0008-0000-0300-0000D6010000}"/>
            </a:ext>
          </a:extLst>
        </xdr:cNvPr>
        <xdr:cNvSpPr txBox="1"/>
      </xdr:nvSpPr>
      <xdr:spPr>
        <a:xfrm>
          <a:off x="24102060" y="22974300"/>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717993"/>
    <xdr:sp macro="" textlink="">
      <xdr:nvSpPr>
        <xdr:cNvPr id="471" name="TextBox 470">
          <a:extLst>
            <a:ext uri="{FF2B5EF4-FFF2-40B4-BE49-F238E27FC236}">
              <a16:creationId xmlns:a16="http://schemas.microsoft.com/office/drawing/2014/main" id="{00000000-0008-0000-0300-0000D7010000}"/>
            </a:ext>
          </a:extLst>
        </xdr:cNvPr>
        <xdr:cNvSpPr txBox="1"/>
      </xdr:nvSpPr>
      <xdr:spPr>
        <a:xfrm>
          <a:off x="24102060" y="18402300"/>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4935"/>
    <xdr:sp macro="" textlink="">
      <xdr:nvSpPr>
        <xdr:cNvPr id="472" name="TextBox 471">
          <a:extLst>
            <a:ext uri="{FF2B5EF4-FFF2-40B4-BE49-F238E27FC236}">
              <a16:creationId xmlns:a16="http://schemas.microsoft.com/office/drawing/2014/main" id="{00000000-0008-0000-0300-0000D8010000}"/>
            </a:ext>
          </a:extLst>
        </xdr:cNvPr>
        <xdr:cNvSpPr txBox="1"/>
      </xdr:nvSpPr>
      <xdr:spPr>
        <a:xfrm>
          <a:off x="24102060" y="22974300"/>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4773" cy="1434935"/>
    <xdr:sp macro="" textlink="">
      <xdr:nvSpPr>
        <xdr:cNvPr id="473" name="TextBox 472">
          <a:extLst>
            <a:ext uri="{FF2B5EF4-FFF2-40B4-BE49-F238E27FC236}">
              <a16:creationId xmlns:a16="http://schemas.microsoft.com/office/drawing/2014/main" id="{00000000-0008-0000-0300-0000D9010000}"/>
            </a:ext>
          </a:extLst>
        </xdr:cNvPr>
        <xdr:cNvSpPr txBox="1"/>
      </xdr:nvSpPr>
      <xdr:spPr>
        <a:xfrm>
          <a:off x="24102060" y="22974300"/>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474" name="TextBox 473">
          <a:extLst>
            <a:ext uri="{FF2B5EF4-FFF2-40B4-BE49-F238E27FC236}">
              <a16:creationId xmlns:a16="http://schemas.microsoft.com/office/drawing/2014/main" id="{00000000-0008-0000-0300-0000DA010000}"/>
            </a:ext>
          </a:extLst>
        </xdr:cNvPr>
        <xdr:cNvSpPr txBox="1"/>
      </xdr:nvSpPr>
      <xdr:spPr>
        <a:xfrm>
          <a:off x="24102060" y="2297430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475" name="TextBox 474">
          <a:extLst>
            <a:ext uri="{FF2B5EF4-FFF2-40B4-BE49-F238E27FC236}">
              <a16:creationId xmlns:a16="http://schemas.microsoft.com/office/drawing/2014/main" id="{00000000-0008-0000-0300-0000DB010000}"/>
            </a:ext>
          </a:extLst>
        </xdr:cNvPr>
        <xdr:cNvSpPr txBox="1"/>
      </xdr:nvSpPr>
      <xdr:spPr>
        <a:xfrm>
          <a:off x="24102060" y="1840230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476" name="TextBox 475">
          <a:extLst>
            <a:ext uri="{FF2B5EF4-FFF2-40B4-BE49-F238E27FC236}">
              <a16:creationId xmlns:a16="http://schemas.microsoft.com/office/drawing/2014/main" id="{00000000-0008-0000-0300-0000DC010000}"/>
            </a:ext>
          </a:extLst>
        </xdr:cNvPr>
        <xdr:cNvSpPr txBox="1"/>
      </xdr:nvSpPr>
      <xdr:spPr>
        <a:xfrm>
          <a:off x="24102060" y="2297430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477" name="TextBox 476">
          <a:extLst>
            <a:ext uri="{FF2B5EF4-FFF2-40B4-BE49-F238E27FC236}">
              <a16:creationId xmlns:a16="http://schemas.microsoft.com/office/drawing/2014/main" id="{00000000-0008-0000-0300-0000DD010000}"/>
            </a:ext>
          </a:extLst>
        </xdr:cNvPr>
        <xdr:cNvSpPr txBox="1"/>
      </xdr:nvSpPr>
      <xdr:spPr>
        <a:xfrm>
          <a:off x="24102060" y="2297430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478" name="TextBox 477">
          <a:extLst>
            <a:ext uri="{FF2B5EF4-FFF2-40B4-BE49-F238E27FC236}">
              <a16:creationId xmlns:a16="http://schemas.microsoft.com/office/drawing/2014/main" id="{00000000-0008-0000-0300-0000DE010000}"/>
            </a:ext>
          </a:extLst>
        </xdr:cNvPr>
        <xdr:cNvSpPr txBox="1"/>
      </xdr:nvSpPr>
      <xdr:spPr>
        <a:xfrm>
          <a:off x="24102060" y="1840230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479" name="TextBox 478">
          <a:extLst>
            <a:ext uri="{FF2B5EF4-FFF2-40B4-BE49-F238E27FC236}">
              <a16:creationId xmlns:a16="http://schemas.microsoft.com/office/drawing/2014/main" id="{00000000-0008-0000-0300-0000DF010000}"/>
            </a:ext>
          </a:extLst>
        </xdr:cNvPr>
        <xdr:cNvSpPr txBox="1"/>
      </xdr:nvSpPr>
      <xdr:spPr>
        <a:xfrm>
          <a:off x="24102060" y="2297430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480" name="TextBox 479">
          <a:extLst>
            <a:ext uri="{FF2B5EF4-FFF2-40B4-BE49-F238E27FC236}">
              <a16:creationId xmlns:a16="http://schemas.microsoft.com/office/drawing/2014/main" id="{00000000-0008-0000-0300-0000E0010000}"/>
            </a:ext>
          </a:extLst>
        </xdr:cNvPr>
        <xdr:cNvSpPr txBox="1"/>
      </xdr:nvSpPr>
      <xdr:spPr>
        <a:xfrm>
          <a:off x="24102060" y="2297430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481" name="TextBox 480">
          <a:extLst>
            <a:ext uri="{FF2B5EF4-FFF2-40B4-BE49-F238E27FC236}">
              <a16:creationId xmlns:a16="http://schemas.microsoft.com/office/drawing/2014/main" id="{00000000-0008-0000-0300-0000E1010000}"/>
            </a:ext>
          </a:extLst>
        </xdr:cNvPr>
        <xdr:cNvSpPr txBox="1"/>
      </xdr:nvSpPr>
      <xdr:spPr>
        <a:xfrm>
          <a:off x="24102060" y="2297430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746347"/>
    <xdr:sp macro="" textlink="">
      <xdr:nvSpPr>
        <xdr:cNvPr id="482" name="TextBox 481">
          <a:extLst>
            <a:ext uri="{FF2B5EF4-FFF2-40B4-BE49-F238E27FC236}">
              <a16:creationId xmlns:a16="http://schemas.microsoft.com/office/drawing/2014/main" id="{00000000-0008-0000-0300-0000E2010000}"/>
            </a:ext>
          </a:extLst>
        </xdr:cNvPr>
        <xdr:cNvSpPr txBox="1"/>
      </xdr:nvSpPr>
      <xdr:spPr>
        <a:xfrm>
          <a:off x="24102060" y="18402300"/>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661857"/>
    <xdr:sp macro="" textlink="">
      <xdr:nvSpPr>
        <xdr:cNvPr id="483" name="TextBox 482">
          <a:extLst>
            <a:ext uri="{FF2B5EF4-FFF2-40B4-BE49-F238E27FC236}">
              <a16:creationId xmlns:a16="http://schemas.microsoft.com/office/drawing/2014/main" id="{00000000-0008-0000-0300-0000E3010000}"/>
            </a:ext>
          </a:extLst>
        </xdr:cNvPr>
        <xdr:cNvSpPr txBox="1"/>
      </xdr:nvSpPr>
      <xdr:spPr>
        <a:xfrm>
          <a:off x="24102060" y="22974300"/>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178" cy="1661857"/>
    <xdr:sp macro="" textlink="">
      <xdr:nvSpPr>
        <xdr:cNvPr id="484" name="TextBox 483">
          <a:extLst>
            <a:ext uri="{FF2B5EF4-FFF2-40B4-BE49-F238E27FC236}">
              <a16:creationId xmlns:a16="http://schemas.microsoft.com/office/drawing/2014/main" id="{00000000-0008-0000-0300-0000E4010000}"/>
            </a:ext>
          </a:extLst>
        </xdr:cNvPr>
        <xdr:cNvSpPr txBox="1"/>
      </xdr:nvSpPr>
      <xdr:spPr>
        <a:xfrm>
          <a:off x="24102060" y="22974300"/>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9642" cy="1678802"/>
    <xdr:sp macro="" textlink="">
      <xdr:nvSpPr>
        <xdr:cNvPr id="485" name="TextBox 484">
          <a:extLst>
            <a:ext uri="{FF2B5EF4-FFF2-40B4-BE49-F238E27FC236}">
              <a16:creationId xmlns:a16="http://schemas.microsoft.com/office/drawing/2014/main" id="{00000000-0008-0000-0300-0000E5010000}"/>
            </a:ext>
          </a:extLst>
        </xdr:cNvPr>
        <xdr:cNvSpPr txBox="1"/>
      </xdr:nvSpPr>
      <xdr:spPr>
        <a:xfrm>
          <a:off x="24102060" y="26753820"/>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419"/>
    <xdr:sp macro="" textlink="">
      <xdr:nvSpPr>
        <xdr:cNvPr id="486" name="TextBox 485">
          <a:extLst>
            <a:ext uri="{FF2B5EF4-FFF2-40B4-BE49-F238E27FC236}">
              <a16:creationId xmlns:a16="http://schemas.microsoft.com/office/drawing/2014/main" id="{00000000-0008-0000-0300-0000E6010000}"/>
            </a:ext>
          </a:extLst>
        </xdr:cNvPr>
        <xdr:cNvSpPr txBox="1"/>
      </xdr:nvSpPr>
      <xdr:spPr>
        <a:xfrm>
          <a:off x="24102060" y="22974300"/>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759058"/>
    <xdr:sp macro="" textlink="">
      <xdr:nvSpPr>
        <xdr:cNvPr id="487" name="TextBox 486">
          <a:extLst>
            <a:ext uri="{FF2B5EF4-FFF2-40B4-BE49-F238E27FC236}">
              <a16:creationId xmlns:a16="http://schemas.microsoft.com/office/drawing/2014/main" id="{00000000-0008-0000-0300-0000E7010000}"/>
            </a:ext>
          </a:extLst>
        </xdr:cNvPr>
        <xdr:cNvSpPr txBox="1"/>
      </xdr:nvSpPr>
      <xdr:spPr>
        <a:xfrm>
          <a:off x="24102060" y="18402300"/>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316"/>
    <xdr:sp macro="" textlink="">
      <xdr:nvSpPr>
        <xdr:cNvPr id="488" name="TextBox 487">
          <a:extLst>
            <a:ext uri="{FF2B5EF4-FFF2-40B4-BE49-F238E27FC236}">
              <a16:creationId xmlns:a16="http://schemas.microsoft.com/office/drawing/2014/main" id="{00000000-0008-0000-0300-0000E8010000}"/>
            </a:ext>
          </a:extLst>
        </xdr:cNvPr>
        <xdr:cNvSpPr txBox="1"/>
      </xdr:nvSpPr>
      <xdr:spPr>
        <a:xfrm>
          <a:off x="24102060" y="22974300"/>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21" cy="1650316"/>
    <xdr:sp macro="" textlink="">
      <xdr:nvSpPr>
        <xdr:cNvPr id="489" name="TextBox 488">
          <a:extLst>
            <a:ext uri="{FF2B5EF4-FFF2-40B4-BE49-F238E27FC236}">
              <a16:creationId xmlns:a16="http://schemas.microsoft.com/office/drawing/2014/main" id="{00000000-0008-0000-0300-0000E9010000}"/>
            </a:ext>
          </a:extLst>
        </xdr:cNvPr>
        <xdr:cNvSpPr txBox="1"/>
      </xdr:nvSpPr>
      <xdr:spPr>
        <a:xfrm>
          <a:off x="24102060" y="22974300"/>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490" name="TextBox 489">
          <a:extLst>
            <a:ext uri="{FF2B5EF4-FFF2-40B4-BE49-F238E27FC236}">
              <a16:creationId xmlns:a16="http://schemas.microsoft.com/office/drawing/2014/main" id="{00000000-0008-0000-0300-0000EA010000}"/>
            </a:ext>
          </a:extLst>
        </xdr:cNvPr>
        <xdr:cNvSpPr txBox="1"/>
      </xdr:nvSpPr>
      <xdr:spPr>
        <a:xfrm>
          <a:off x="24102060" y="2297430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491" name="TextBox 490">
          <a:extLst>
            <a:ext uri="{FF2B5EF4-FFF2-40B4-BE49-F238E27FC236}">
              <a16:creationId xmlns:a16="http://schemas.microsoft.com/office/drawing/2014/main" id="{00000000-0008-0000-0300-0000EB010000}"/>
            </a:ext>
          </a:extLst>
        </xdr:cNvPr>
        <xdr:cNvSpPr txBox="1"/>
      </xdr:nvSpPr>
      <xdr:spPr>
        <a:xfrm>
          <a:off x="24102060" y="2675382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492" name="TextBox 491">
          <a:extLst>
            <a:ext uri="{FF2B5EF4-FFF2-40B4-BE49-F238E27FC236}">
              <a16:creationId xmlns:a16="http://schemas.microsoft.com/office/drawing/2014/main" id="{00000000-0008-0000-0300-0000EC010000}"/>
            </a:ext>
          </a:extLst>
        </xdr:cNvPr>
        <xdr:cNvSpPr txBox="1"/>
      </xdr:nvSpPr>
      <xdr:spPr>
        <a:xfrm>
          <a:off x="24102060" y="2675382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2021"/>
    <xdr:sp macro="" textlink="">
      <xdr:nvSpPr>
        <xdr:cNvPr id="493" name="TextBox 492">
          <a:extLst>
            <a:ext uri="{FF2B5EF4-FFF2-40B4-BE49-F238E27FC236}">
              <a16:creationId xmlns:a16="http://schemas.microsoft.com/office/drawing/2014/main" id="{00000000-0008-0000-0300-0000ED010000}"/>
            </a:ext>
          </a:extLst>
        </xdr:cNvPr>
        <xdr:cNvSpPr txBox="1"/>
      </xdr:nvSpPr>
      <xdr:spPr>
        <a:xfrm>
          <a:off x="24102060" y="22974300"/>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748948"/>
    <xdr:sp macro="" textlink="">
      <xdr:nvSpPr>
        <xdr:cNvPr id="494" name="TextBox 493">
          <a:extLst>
            <a:ext uri="{FF2B5EF4-FFF2-40B4-BE49-F238E27FC236}">
              <a16:creationId xmlns:a16="http://schemas.microsoft.com/office/drawing/2014/main" id="{00000000-0008-0000-0300-0000EE010000}"/>
            </a:ext>
          </a:extLst>
        </xdr:cNvPr>
        <xdr:cNvSpPr txBox="1"/>
      </xdr:nvSpPr>
      <xdr:spPr>
        <a:xfrm>
          <a:off x="24102060" y="18402300"/>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1918"/>
    <xdr:sp macro="" textlink="">
      <xdr:nvSpPr>
        <xdr:cNvPr id="495" name="TextBox 494">
          <a:extLst>
            <a:ext uri="{FF2B5EF4-FFF2-40B4-BE49-F238E27FC236}">
              <a16:creationId xmlns:a16="http://schemas.microsoft.com/office/drawing/2014/main" id="{00000000-0008-0000-0300-0000EF010000}"/>
            </a:ext>
          </a:extLst>
        </xdr:cNvPr>
        <xdr:cNvSpPr txBox="1"/>
      </xdr:nvSpPr>
      <xdr:spPr>
        <a:xfrm>
          <a:off x="24102060" y="22974300"/>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5265" cy="1661918"/>
    <xdr:sp macro="" textlink="">
      <xdr:nvSpPr>
        <xdr:cNvPr id="496" name="TextBox 495">
          <a:extLst>
            <a:ext uri="{FF2B5EF4-FFF2-40B4-BE49-F238E27FC236}">
              <a16:creationId xmlns:a16="http://schemas.microsoft.com/office/drawing/2014/main" id="{00000000-0008-0000-0300-0000F0010000}"/>
            </a:ext>
          </a:extLst>
        </xdr:cNvPr>
        <xdr:cNvSpPr txBox="1"/>
      </xdr:nvSpPr>
      <xdr:spPr>
        <a:xfrm>
          <a:off x="24102060" y="22974300"/>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945" cy="1661918"/>
    <xdr:sp macro="" textlink="">
      <xdr:nvSpPr>
        <xdr:cNvPr id="497" name="TextBox 496">
          <a:extLst>
            <a:ext uri="{FF2B5EF4-FFF2-40B4-BE49-F238E27FC236}">
              <a16:creationId xmlns:a16="http://schemas.microsoft.com/office/drawing/2014/main" id="{00000000-0008-0000-0300-0000F1010000}"/>
            </a:ext>
          </a:extLst>
        </xdr:cNvPr>
        <xdr:cNvSpPr txBox="1"/>
      </xdr:nvSpPr>
      <xdr:spPr>
        <a:xfrm>
          <a:off x="24102060" y="22974300"/>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2021"/>
    <xdr:sp macro="" textlink="">
      <xdr:nvSpPr>
        <xdr:cNvPr id="498" name="TextBox 497">
          <a:extLst>
            <a:ext uri="{FF2B5EF4-FFF2-40B4-BE49-F238E27FC236}">
              <a16:creationId xmlns:a16="http://schemas.microsoft.com/office/drawing/2014/main" id="{00000000-0008-0000-0300-0000F2010000}"/>
            </a:ext>
          </a:extLst>
        </xdr:cNvPr>
        <xdr:cNvSpPr txBox="1"/>
      </xdr:nvSpPr>
      <xdr:spPr>
        <a:xfrm>
          <a:off x="24102060" y="22974300"/>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748948"/>
    <xdr:sp macro="" textlink="">
      <xdr:nvSpPr>
        <xdr:cNvPr id="499" name="TextBox 498">
          <a:extLst>
            <a:ext uri="{FF2B5EF4-FFF2-40B4-BE49-F238E27FC236}">
              <a16:creationId xmlns:a16="http://schemas.microsoft.com/office/drawing/2014/main" id="{00000000-0008-0000-0300-0000F3010000}"/>
            </a:ext>
          </a:extLst>
        </xdr:cNvPr>
        <xdr:cNvSpPr txBox="1"/>
      </xdr:nvSpPr>
      <xdr:spPr>
        <a:xfrm>
          <a:off x="24102060" y="18402300"/>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1918"/>
    <xdr:sp macro="" textlink="">
      <xdr:nvSpPr>
        <xdr:cNvPr id="500" name="TextBox 499">
          <a:extLst>
            <a:ext uri="{FF2B5EF4-FFF2-40B4-BE49-F238E27FC236}">
              <a16:creationId xmlns:a16="http://schemas.microsoft.com/office/drawing/2014/main" id="{00000000-0008-0000-0300-0000F4010000}"/>
            </a:ext>
          </a:extLst>
        </xdr:cNvPr>
        <xdr:cNvSpPr txBox="1"/>
      </xdr:nvSpPr>
      <xdr:spPr>
        <a:xfrm>
          <a:off x="24102060" y="22974300"/>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501" name="TextBox 500">
          <a:extLst>
            <a:ext uri="{FF2B5EF4-FFF2-40B4-BE49-F238E27FC236}">
              <a16:creationId xmlns:a16="http://schemas.microsoft.com/office/drawing/2014/main" id="{00000000-0008-0000-0300-0000F5010000}"/>
            </a:ext>
          </a:extLst>
        </xdr:cNvPr>
        <xdr:cNvSpPr txBox="1"/>
      </xdr:nvSpPr>
      <xdr:spPr>
        <a:xfrm>
          <a:off x="24102060" y="2297430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746584"/>
    <xdr:sp macro="" textlink="">
      <xdr:nvSpPr>
        <xdr:cNvPr id="502" name="TextBox 501">
          <a:extLst>
            <a:ext uri="{FF2B5EF4-FFF2-40B4-BE49-F238E27FC236}">
              <a16:creationId xmlns:a16="http://schemas.microsoft.com/office/drawing/2014/main" id="{00000000-0008-0000-0300-0000F6010000}"/>
            </a:ext>
          </a:extLst>
        </xdr:cNvPr>
        <xdr:cNvSpPr txBox="1"/>
      </xdr:nvSpPr>
      <xdr:spPr>
        <a:xfrm>
          <a:off x="24102060" y="18402300"/>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661918"/>
    <xdr:sp macro="" textlink="">
      <xdr:nvSpPr>
        <xdr:cNvPr id="503" name="TextBox 502">
          <a:extLst>
            <a:ext uri="{FF2B5EF4-FFF2-40B4-BE49-F238E27FC236}">
              <a16:creationId xmlns:a16="http://schemas.microsoft.com/office/drawing/2014/main" id="{00000000-0008-0000-0300-0000F7010000}"/>
            </a:ext>
          </a:extLst>
        </xdr:cNvPr>
        <xdr:cNvSpPr txBox="1"/>
      </xdr:nvSpPr>
      <xdr:spPr>
        <a:xfrm>
          <a:off x="24102060" y="22974300"/>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00147" cy="1661918"/>
    <xdr:sp macro="" textlink="">
      <xdr:nvSpPr>
        <xdr:cNvPr id="504" name="TextBox 503">
          <a:extLst>
            <a:ext uri="{FF2B5EF4-FFF2-40B4-BE49-F238E27FC236}">
              <a16:creationId xmlns:a16="http://schemas.microsoft.com/office/drawing/2014/main" id="{00000000-0008-0000-0300-0000F8010000}"/>
            </a:ext>
          </a:extLst>
        </xdr:cNvPr>
        <xdr:cNvSpPr txBox="1"/>
      </xdr:nvSpPr>
      <xdr:spPr>
        <a:xfrm>
          <a:off x="24102060" y="22974300"/>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592" cy="1661918"/>
    <xdr:sp macro="" textlink="">
      <xdr:nvSpPr>
        <xdr:cNvPr id="505" name="TextBox 504">
          <a:extLst>
            <a:ext uri="{FF2B5EF4-FFF2-40B4-BE49-F238E27FC236}">
              <a16:creationId xmlns:a16="http://schemas.microsoft.com/office/drawing/2014/main" id="{00000000-0008-0000-0300-0000F9010000}"/>
            </a:ext>
          </a:extLst>
        </xdr:cNvPr>
        <xdr:cNvSpPr txBox="1"/>
      </xdr:nvSpPr>
      <xdr:spPr>
        <a:xfrm>
          <a:off x="24102060" y="22974300"/>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746584"/>
    <xdr:sp macro="" textlink="">
      <xdr:nvSpPr>
        <xdr:cNvPr id="506" name="TextBox 505">
          <a:extLst>
            <a:ext uri="{FF2B5EF4-FFF2-40B4-BE49-F238E27FC236}">
              <a16:creationId xmlns:a16="http://schemas.microsoft.com/office/drawing/2014/main" id="{00000000-0008-0000-0300-0000FA010000}"/>
            </a:ext>
          </a:extLst>
        </xdr:cNvPr>
        <xdr:cNvSpPr txBox="1"/>
      </xdr:nvSpPr>
      <xdr:spPr>
        <a:xfrm>
          <a:off x="24102060" y="18402300"/>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661918"/>
    <xdr:sp macro="" textlink="">
      <xdr:nvSpPr>
        <xdr:cNvPr id="507" name="TextBox 506">
          <a:extLst>
            <a:ext uri="{FF2B5EF4-FFF2-40B4-BE49-F238E27FC236}">
              <a16:creationId xmlns:a16="http://schemas.microsoft.com/office/drawing/2014/main" id="{00000000-0008-0000-0300-0000FB010000}"/>
            </a:ext>
          </a:extLst>
        </xdr:cNvPr>
        <xdr:cNvSpPr txBox="1"/>
      </xdr:nvSpPr>
      <xdr:spPr>
        <a:xfrm>
          <a:off x="24102060" y="22974300"/>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508" name="TextBox 507">
          <a:extLst>
            <a:ext uri="{FF2B5EF4-FFF2-40B4-BE49-F238E27FC236}">
              <a16:creationId xmlns:a16="http://schemas.microsoft.com/office/drawing/2014/main" id="{00000000-0008-0000-0300-0000FC010000}"/>
            </a:ext>
          </a:extLst>
        </xdr:cNvPr>
        <xdr:cNvSpPr txBox="1"/>
      </xdr:nvSpPr>
      <xdr:spPr>
        <a:xfrm>
          <a:off x="24102060" y="2675382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509" name="TextBox 508">
          <a:extLst>
            <a:ext uri="{FF2B5EF4-FFF2-40B4-BE49-F238E27FC236}">
              <a16:creationId xmlns:a16="http://schemas.microsoft.com/office/drawing/2014/main" id="{00000000-0008-0000-0300-0000FD010000}"/>
            </a:ext>
          </a:extLst>
        </xdr:cNvPr>
        <xdr:cNvSpPr txBox="1"/>
      </xdr:nvSpPr>
      <xdr:spPr>
        <a:xfrm>
          <a:off x="24102060" y="2675382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83569"/>
    <xdr:sp macro="" textlink="">
      <xdr:nvSpPr>
        <xdr:cNvPr id="510" name="TextBox 509">
          <a:extLst>
            <a:ext uri="{FF2B5EF4-FFF2-40B4-BE49-F238E27FC236}">
              <a16:creationId xmlns:a16="http://schemas.microsoft.com/office/drawing/2014/main" id="{00000000-0008-0000-0300-0000FE010000}"/>
            </a:ext>
          </a:extLst>
        </xdr:cNvPr>
        <xdr:cNvSpPr txBox="1"/>
      </xdr:nvSpPr>
      <xdr:spPr>
        <a:xfrm>
          <a:off x="24102060" y="22974300"/>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744986"/>
    <xdr:sp macro="" textlink="">
      <xdr:nvSpPr>
        <xdr:cNvPr id="511" name="TextBox 510">
          <a:extLst>
            <a:ext uri="{FF2B5EF4-FFF2-40B4-BE49-F238E27FC236}">
              <a16:creationId xmlns:a16="http://schemas.microsoft.com/office/drawing/2014/main" id="{00000000-0008-0000-0300-0000FF010000}"/>
            </a:ext>
          </a:extLst>
        </xdr:cNvPr>
        <xdr:cNvSpPr txBox="1"/>
      </xdr:nvSpPr>
      <xdr:spPr>
        <a:xfrm>
          <a:off x="24102060" y="18402300"/>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76302"/>
    <xdr:sp macro="" textlink="">
      <xdr:nvSpPr>
        <xdr:cNvPr id="512" name="TextBox 511">
          <a:extLst>
            <a:ext uri="{FF2B5EF4-FFF2-40B4-BE49-F238E27FC236}">
              <a16:creationId xmlns:a16="http://schemas.microsoft.com/office/drawing/2014/main" id="{00000000-0008-0000-0300-000000020000}"/>
            </a:ext>
          </a:extLst>
        </xdr:cNvPr>
        <xdr:cNvSpPr txBox="1"/>
      </xdr:nvSpPr>
      <xdr:spPr>
        <a:xfrm>
          <a:off x="24102060" y="22974300"/>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513" name="TextBox 512">
          <a:extLst>
            <a:ext uri="{FF2B5EF4-FFF2-40B4-BE49-F238E27FC236}">
              <a16:creationId xmlns:a16="http://schemas.microsoft.com/office/drawing/2014/main" id="{00000000-0008-0000-0300-000001020000}"/>
            </a:ext>
          </a:extLst>
        </xdr:cNvPr>
        <xdr:cNvSpPr txBox="1"/>
      </xdr:nvSpPr>
      <xdr:spPr>
        <a:xfrm>
          <a:off x="24102060" y="2297430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42629"/>
    <xdr:sp macro="" textlink="">
      <xdr:nvSpPr>
        <xdr:cNvPr id="514" name="TextBox 513">
          <a:extLst>
            <a:ext uri="{FF2B5EF4-FFF2-40B4-BE49-F238E27FC236}">
              <a16:creationId xmlns:a16="http://schemas.microsoft.com/office/drawing/2014/main" id="{00000000-0008-0000-0300-000002020000}"/>
            </a:ext>
          </a:extLst>
        </xdr:cNvPr>
        <xdr:cNvSpPr txBox="1"/>
      </xdr:nvSpPr>
      <xdr:spPr>
        <a:xfrm>
          <a:off x="24102060" y="18402300"/>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676302"/>
    <xdr:sp macro="" textlink="">
      <xdr:nvSpPr>
        <xdr:cNvPr id="515" name="TextBox 514">
          <a:extLst>
            <a:ext uri="{FF2B5EF4-FFF2-40B4-BE49-F238E27FC236}">
              <a16:creationId xmlns:a16="http://schemas.microsoft.com/office/drawing/2014/main" id="{00000000-0008-0000-0300-000003020000}"/>
            </a:ext>
          </a:extLst>
        </xdr:cNvPr>
        <xdr:cNvSpPr txBox="1"/>
      </xdr:nvSpPr>
      <xdr:spPr>
        <a:xfrm>
          <a:off x="24102060" y="22974300"/>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516" name="TextBox 515">
          <a:extLst>
            <a:ext uri="{FF2B5EF4-FFF2-40B4-BE49-F238E27FC236}">
              <a16:creationId xmlns:a16="http://schemas.microsoft.com/office/drawing/2014/main" id="{00000000-0008-0000-0300-000004020000}"/>
            </a:ext>
          </a:extLst>
        </xdr:cNvPr>
        <xdr:cNvSpPr txBox="1"/>
      </xdr:nvSpPr>
      <xdr:spPr>
        <a:xfrm>
          <a:off x="24102060" y="2297430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517" name="TextBox 516">
          <a:extLst>
            <a:ext uri="{FF2B5EF4-FFF2-40B4-BE49-F238E27FC236}">
              <a16:creationId xmlns:a16="http://schemas.microsoft.com/office/drawing/2014/main" id="{00000000-0008-0000-0300-000005020000}"/>
            </a:ext>
          </a:extLst>
        </xdr:cNvPr>
        <xdr:cNvSpPr txBox="1"/>
      </xdr:nvSpPr>
      <xdr:spPr>
        <a:xfrm>
          <a:off x="24102060" y="18402300"/>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518" name="TextBox 517">
          <a:extLst>
            <a:ext uri="{FF2B5EF4-FFF2-40B4-BE49-F238E27FC236}">
              <a16:creationId xmlns:a16="http://schemas.microsoft.com/office/drawing/2014/main" id="{00000000-0008-0000-0300-000006020000}"/>
            </a:ext>
          </a:extLst>
        </xdr:cNvPr>
        <xdr:cNvSpPr txBox="1"/>
      </xdr:nvSpPr>
      <xdr:spPr>
        <a:xfrm>
          <a:off x="24102060" y="2297430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1363" cy="1676302"/>
    <xdr:sp macro="" textlink="">
      <xdr:nvSpPr>
        <xdr:cNvPr id="519" name="TextBox 518">
          <a:extLst>
            <a:ext uri="{FF2B5EF4-FFF2-40B4-BE49-F238E27FC236}">
              <a16:creationId xmlns:a16="http://schemas.microsoft.com/office/drawing/2014/main" id="{00000000-0008-0000-0300-000007020000}"/>
            </a:ext>
          </a:extLst>
        </xdr:cNvPr>
        <xdr:cNvSpPr txBox="1"/>
      </xdr:nvSpPr>
      <xdr:spPr>
        <a:xfrm>
          <a:off x="24102060" y="22974300"/>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445197" cy="1676302"/>
    <xdr:sp macro="" textlink="">
      <xdr:nvSpPr>
        <xdr:cNvPr id="520" name="TextBox 519">
          <a:extLst>
            <a:ext uri="{FF2B5EF4-FFF2-40B4-BE49-F238E27FC236}">
              <a16:creationId xmlns:a16="http://schemas.microsoft.com/office/drawing/2014/main" id="{00000000-0008-0000-0300-000008020000}"/>
            </a:ext>
          </a:extLst>
        </xdr:cNvPr>
        <xdr:cNvSpPr txBox="1"/>
      </xdr:nvSpPr>
      <xdr:spPr>
        <a:xfrm>
          <a:off x="24102060" y="22974300"/>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521" name="TextBox 520">
          <a:extLst>
            <a:ext uri="{FF2B5EF4-FFF2-40B4-BE49-F238E27FC236}">
              <a16:creationId xmlns:a16="http://schemas.microsoft.com/office/drawing/2014/main" id="{00000000-0008-0000-0300-000009020000}"/>
            </a:ext>
          </a:extLst>
        </xdr:cNvPr>
        <xdr:cNvSpPr txBox="1"/>
      </xdr:nvSpPr>
      <xdr:spPr>
        <a:xfrm>
          <a:off x="24102060" y="18402300"/>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522" name="TextBox 521">
          <a:extLst>
            <a:ext uri="{FF2B5EF4-FFF2-40B4-BE49-F238E27FC236}">
              <a16:creationId xmlns:a16="http://schemas.microsoft.com/office/drawing/2014/main" id="{00000000-0008-0000-0300-00000A020000}"/>
            </a:ext>
          </a:extLst>
        </xdr:cNvPr>
        <xdr:cNvSpPr txBox="1"/>
      </xdr:nvSpPr>
      <xdr:spPr>
        <a:xfrm>
          <a:off x="24102060" y="2297430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76039"/>
    <xdr:sp macro="" textlink="">
      <xdr:nvSpPr>
        <xdr:cNvPr id="523" name="TextBox 522">
          <a:extLst>
            <a:ext uri="{FF2B5EF4-FFF2-40B4-BE49-F238E27FC236}">
              <a16:creationId xmlns:a16="http://schemas.microsoft.com/office/drawing/2014/main" id="{00000000-0008-0000-0300-00000B020000}"/>
            </a:ext>
          </a:extLst>
        </xdr:cNvPr>
        <xdr:cNvSpPr txBox="1"/>
      </xdr:nvSpPr>
      <xdr:spPr>
        <a:xfrm>
          <a:off x="24102060" y="26753820"/>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524" name="TextBox 523">
          <a:extLst>
            <a:ext uri="{FF2B5EF4-FFF2-40B4-BE49-F238E27FC236}">
              <a16:creationId xmlns:a16="http://schemas.microsoft.com/office/drawing/2014/main" id="{00000000-0008-0000-0300-00000C020000}"/>
            </a:ext>
          </a:extLst>
        </xdr:cNvPr>
        <xdr:cNvSpPr txBox="1"/>
      </xdr:nvSpPr>
      <xdr:spPr>
        <a:xfrm>
          <a:off x="24102060" y="2675382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525" name="TextBox 524">
          <a:extLst>
            <a:ext uri="{FF2B5EF4-FFF2-40B4-BE49-F238E27FC236}">
              <a16:creationId xmlns:a16="http://schemas.microsoft.com/office/drawing/2014/main" id="{00000000-0008-0000-0300-00000D020000}"/>
            </a:ext>
          </a:extLst>
        </xdr:cNvPr>
        <xdr:cNvSpPr txBox="1"/>
      </xdr:nvSpPr>
      <xdr:spPr>
        <a:xfrm>
          <a:off x="24102060" y="2675382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620421"/>
    <xdr:sp macro="" textlink="">
      <xdr:nvSpPr>
        <xdr:cNvPr id="526" name="TextBox 525">
          <a:extLst>
            <a:ext uri="{FF2B5EF4-FFF2-40B4-BE49-F238E27FC236}">
              <a16:creationId xmlns:a16="http://schemas.microsoft.com/office/drawing/2014/main" id="{00000000-0008-0000-0300-00000E020000}"/>
            </a:ext>
          </a:extLst>
        </xdr:cNvPr>
        <xdr:cNvSpPr txBox="1"/>
      </xdr:nvSpPr>
      <xdr:spPr>
        <a:xfrm>
          <a:off x="24102060" y="22974300"/>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842257"/>
    <xdr:sp macro="" textlink="">
      <xdr:nvSpPr>
        <xdr:cNvPr id="527" name="TextBox 526">
          <a:extLst>
            <a:ext uri="{FF2B5EF4-FFF2-40B4-BE49-F238E27FC236}">
              <a16:creationId xmlns:a16="http://schemas.microsoft.com/office/drawing/2014/main" id="{00000000-0008-0000-0300-00000F020000}"/>
            </a:ext>
          </a:extLst>
        </xdr:cNvPr>
        <xdr:cNvSpPr txBox="1"/>
      </xdr:nvSpPr>
      <xdr:spPr>
        <a:xfrm>
          <a:off x="24102060" y="18402300"/>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587258"/>
    <xdr:sp macro="" textlink="">
      <xdr:nvSpPr>
        <xdr:cNvPr id="528" name="TextBox 527">
          <a:extLst>
            <a:ext uri="{FF2B5EF4-FFF2-40B4-BE49-F238E27FC236}">
              <a16:creationId xmlns:a16="http://schemas.microsoft.com/office/drawing/2014/main" id="{00000000-0008-0000-0300-000010020000}"/>
            </a:ext>
          </a:extLst>
        </xdr:cNvPr>
        <xdr:cNvSpPr txBox="1"/>
      </xdr:nvSpPr>
      <xdr:spPr>
        <a:xfrm>
          <a:off x="24102060" y="22974300"/>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932" cy="1587258"/>
    <xdr:sp macro="" textlink="">
      <xdr:nvSpPr>
        <xdr:cNvPr id="529" name="TextBox 528">
          <a:extLst>
            <a:ext uri="{FF2B5EF4-FFF2-40B4-BE49-F238E27FC236}">
              <a16:creationId xmlns:a16="http://schemas.microsoft.com/office/drawing/2014/main" id="{00000000-0008-0000-0300-000011020000}"/>
            </a:ext>
          </a:extLst>
        </xdr:cNvPr>
        <xdr:cNvSpPr txBox="1"/>
      </xdr:nvSpPr>
      <xdr:spPr>
        <a:xfrm>
          <a:off x="24102060" y="22974300"/>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530" name="TextBox 529">
          <a:extLst>
            <a:ext uri="{FF2B5EF4-FFF2-40B4-BE49-F238E27FC236}">
              <a16:creationId xmlns:a16="http://schemas.microsoft.com/office/drawing/2014/main" id="{00000000-0008-0000-0300-000012020000}"/>
            </a:ext>
          </a:extLst>
        </xdr:cNvPr>
        <xdr:cNvSpPr txBox="1"/>
      </xdr:nvSpPr>
      <xdr:spPr>
        <a:xfrm>
          <a:off x="24102060" y="1840230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531" name="TextBox 530">
          <a:extLst>
            <a:ext uri="{FF2B5EF4-FFF2-40B4-BE49-F238E27FC236}">
              <a16:creationId xmlns:a16="http://schemas.microsoft.com/office/drawing/2014/main" id="{00000000-0008-0000-0300-000013020000}"/>
            </a:ext>
          </a:extLst>
        </xdr:cNvPr>
        <xdr:cNvSpPr txBox="1"/>
      </xdr:nvSpPr>
      <xdr:spPr>
        <a:xfrm>
          <a:off x="24102060" y="2297430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593" cy="1587258"/>
    <xdr:sp macro="" textlink="">
      <xdr:nvSpPr>
        <xdr:cNvPr id="532" name="TextBox 531">
          <a:extLst>
            <a:ext uri="{FF2B5EF4-FFF2-40B4-BE49-F238E27FC236}">
              <a16:creationId xmlns:a16="http://schemas.microsoft.com/office/drawing/2014/main" id="{00000000-0008-0000-0300-000014020000}"/>
            </a:ext>
          </a:extLst>
        </xdr:cNvPr>
        <xdr:cNvSpPr txBox="1"/>
      </xdr:nvSpPr>
      <xdr:spPr>
        <a:xfrm>
          <a:off x="24102060" y="22974300"/>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8203" cy="1587258"/>
    <xdr:sp macro="" textlink="">
      <xdr:nvSpPr>
        <xdr:cNvPr id="533" name="TextBox 532">
          <a:extLst>
            <a:ext uri="{FF2B5EF4-FFF2-40B4-BE49-F238E27FC236}">
              <a16:creationId xmlns:a16="http://schemas.microsoft.com/office/drawing/2014/main" id="{00000000-0008-0000-0300-000015020000}"/>
            </a:ext>
          </a:extLst>
        </xdr:cNvPr>
        <xdr:cNvSpPr txBox="1"/>
      </xdr:nvSpPr>
      <xdr:spPr>
        <a:xfrm>
          <a:off x="24102060" y="22974300"/>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534" name="TextBox 533">
          <a:extLst>
            <a:ext uri="{FF2B5EF4-FFF2-40B4-BE49-F238E27FC236}">
              <a16:creationId xmlns:a16="http://schemas.microsoft.com/office/drawing/2014/main" id="{00000000-0008-0000-0300-000016020000}"/>
            </a:ext>
          </a:extLst>
        </xdr:cNvPr>
        <xdr:cNvSpPr txBox="1"/>
      </xdr:nvSpPr>
      <xdr:spPr>
        <a:xfrm>
          <a:off x="24102060" y="1840230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535" name="TextBox 534">
          <a:extLst>
            <a:ext uri="{FF2B5EF4-FFF2-40B4-BE49-F238E27FC236}">
              <a16:creationId xmlns:a16="http://schemas.microsoft.com/office/drawing/2014/main" id="{00000000-0008-0000-0300-000017020000}"/>
            </a:ext>
          </a:extLst>
        </xdr:cNvPr>
        <xdr:cNvSpPr txBox="1"/>
      </xdr:nvSpPr>
      <xdr:spPr>
        <a:xfrm>
          <a:off x="24102060" y="2297430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536" name="TextBox 535">
          <a:extLst>
            <a:ext uri="{FF2B5EF4-FFF2-40B4-BE49-F238E27FC236}">
              <a16:creationId xmlns:a16="http://schemas.microsoft.com/office/drawing/2014/main" id="{00000000-0008-0000-0300-000018020000}"/>
            </a:ext>
          </a:extLst>
        </xdr:cNvPr>
        <xdr:cNvSpPr txBox="1"/>
      </xdr:nvSpPr>
      <xdr:spPr>
        <a:xfrm>
          <a:off x="24102060" y="2675382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537" name="TextBox 536">
          <a:extLst>
            <a:ext uri="{FF2B5EF4-FFF2-40B4-BE49-F238E27FC236}">
              <a16:creationId xmlns:a16="http://schemas.microsoft.com/office/drawing/2014/main" id="{00000000-0008-0000-0300-000019020000}"/>
            </a:ext>
          </a:extLst>
        </xdr:cNvPr>
        <xdr:cNvSpPr txBox="1"/>
      </xdr:nvSpPr>
      <xdr:spPr>
        <a:xfrm>
          <a:off x="24102060" y="2675382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222"/>
    <xdr:sp macro="" textlink="">
      <xdr:nvSpPr>
        <xdr:cNvPr id="538" name="TextBox 537">
          <a:extLst>
            <a:ext uri="{FF2B5EF4-FFF2-40B4-BE49-F238E27FC236}">
              <a16:creationId xmlns:a16="http://schemas.microsoft.com/office/drawing/2014/main" id="{00000000-0008-0000-0300-00001A020000}"/>
            </a:ext>
          </a:extLst>
        </xdr:cNvPr>
        <xdr:cNvSpPr txBox="1"/>
      </xdr:nvSpPr>
      <xdr:spPr>
        <a:xfrm>
          <a:off x="24102060" y="22974300"/>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748771"/>
    <xdr:sp macro="" textlink="">
      <xdr:nvSpPr>
        <xdr:cNvPr id="539" name="TextBox 538">
          <a:extLst>
            <a:ext uri="{FF2B5EF4-FFF2-40B4-BE49-F238E27FC236}">
              <a16:creationId xmlns:a16="http://schemas.microsoft.com/office/drawing/2014/main" id="{00000000-0008-0000-0300-00001B020000}"/>
            </a:ext>
          </a:extLst>
        </xdr:cNvPr>
        <xdr:cNvSpPr txBox="1"/>
      </xdr:nvSpPr>
      <xdr:spPr>
        <a:xfrm>
          <a:off x="24102060" y="18402300"/>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119"/>
    <xdr:sp macro="" textlink="">
      <xdr:nvSpPr>
        <xdr:cNvPr id="540" name="TextBox 539">
          <a:extLst>
            <a:ext uri="{FF2B5EF4-FFF2-40B4-BE49-F238E27FC236}">
              <a16:creationId xmlns:a16="http://schemas.microsoft.com/office/drawing/2014/main" id="{00000000-0008-0000-0300-00001C020000}"/>
            </a:ext>
          </a:extLst>
        </xdr:cNvPr>
        <xdr:cNvSpPr txBox="1"/>
      </xdr:nvSpPr>
      <xdr:spPr>
        <a:xfrm>
          <a:off x="24102060" y="22974300"/>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114" cy="1662119"/>
    <xdr:sp macro="" textlink="">
      <xdr:nvSpPr>
        <xdr:cNvPr id="541" name="TextBox 540">
          <a:extLst>
            <a:ext uri="{FF2B5EF4-FFF2-40B4-BE49-F238E27FC236}">
              <a16:creationId xmlns:a16="http://schemas.microsoft.com/office/drawing/2014/main" id="{00000000-0008-0000-0300-00001D020000}"/>
            </a:ext>
          </a:extLst>
        </xdr:cNvPr>
        <xdr:cNvSpPr txBox="1"/>
      </xdr:nvSpPr>
      <xdr:spPr>
        <a:xfrm>
          <a:off x="24102060" y="22974300"/>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731221"/>
    <xdr:sp macro="" textlink="">
      <xdr:nvSpPr>
        <xdr:cNvPr id="542" name="TextBox 541">
          <a:extLst>
            <a:ext uri="{FF2B5EF4-FFF2-40B4-BE49-F238E27FC236}">
              <a16:creationId xmlns:a16="http://schemas.microsoft.com/office/drawing/2014/main" id="{00000000-0008-0000-0300-00001E020000}"/>
            </a:ext>
          </a:extLst>
        </xdr:cNvPr>
        <xdr:cNvSpPr txBox="1"/>
      </xdr:nvSpPr>
      <xdr:spPr>
        <a:xfrm>
          <a:off x="24102060" y="18402300"/>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662119"/>
    <xdr:sp macro="" textlink="">
      <xdr:nvSpPr>
        <xdr:cNvPr id="543" name="TextBox 542">
          <a:extLst>
            <a:ext uri="{FF2B5EF4-FFF2-40B4-BE49-F238E27FC236}">
              <a16:creationId xmlns:a16="http://schemas.microsoft.com/office/drawing/2014/main" id="{00000000-0008-0000-0300-00001F020000}"/>
            </a:ext>
          </a:extLst>
        </xdr:cNvPr>
        <xdr:cNvSpPr txBox="1"/>
      </xdr:nvSpPr>
      <xdr:spPr>
        <a:xfrm>
          <a:off x="24102060" y="22974300"/>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544" name="TextBox 543">
          <a:extLst>
            <a:ext uri="{FF2B5EF4-FFF2-40B4-BE49-F238E27FC236}">
              <a16:creationId xmlns:a16="http://schemas.microsoft.com/office/drawing/2014/main" id="{00000000-0008-0000-0300-000020020000}"/>
            </a:ext>
          </a:extLst>
        </xdr:cNvPr>
        <xdr:cNvSpPr txBox="1"/>
      </xdr:nvSpPr>
      <xdr:spPr>
        <a:xfrm>
          <a:off x="24102060" y="2297430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731221"/>
    <xdr:sp macro="" textlink="">
      <xdr:nvSpPr>
        <xdr:cNvPr id="545" name="TextBox 544">
          <a:extLst>
            <a:ext uri="{FF2B5EF4-FFF2-40B4-BE49-F238E27FC236}">
              <a16:creationId xmlns:a16="http://schemas.microsoft.com/office/drawing/2014/main" id="{00000000-0008-0000-0300-000021020000}"/>
            </a:ext>
          </a:extLst>
        </xdr:cNvPr>
        <xdr:cNvSpPr txBox="1"/>
      </xdr:nvSpPr>
      <xdr:spPr>
        <a:xfrm>
          <a:off x="24102060" y="18402300"/>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546" name="TextBox 545">
          <a:extLst>
            <a:ext uri="{FF2B5EF4-FFF2-40B4-BE49-F238E27FC236}">
              <a16:creationId xmlns:a16="http://schemas.microsoft.com/office/drawing/2014/main" id="{00000000-0008-0000-0300-000022020000}"/>
            </a:ext>
          </a:extLst>
        </xdr:cNvPr>
        <xdr:cNvSpPr txBox="1"/>
      </xdr:nvSpPr>
      <xdr:spPr>
        <a:xfrm>
          <a:off x="24102060" y="2297430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4833" cy="1662119"/>
    <xdr:sp macro="" textlink="">
      <xdr:nvSpPr>
        <xdr:cNvPr id="547" name="TextBox 546">
          <a:extLst>
            <a:ext uri="{FF2B5EF4-FFF2-40B4-BE49-F238E27FC236}">
              <a16:creationId xmlns:a16="http://schemas.microsoft.com/office/drawing/2014/main" id="{00000000-0008-0000-0300-000023020000}"/>
            </a:ext>
          </a:extLst>
        </xdr:cNvPr>
        <xdr:cNvSpPr txBox="1"/>
      </xdr:nvSpPr>
      <xdr:spPr>
        <a:xfrm>
          <a:off x="24102060" y="22974300"/>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731221"/>
    <xdr:sp macro="" textlink="">
      <xdr:nvSpPr>
        <xdr:cNvPr id="548" name="TextBox 547">
          <a:extLst>
            <a:ext uri="{FF2B5EF4-FFF2-40B4-BE49-F238E27FC236}">
              <a16:creationId xmlns:a16="http://schemas.microsoft.com/office/drawing/2014/main" id="{00000000-0008-0000-0300-000024020000}"/>
            </a:ext>
          </a:extLst>
        </xdr:cNvPr>
        <xdr:cNvSpPr txBox="1"/>
      </xdr:nvSpPr>
      <xdr:spPr>
        <a:xfrm>
          <a:off x="24102060" y="18402300"/>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119"/>
    <xdr:sp macro="" textlink="">
      <xdr:nvSpPr>
        <xdr:cNvPr id="549" name="TextBox 548">
          <a:extLst>
            <a:ext uri="{FF2B5EF4-FFF2-40B4-BE49-F238E27FC236}">
              <a16:creationId xmlns:a16="http://schemas.microsoft.com/office/drawing/2014/main" id="{00000000-0008-0000-0300-000025020000}"/>
            </a:ext>
          </a:extLst>
        </xdr:cNvPr>
        <xdr:cNvSpPr txBox="1"/>
      </xdr:nvSpPr>
      <xdr:spPr>
        <a:xfrm>
          <a:off x="24102060" y="22974300"/>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877" cy="1662343"/>
    <xdr:sp macro="" textlink="">
      <xdr:nvSpPr>
        <xdr:cNvPr id="550" name="TextBox 549">
          <a:extLst>
            <a:ext uri="{FF2B5EF4-FFF2-40B4-BE49-F238E27FC236}">
              <a16:creationId xmlns:a16="http://schemas.microsoft.com/office/drawing/2014/main" id="{00000000-0008-0000-0300-000026020000}"/>
            </a:ext>
          </a:extLst>
        </xdr:cNvPr>
        <xdr:cNvSpPr txBox="1"/>
      </xdr:nvSpPr>
      <xdr:spPr>
        <a:xfrm>
          <a:off x="24102060" y="26753820"/>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343"/>
    <xdr:sp macro="" textlink="">
      <xdr:nvSpPr>
        <xdr:cNvPr id="551" name="TextBox 550">
          <a:extLst>
            <a:ext uri="{FF2B5EF4-FFF2-40B4-BE49-F238E27FC236}">
              <a16:creationId xmlns:a16="http://schemas.microsoft.com/office/drawing/2014/main" id="{00000000-0008-0000-0300-000027020000}"/>
            </a:ext>
          </a:extLst>
        </xdr:cNvPr>
        <xdr:cNvSpPr txBox="1"/>
      </xdr:nvSpPr>
      <xdr:spPr>
        <a:xfrm>
          <a:off x="24102060" y="26753820"/>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343"/>
    <xdr:sp macro="" textlink="">
      <xdr:nvSpPr>
        <xdr:cNvPr id="552" name="TextBox 551">
          <a:extLst>
            <a:ext uri="{FF2B5EF4-FFF2-40B4-BE49-F238E27FC236}">
              <a16:creationId xmlns:a16="http://schemas.microsoft.com/office/drawing/2014/main" id="{00000000-0008-0000-0300-000028020000}"/>
            </a:ext>
          </a:extLst>
        </xdr:cNvPr>
        <xdr:cNvSpPr txBox="1"/>
      </xdr:nvSpPr>
      <xdr:spPr>
        <a:xfrm>
          <a:off x="24102060" y="26753820"/>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934"/>
    <xdr:sp macro="" textlink="">
      <xdr:nvSpPr>
        <xdr:cNvPr id="553" name="TextBox 552">
          <a:extLst>
            <a:ext uri="{FF2B5EF4-FFF2-40B4-BE49-F238E27FC236}">
              <a16:creationId xmlns:a16="http://schemas.microsoft.com/office/drawing/2014/main" id="{00000000-0008-0000-0300-000029020000}"/>
            </a:ext>
          </a:extLst>
        </xdr:cNvPr>
        <xdr:cNvSpPr txBox="1"/>
      </xdr:nvSpPr>
      <xdr:spPr>
        <a:xfrm>
          <a:off x="24102060" y="22974300"/>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742770"/>
    <xdr:sp macro="" textlink="">
      <xdr:nvSpPr>
        <xdr:cNvPr id="554" name="TextBox 553">
          <a:extLst>
            <a:ext uri="{FF2B5EF4-FFF2-40B4-BE49-F238E27FC236}">
              <a16:creationId xmlns:a16="http://schemas.microsoft.com/office/drawing/2014/main" id="{00000000-0008-0000-0300-00002A020000}"/>
            </a:ext>
          </a:extLst>
        </xdr:cNvPr>
        <xdr:cNvSpPr txBox="1"/>
      </xdr:nvSpPr>
      <xdr:spPr>
        <a:xfrm>
          <a:off x="24102060" y="18402300"/>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831"/>
    <xdr:sp macro="" textlink="">
      <xdr:nvSpPr>
        <xdr:cNvPr id="555" name="TextBox 554">
          <a:extLst>
            <a:ext uri="{FF2B5EF4-FFF2-40B4-BE49-F238E27FC236}">
              <a16:creationId xmlns:a16="http://schemas.microsoft.com/office/drawing/2014/main" id="{00000000-0008-0000-0300-00002B020000}"/>
            </a:ext>
          </a:extLst>
        </xdr:cNvPr>
        <xdr:cNvSpPr txBox="1"/>
      </xdr:nvSpPr>
      <xdr:spPr>
        <a:xfrm>
          <a:off x="24102060" y="22974300"/>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5023"/>
    <xdr:sp macro="" textlink="">
      <xdr:nvSpPr>
        <xdr:cNvPr id="556" name="TextBox 555">
          <a:extLst>
            <a:ext uri="{FF2B5EF4-FFF2-40B4-BE49-F238E27FC236}">
              <a16:creationId xmlns:a16="http://schemas.microsoft.com/office/drawing/2014/main" id="{00000000-0008-0000-0300-00002C020000}"/>
            </a:ext>
          </a:extLst>
        </xdr:cNvPr>
        <xdr:cNvSpPr txBox="1"/>
      </xdr:nvSpPr>
      <xdr:spPr>
        <a:xfrm>
          <a:off x="24102060" y="22974300"/>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717993"/>
    <xdr:sp macro="" textlink="">
      <xdr:nvSpPr>
        <xdr:cNvPr id="557" name="TextBox 556">
          <a:extLst>
            <a:ext uri="{FF2B5EF4-FFF2-40B4-BE49-F238E27FC236}">
              <a16:creationId xmlns:a16="http://schemas.microsoft.com/office/drawing/2014/main" id="{00000000-0008-0000-0300-00002D020000}"/>
            </a:ext>
          </a:extLst>
        </xdr:cNvPr>
        <xdr:cNvSpPr txBox="1"/>
      </xdr:nvSpPr>
      <xdr:spPr>
        <a:xfrm>
          <a:off x="24102060" y="18402300"/>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4935"/>
    <xdr:sp macro="" textlink="">
      <xdr:nvSpPr>
        <xdr:cNvPr id="558" name="TextBox 557">
          <a:extLst>
            <a:ext uri="{FF2B5EF4-FFF2-40B4-BE49-F238E27FC236}">
              <a16:creationId xmlns:a16="http://schemas.microsoft.com/office/drawing/2014/main" id="{00000000-0008-0000-0300-00002E020000}"/>
            </a:ext>
          </a:extLst>
        </xdr:cNvPr>
        <xdr:cNvSpPr txBox="1"/>
      </xdr:nvSpPr>
      <xdr:spPr>
        <a:xfrm>
          <a:off x="24102060" y="22974300"/>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4773" cy="1434935"/>
    <xdr:sp macro="" textlink="">
      <xdr:nvSpPr>
        <xdr:cNvPr id="559" name="TextBox 558">
          <a:extLst>
            <a:ext uri="{FF2B5EF4-FFF2-40B4-BE49-F238E27FC236}">
              <a16:creationId xmlns:a16="http://schemas.microsoft.com/office/drawing/2014/main" id="{00000000-0008-0000-0300-00002F020000}"/>
            </a:ext>
          </a:extLst>
        </xdr:cNvPr>
        <xdr:cNvSpPr txBox="1"/>
      </xdr:nvSpPr>
      <xdr:spPr>
        <a:xfrm>
          <a:off x="24102060" y="22974300"/>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560" name="TextBox 559">
          <a:extLst>
            <a:ext uri="{FF2B5EF4-FFF2-40B4-BE49-F238E27FC236}">
              <a16:creationId xmlns:a16="http://schemas.microsoft.com/office/drawing/2014/main" id="{00000000-0008-0000-0300-000030020000}"/>
            </a:ext>
          </a:extLst>
        </xdr:cNvPr>
        <xdr:cNvSpPr txBox="1"/>
      </xdr:nvSpPr>
      <xdr:spPr>
        <a:xfrm>
          <a:off x="24102060" y="2297430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561" name="TextBox 560">
          <a:extLst>
            <a:ext uri="{FF2B5EF4-FFF2-40B4-BE49-F238E27FC236}">
              <a16:creationId xmlns:a16="http://schemas.microsoft.com/office/drawing/2014/main" id="{00000000-0008-0000-0300-000031020000}"/>
            </a:ext>
          </a:extLst>
        </xdr:cNvPr>
        <xdr:cNvSpPr txBox="1"/>
      </xdr:nvSpPr>
      <xdr:spPr>
        <a:xfrm>
          <a:off x="24102060" y="1840230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562" name="TextBox 561">
          <a:extLst>
            <a:ext uri="{FF2B5EF4-FFF2-40B4-BE49-F238E27FC236}">
              <a16:creationId xmlns:a16="http://schemas.microsoft.com/office/drawing/2014/main" id="{00000000-0008-0000-0300-000032020000}"/>
            </a:ext>
          </a:extLst>
        </xdr:cNvPr>
        <xdr:cNvSpPr txBox="1"/>
      </xdr:nvSpPr>
      <xdr:spPr>
        <a:xfrm>
          <a:off x="24102060" y="2297430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563" name="TextBox 562">
          <a:extLst>
            <a:ext uri="{FF2B5EF4-FFF2-40B4-BE49-F238E27FC236}">
              <a16:creationId xmlns:a16="http://schemas.microsoft.com/office/drawing/2014/main" id="{00000000-0008-0000-0300-000033020000}"/>
            </a:ext>
          </a:extLst>
        </xdr:cNvPr>
        <xdr:cNvSpPr txBox="1"/>
      </xdr:nvSpPr>
      <xdr:spPr>
        <a:xfrm>
          <a:off x="24102060" y="2297430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564" name="TextBox 563">
          <a:extLst>
            <a:ext uri="{FF2B5EF4-FFF2-40B4-BE49-F238E27FC236}">
              <a16:creationId xmlns:a16="http://schemas.microsoft.com/office/drawing/2014/main" id="{00000000-0008-0000-0300-000034020000}"/>
            </a:ext>
          </a:extLst>
        </xdr:cNvPr>
        <xdr:cNvSpPr txBox="1"/>
      </xdr:nvSpPr>
      <xdr:spPr>
        <a:xfrm>
          <a:off x="24102060" y="1840230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565" name="TextBox 564">
          <a:extLst>
            <a:ext uri="{FF2B5EF4-FFF2-40B4-BE49-F238E27FC236}">
              <a16:creationId xmlns:a16="http://schemas.microsoft.com/office/drawing/2014/main" id="{00000000-0008-0000-0300-000035020000}"/>
            </a:ext>
          </a:extLst>
        </xdr:cNvPr>
        <xdr:cNvSpPr txBox="1"/>
      </xdr:nvSpPr>
      <xdr:spPr>
        <a:xfrm>
          <a:off x="24102060" y="2297430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566" name="TextBox 565">
          <a:extLst>
            <a:ext uri="{FF2B5EF4-FFF2-40B4-BE49-F238E27FC236}">
              <a16:creationId xmlns:a16="http://schemas.microsoft.com/office/drawing/2014/main" id="{00000000-0008-0000-0300-000036020000}"/>
            </a:ext>
          </a:extLst>
        </xdr:cNvPr>
        <xdr:cNvSpPr txBox="1"/>
      </xdr:nvSpPr>
      <xdr:spPr>
        <a:xfrm>
          <a:off x="24102060" y="2297430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567" name="TextBox 566">
          <a:extLst>
            <a:ext uri="{FF2B5EF4-FFF2-40B4-BE49-F238E27FC236}">
              <a16:creationId xmlns:a16="http://schemas.microsoft.com/office/drawing/2014/main" id="{00000000-0008-0000-0300-000037020000}"/>
            </a:ext>
          </a:extLst>
        </xdr:cNvPr>
        <xdr:cNvSpPr txBox="1"/>
      </xdr:nvSpPr>
      <xdr:spPr>
        <a:xfrm>
          <a:off x="24102060" y="2297430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746347"/>
    <xdr:sp macro="" textlink="">
      <xdr:nvSpPr>
        <xdr:cNvPr id="568" name="TextBox 567">
          <a:extLst>
            <a:ext uri="{FF2B5EF4-FFF2-40B4-BE49-F238E27FC236}">
              <a16:creationId xmlns:a16="http://schemas.microsoft.com/office/drawing/2014/main" id="{00000000-0008-0000-0300-000038020000}"/>
            </a:ext>
          </a:extLst>
        </xdr:cNvPr>
        <xdr:cNvSpPr txBox="1"/>
      </xdr:nvSpPr>
      <xdr:spPr>
        <a:xfrm>
          <a:off x="24102060" y="18402300"/>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661857"/>
    <xdr:sp macro="" textlink="">
      <xdr:nvSpPr>
        <xdr:cNvPr id="569" name="TextBox 568">
          <a:extLst>
            <a:ext uri="{FF2B5EF4-FFF2-40B4-BE49-F238E27FC236}">
              <a16:creationId xmlns:a16="http://schemas.microsoft.com/office/drawing/2014/main" id="{00000000-0008-0000-0300-000039020000}"/>
            </a:ext>
          </a:extLst>
        </xdr:cNvPr>
        <xdr:cNvSpPr txBox="1"/>
      </xdr:nvSpPr>
      <xdr:spPr>
        <a:xfrm>
          <a:off x="24102060" y="22974300"/>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178" cy="1661857"/>
    <xdr:sp macro="" textlink="">
      <xdr:nvSpPr>
        <xdr:cNvPr id="570" name="TextBox 569">
          <a:extLst>
            <a:ext uri="{FF2B5EF4-FFF2-40B4-BE49-F238E27FC236}">
              <a16:creationId xmlns:a16="http://schemas.microsoft.com/office/drawing/2014/main" id="{00000000-0008-0000-0300-00003A020000}"/>
            </a:ext>
          </a:extLst>
        </xdr:cNvPr>
        <xdr:cNvSpPr txBox="1"/>
      </xdr:nvSpPr>
      <xdr:spPr>
        <a:xfrm>
          <a:off x="24102060" y="22974300"/>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9642" cy="1678802"/>
    <xdr:sp macro="" textlink="">
      <xdr:nvSpPr>
        <xdr:cNvPr id="571" name="TextBox 570">
          <a:extLst>
            <a:ext uri="{FF2B5EF4-FFF2-40B4-BE49-F238E27FC236}">
              <a16:creationId xmlns:a16="http://schemas.microsoft.com/office/drawing/2014/main" id="{00000000-0008-0000-0300-00003B020000}"/>
            </a:ext>
          </a:extLst>
        </xdr:cNvPr>
        <xdr:cNvSpPr txBox="1"/>
      </xdr:nvSpPr>
      <xdr:spPr>
        <a:xfrm>
          <a:off x="24102060" y="26753820"/>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419"/>
    <xdr:sp macro="" textlink="">
      <xdr:nvSpPr>
        <xdr:cNvPr id="572" name="TextBox 571">
          <a:extLst>
            <a:ext uri="{FF2B5EF4-FFF2-40B4-BE49-F238E27FC236}">
              <a16:creationId xmlns:a16="http://schemas.microsoft.com/office/drawing/2014/main" id="{00000000-0008-0000-0300-00003C020000}"/>
            </a:ext>
          </a:extLst>
        </xdr:cNvPr>
        <xdr:cNvSpPr txBox="1"/>
      </xdr:nvSpPr>
      <xdr:spPr>
        <a:xfrm>
          <a:off x="24102060" y="22974300"/>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759058"/>
    <xdr:sp macro="" textlink="">
      <xdr:nvSpPr>
        <xdr:cNvPr id="573" name="TextBox 572">
          <a:extLst>
            <a:ext uri="{FF2B5EF4-FFF2-40B4-BE49-F238E27FC236}">
              <a16:creationId xmlns:a16="http://schemas.microsoft.com/office/drawing/2014/main" id="{00000000-0008-0000-0300-00003D020000}"/>
            </a:ext>
          </a:extLst>
        </xdr:cNvPr>
        <xdr:cNvSpPr txBox="1"/>
      </xdr:nvSpPr>
      <xdr:spPr>
        <a:xfrm>
          <a:off x="24102060" y="18402300"/>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316"/>
    <xdr:sp macro="" textlink="">
      <xdr:nvSpPr>
        <xdr:cNvPr id="574" name="TextBox 573">
          <a:extLst>
            <a:ext uri="{FF2B5EF4-FFF2-40B4-BE49-F238E27FC236}">
              <a16:creationId xmlns:a16="http://schemas.microsoft.com/office/drawing/2014/main" id="{00000000-0008-0000-0300-00003E020000}"/>
            </a:ext>
          </a:extLst>
        </xdr:cNvPr>
        <xdr:cNvSpPr txBox="1"/>
      </xdr:nvSpPr>
      <xdr:spPr>
        <a:xfrm>
          <a:off x="24102060" y="22974300"/>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21" cy="1650316"/>
    <xdr:sp macro="" textlink="">
      <xdr:nvSpPr>
        <xdr:cNvPr id="575" name="TextBox 574">
          <a:extLst>
            <a:ext uri="{FF2B5EF4-FFF2-40B4-BE49-F238E27FC236}">
              <a16:creationId xmlns:a16="http://schemas.microsoft.com/office/drawing/2014/main" id="{00000000-0008-0000-0300-00003F020000}"/>
            </a:ext>
          </a:extLst>
        </xdr:cNvPr>
        <xdr:cNvSpPr txBox="1"/>
      </xdr:nvSpPr>
      <xdr:spPr>
        <a:xfrm>
          <a:off x="24102060" y="22974300"/>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576" name="TextBox 575">
          <a:extLst>
            <a:ext uri="{FF2B5EF4-FFF2-40B4-BE49-F238E27FC236}">
              <a16:creationId xmlns:a16="http://schemas.microsoft.com/office/drawing/2014/main" id="{00000000-0008-0000-0300-000040020000}"/>
            </a:ext>
          </a:extLst>
        </xdr:cNvPr>
        <xdr:cNvSpPr txBox="1"/>
      </xdr:nvSpPr>
      <xdr:spPr>
        <a:xfrm>
          <a:off x="24102060" y="2297430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577" name="TextBox 576">
          <a:extLst>
            <a:ext uri="{FF2B5EF4-FFF2-40B4-BE49-F238E27FC236}">
              <a16:creationId xmlns:a16="http://schemas.microsoft.com/office/drawing/2014/main" id="{00000000-0008-0000-0300-000041020000}"/>
            </a:ext>
          </a:extLst>
        </xdr:cNvPr>
        <xdr:cNvSpPr txBox="1"/>
      </xdr:nvSpPr>
      <xdr:spPr>
        <a:xfrm>
          <a:off x="24102060" y="2675382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578" name="TextBox 577">
          <a:extLst>
            <a:ext uri="{FF2B5EF4-FFF2-40B4-BE49-F238E27FC236}">
              <a16:creationId xmlns:a16="http://schemas.microsoft.com/office/drawing/2014/main" id="{00000000-0008-0000-0300-000042020000}"/>
            </a:ext>
          </a:extLst>
        </xdr:cNvPr>
        <xdr:cNvSpPr txBox="1"/>
      </xdr:nvSpPr>
      <xdr:spPr>
        <a:xfrm>
          <a:off x="24102060" y="2675382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2021"/>
    <xdr:sp macro="" textlink="">
      <xdr:nvSpPr>
        <xdr:cNvPr id="579" name="TextBox 578">
          <a:extLst>
            <a:ext uri="{FF2B5EF4-FFF2-40B4-BE49-F238E27FC236}">
              <a16:creationId xmlns:a16="http://schemas.microsoft.com/office/drawing/2014/main" id="{00000000-0008-0000-0300-000043020000}"/>
            </a:ext>
          </a:extLst>
        </xdr:cNvPr>
        <xdr:cNvSpPr txBox="1"/>
      </xdr:nvSpPr>
      <xdr:spPr>
        <a:xfrm>
          <a:off x="24102060" y="22974300"/>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748948"/>
    <xdr:sp macro="" textlink="">
      <xdr:nvSpPr>
        <xdr:cNvPr id="580" name="TextBox 579">
          <a:extLst>
            <a:ext uri="{FF2B5EF4-FFF2-40B4-BE49-F238E27FC236}">
              <a16:creationId xmlns:a16="http://schemas.microsoft.com/office/drawing/2014/main" id="{00000000-0008-0000-0300-000044020000}"/>
            </a:ext>
          </a:extLst>
        </xdr:cNvPr>
        <xdr:cNvSpPr txBox="1"/>
      </xdr:nvSpPr>
      <xdr:spPr>
        <a:xfrm>
          <a:off x="24102060" y="18402300"/>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1918"/>
    <xdr:sp macro="" textlink="">
      <xdr:nvSpPr>
        <xdr:cNvPr id="581" name="TextBox 580">
          <a:extLst>
            <a:ext uri="{FF2B5EF4-FFF2-40B4-BE49-F238E27FC236}">
              <a16:creationId xmlns:a16="http://schemas.microsoft.com/office/drawing/2014/main" id="{00000000-0008-0000-0300-000045020000}"/>
            </a:ext>
          </a:extLst>
        </xdr:cNvPr>
        <xdr:cNvSpPr txBox="1"/>
      </xdr:nvSpPr>
      <xdr:spPr>
        <a:xfrm>
          <a:off x="24102060" y="22974300"/>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5265" cy="1661918"/>
    <xdr:sp macro="" textlink="">
      <xdr:nvSpPr>
        <xdr:cNvPr id="582" name="TextBox 581">
          <a:extLst>
            <a:ext uri="{FF2B5EF4-FFF2-40B4-BE49-F238E27FC236}">
              <a16:creationId xmlns:a16="http://schemas.microsoft.com/office/drawing/2014/main" id="{00000000-0008-0000-0300-000046020000}"/>
            </a:ext>
          </a:extLst>
        </xdr:cNvPr>
        <xdr:cNvSpPr txBox="1"/>
      </xdr:nvSpPr>
      <xdr:spPr>
        <a:xfrm>
          <a:off x="24102060" y="22974300"/>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945" cy="1661918"/>
    <xdr:sp macro="" textlink="">
      <xdr:nvSpPr>
        <xdr:cNvPr id="583" name="TextBox 582">
          <a:extLst>
            <a:ext uri="{FF2B5EF4-FFF2-40B4-BE49-F238E27FC236}">
              <a16:creationId xmlns:a16="http://schemas.microsoft.com/office/drawing/2014/main" id="{00000000-0008-0000-0300-000047020000}"/>
            </a:ext>
          </a:extLst>
        </xdr:cNvPr>
        <xdr:cNvSpPr txBox="1"/>
      </xdr:nvSpPr>
      <xdr:spPr>
        <a:xfrm>
          <a:off x="24102060" y="22974300"/>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2021"/>
    <xdr:sp macro="" textlink="">
      <xdr:nvSpPr>
        <xdr:cNvPr id="584" name="TextBox 583">
          <a:extLst>
            <a:ext uri="{FF2B5EF4-FFF2-40B4-BE49-F238E27FC236}">
              <a16:creationId xmlns:a16="http://schemas.microsoft.com/office/drawing/2014/main" id="{00000000-0008-0000-0300-000048020000}"/>
            </a:ext>
          </a:extLst>
        </xdr:cNvPr>
        <xdr:cNvSpPr txBox="1"/>
      </xdr:nvSpPr>
      <xdr:spPr>
        <a:xfrm>
          <a:off x="24102060" y="22974300"/>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748948"/>
    <xdr:sp macro="" textlink="">
      <xdr:nvSpPr>
        <xdr:cNvPr id="585" name="TextBox 584">
          <a:extLst>
            <a:ext uri="{FF2B5EF4-FFF2-40B4-BE49-F238E27FC236}">
              <a16:creationId xmlns:a16="http://schemas.microsoft.com/office/drawing/2014/main" id="{00000000-0008-0000-0300-000049020000}"/>
            </a:ext>
          </a:extLst>
        </xdr:cNvPr>
        <xdr:cNvSpPr txBox="1"/>
      </xdr:nvSpPr>
      <xdr:spPr>
        <a:xfrm>
          <a:off x="24102060" y="18402300"/>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1918"/>
    <xdr:sp macro="" textlink="">
      <xdr:nvSpPr>
        <xdr:cNvPr id="586" name="TextBox 585">
          <a:extLst>
            <a:ext uri="{FF2B5EF4-FFF2-40B4-BE49-F238E27FC236}">
              <a16:creationId xmlns:a16="http://schemas.microsoft.com/office/drawing/2014/main" id="{00000000-0008-0000-0300-00004A020000}"/>
            </a:ext>
          </a:extLst>
        </xdr:cNvPr>
        <xdr:cNvSpPr txBox="1"/>
      </xdr:nvSpPr>
      <xdr:spPr>
        <a:xfrm>
          <a:off x="24102060" y="22974300"/>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587" name="TextBox 586">
          <a:extLst>
            <a:ext uri="{FF2B5EF4-FFF2-40B4-BE49-F238E27FC236}">
              <a16:creationId xmlns:a16="http://schemas.microsoft.com/office/drawing/2014/main" id="{00000000-0008-0000-0300-00004B020000}"/>
            </a:ext>
          </a:extLst>
        </xdr:cNvPr>
        <xdr:cNvSpPr txBox="1"/>
      </xdr:nvSpPr>
      <xdr:spPr>
        <a:xfrm>
          <a:off x="24102060" y="2297430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746584"/>
    <xdr:sp macro="" textlink="">
      <xdr:nvSpPr>
        <xdr:cNvPr id="588" name="TextBox 587">
          <a:extLst>
            <a:ext uri="{FF2B5EF4-FFF2-40B4-BE49-F238E27FC236}">
              <a16:creationId xmlns:a16="http://schemas.microsoft.com/office/drawing/2014/main" id="{00000000-0008-0000-0300-00004C020000}"/>
            </a:ext>
          </a:extLst>
        </xdr:cNvPr>
        <xdr:cNvSpPr txBox="1"/>
      </xdr:nvSpPr>
      <xdr:spPr>
        <a:xfrm>
          <a:off x="24102060" y="18402300"/>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661918"/>
    <xdr:sp macro="" textlink="">
      <xdr:nvSpPr>
        <xdr:cNvPr id="589" name="TextBox 588">
          <a:extLst>
            <a:ext uri="{FF2B5EF4-FFF2-40B4-BE49-F238E27FC236}">
              <a16:creationId xmlns:a16="http://schemas.microsoft.com/office/drawing/2014/main" id="{00000000-0008-0000-0300-00004D020000}"/>
            </a:ext>
          </a:extLst>
        </xdr:cNvPr>
        <xdr:cNvSpPr txBox="1"/>
      </xdr:nvSpPr>
      <xdr:spPr>
        <a:xfrm>
          <a:off x="24102060" y="22974300"/>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00147" cy="1661918"/>
    <xdr:sp macro="" textlink="">
      <xdr:nvSpPr>
        <xdr:cNvPr id="590" name="TextBox 589">
          <a:extLst>
            <a:ext uri="{FF2B5EF4-FFF2-40B4-BE49-F238E27FC236}">
              <a16:creationId xmlns:a16="http://schemas.microsoft.com/office/drawing/2014/main" id="{00000000-0008-0000-0300-00004E020000}"/>
            </a:ext>
          </a:extLst>
        </xdr:cNvPr>
        <xdr:cNvSpPr txBox="1"/>
      </xdr:nvSpPr>
      <xdr:spPr>
        <a:xfrm>
          <a:off x="24102060" y="22974300"/>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592" cy="1661918"/>
    <xdr:sp macro="" textlink="">
      <xdr:nvSpPr>
        <xdr:cNvPr id="591" name="TextBox 590">
          <a:extLst>
            <a:ext uri="{FF2B5EF4-FFF2-40B4-BE49-F238E27FC236}">
              <a16:creationId xmlns:a16="http://schemas.microsoft.com/office/drawing/2014/main" id="{00000000-0008-0000-0300-00004F020000}"/>
            </a:ext>
          </a:extLst>
        </xdr:cNvPr>
        <xdr:cNvSpPr txBox="1"/>
      </xdr:nvSpPr>
      <xdr:spPr>
        <a:xfrm>
          <a:off x="24102060" y="22974300"/>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746584"/>
    <xdr:sp macro="" textlink="">
      <xdr:nvSpPr>
        <xdr:cNvPr id="592" name="TextBox 591">
          <a:extLst>
            <a:ext uri="{FF2B5EF4-FFF2-40B4-BE49-F238E27FC236}">
              <a16:creationId xmlns:a16="http://schemas.microsoft.com/office/drawing/2014/main" id="{00000000-0008-0000-0300-000050020000}"/>
            </a:ext>
          </a:extLst>
        </xdr:cNvPr>
        <xdr:cNvSpPr txBox="1"/>
      </xdr:nvSpPr>
      <xdr:spPr>
        <a:xfrm>
          <a:off x="24102060" y="18402300"/>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661918"/>
    <xdr:sp macro="" textlink="">
      <xdr:nvSpPr>
        <xdr:cNvPr id="593" name="TextBox 592">
          <a:extLst>
            <a:ext uri="{FF2B5EF4-FFF2-40B4-BE49-F238E27FC236}">
              <a16:creationId xmlns:a16="http://schemas.microsoft.com/office/drawing/2014/main" id="{00000000-0008-0000-0300-000051020000}"/>
            </a:ext>
          </a:extLst>
        </xdr:cNvPr>
        <xdr:cNvSpPr txBox="1"/>
      </xdr:nvSpPr>
      <xdr:spPr>
        <a:xfrm>
          <a:off x="24102060" y="22974300"/>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594" name="TextBox 593">
          <a:extLst>
            <a:ext uri="{FF2B5EF4-FFF2-40B4-BE49-F238E27FC236}">
              <a16:creationId xmlns:a16="http://schemas.microsoft.com/office/drawing/2014/main" id="{00000000-0008-0000-0300-000052020000}"/>
            </a:ext>
          </a:extLst>
        </xdr:cNvPr>
        <xdr:cNvSpPr txBox="1"/>
      </xdr:nvSpPr>
      <xdr:spPr>
        <a:xfrm>
          <a:off x="24102060" y="2675382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595" name="TextBox 594">
          <a:extLst>
            <a:ext uri="{FF2B5EF4-FFF2-40B4-BE49-F238E27FC236}">
              <a16:creationId xmlns:a16="http://schemas.microsoft.com/office/drawing/2014/main" id="{00000000-0008-0000-0300-000053020000}"/>
            </a:ext>
          </a:extLst>
        </xdr:cNvPr>
        <xdr:cNvSpPr txBox="1"/>
      </xdr:nvSpPr>
      <xdr:spPr>
        <a:xfrm>
          <a:off x="24102060" y="2675382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679418"/>
    <xdr:sp macro="" textlink="">
      <xdr:nvSpPr>
        <xdr:cNvPr id="596" name="TextBox 595">
          <a:extLst>
            <a:ext uri="{FF2B5EF4-FFF2-40B4-BE49-F238E27FC236}">
              <a16:creationId xmlns:a16="http://schemas.microsoft.com/office/drawing/2014/main" id="{00000000-0008-0000-0300-000054020000}"/>
            </a:ext>
          </a:extLst>
        </xdr:cNvPr>
        <xdr:cNvSpPr txBox="1"/>
      </xdr:nvSpPr>
      <xdr:spPr>
        <a:xfrm>
          <a:off x="18097500" y="22974300"/>
          <a:ext cx="3560766" cy="167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747852"/>
    <xdr:sp macro="" textlink="">
      <xdr:nvSpPr>
        <xdr:cNvPr id="597" name="TextBox 596">
          <a:extLst>
            <a:ext uri="{FF2B5EF4-FFF2-40B4-BE49-F238E27FC236}">
              <a16:creationId xmlns:a16="http://schemas.microsoft.com/office/drawing/2014/main" id="{00000000-0008-0000-0300-000055020000}"/>
            </a:ext>
          </a:extLst>
        </xdr:cNvPr>
        <xdr:cNvSpPr txBox="1"/>
      </xdr:nvSpPr>
      <xdr:spPr>
        <a:xfrm>
          <a:off x="18097500" y="18402300"/>
          <a:ext cx="3560766" cy="1747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682488"/>
    <xdr:sp macro="" textlink="">
      <xdr:nvSpPr>
        <xdr:cNvPr id="598" name="TextBox 597">
          <a:extLst>
            <a:ext uri="{FF2B5EF4-FFF2-40B4-BE49-F238E27FC236}">
              <a16:creationId xmlns:a16="http://schemas.microsoft.com/office/drawing/2014/main" id="{00000000-0008-0000-0300-000056020000}"/>
            </a:ext>
          </a:extLst>
        </xdr:cNvPr>
        <xdr:cNvSpPr txBox="1"/>
      </xdr:nvSpPr>
      <xdr:spPr>
        <a:xfrm>
          <a:off x="18097500" y="22974300"/>
          <a:ext cx="3560766"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755464"/>
    <xdr:sp macro="" textlink="">
      <xdr:nvSpPr>
        <xdr:cNvPr id="599" name="TextBox 598">
          <a:extLst>
            <a:ext uri="{FF2B5EF4-FFF2-40B4-BE49-F238E27FC236}">
              <a16:creationId xmlns:a16="http://schemas.microsoft.com/office/drawing/2014/main" id="{00000000-0008-0000-0300-000057020000}"/>
            </a:ext>
          </a:extLst>
        </xdr:cNvPr>
        <xdr:cNvSpPr txBox="1"/>
      </xdr:nvSpPr>
      <xdr:spPr>
        <a:xfrm>
          <a:off x="37631370" y="18402300"/>
          <a:ext cx="3555927"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682488"/>
    <xdr:sp macro="" textlink="">
      <xdr:nvSpPr>
        <xdr:cNvPr id="600" name="TextBox 599">
          <a:extLst>
            <a:ext uri="{FF2B5EF4-FFF2-40B4-BE49-F238E27FC236}">
              <a16:creationId xmlns:a16="http://schemas.microsoft.com/office/drawing/2014/main" id="{00000000-0008-0000-0300-000058020000}"/>
            </a:ext>
          </a:extLst>
        </xdr:cNvPr>
        <xdr:cNvSpPr txBox="1"/>
      </xdr:nvSpPr>
      <xdr:spPr>
        <a:xfrm>
          <a:off x="37631370" y="22974300"/>
          <a:ext cx="3555927"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601" name="TextBox 600">
          <a:extLst>
            <a:ext uri="{FF2B5EF4-FFF2-40B4-BE49-F238E27FC236}">
              <a16:creationId xmlns:a16="http://schemas.microsoft.com/office/drawing/2014/main" id="{00000000-0008-0000-0300-000059020000}"/>
            </a:ext>
          </a:extLst>
        </xdr:cNvPr>
        <xdr:cNvSpPr txBox="1"/>
      </xdr:nvSpPr>
      <xdr:spPr>
        <a:xfrm>
          <a:off x="38477190" y="22974300"/>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603" name="TextBox 602">
          <a:extLst>
            <a:ext uri="{FF2B5EF4-FFF2-40B4-BE49-F238E27FC236}">
              <a16:creationId xmlns:a16="http://schemas.microsoft.com/office/drawing/2014/main" id="{00000000-0008-0000-0300-00005B020000}"/>
            </a:ext>
          </a:extLst>
        </xdr:cNvPr>
        <xdr:cNvSpPr txBox="1"/>
      </xdr:nvSpPr>
      <xdr:spPr>
        <a:xfrm>
          <a:off x="30022800" y="22974300"/>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846" cy="1682488"/>
    <xdr:sp macro="" textlink="">
      <xdr:nvSpPr>
        <xdr:cNvPr id="604" name="TextBox 603">
          <a:extLst>
            <a:ext uri="{FF2B5EF4-FFF2-40B4-BE49-F238E27FC236}">
              <a16:creationId xmlns:a16="http://schemas.microsoft.com/office/drawing/2014/main" id="{00000000-0008-0000-0300-00005C020000}"/>
            </a:ext>
          </a:extLst>
        </xdr:cNvPr>
        <xdr:cNvSpPr txBox="1"/>
      </xdr:nvSpPr>
      <xdr:spPr>
        <a:xfrm>
          <a:off x="22669500" y="22974300"/>
          <a:ext cx="3555846"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3718" cy="1682488"/>
    <xdr:sp macro="" textlink="">
      <xdr:nvSpPr>
        <xdr:cNvPr id="605" name="TextBox 604">
          <a:extLst>
            <a:ext uri="{FF2B5EF4-FFF2-40B4-BE49-F238E27FC236}">
              <a16:creationId xmlns:a16="http://schemas.microsoft.com/office/drawing/2014/main" id="{00000000-0008-0000-0300-00005D020000}"/>
            </a:ext>
          </a:extLst>
        </xdr:cNvPr>
        <xdr:cNvSpPr txBox="1"/>
      </xdr:nvSpPr>
      <xdr:spPr>
        <a:xfrm>
          <a:off x="31714440" y="22974300"/>
          <a:ext cx="3523718"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755464"/>
    <xdr:sp macro="" textlink="">
      <xdr:nvSpPr>
        <xdr:cNvPr id="606" name="TextBox 605">
          <a:extLst>
            <a:ext uri="{FF2B5EF4-FFF2-40B4-BE49-F238E27FC236}">
              <a16:creationId xmlns:a16="http://schemas.microsoft.com/office/drawing/2014/main" id="{00000000-0008-0000-0300-00005E020000}"/>
            </a:ext>
          </a:extLst>
        </xdr:cNvPr>
        <xdr:cNvSpPr txBox="1"/>
      </xdr:nvSpPr>
      <xdr:spPr>
        <a:xfrm>
          <a:off x="15045690" y="18402300"/>
          <a:ext cx="3556010"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607" name="TextBox 606">
          <a:extLst>
            <a:ext uri="{FF2B5EF4-FFF2-40B4-BE49-F238E27FC236}">
              <a16:creationId xmlns:a16="http://schemas.microsoft.com/office/drawing/2014/main" id="{00000000-0008-0000-0300-00005F020000}"/>
            </a:ext>
          </a:extLst>
        </xdr:cNvPr>
        <xdr:cNvSpPr txBox="1"/>
      </xdr:nvSpPr>
      <xdr:spPr>
        <a:xfrm>
          <a:off x="15045690" y="22974300"/>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741250"/>
    <xdr:sp macro="" textlink="">
      <xdr:nvSpPr>
        <xdr:cNvPr id="608" name="TextBox 607">
          <a:extLst>
            <a:ext uri="{FF2B5EF4-FFF2-40B4-BE49-F238E27FC236}">
              <a16:creationId xmlns:a16="http://schemas.microsoft.com/office/drawing/2014/main" id="{00000000-0008-0000-0300-000060020000}"/>
            </a:ext>
          </a:extLst>
        </xdr:cNvPr>
        <xdr:cNvSpPr txBox="1"/>
      </xdr:nvSpPr>
      <xdr:spPr>
        <a:xfrm>
          <a:off x="12912090" y="26753820"/>
          <a:ext cx="3555927"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741250"/>
    <xdr:sp macro="" textlink="">
      <xdr:nvSpPr>
        <xdr:cNvPr id="609" name="TextBox 608">
          <a:extLst>
            <a:ext uri="{FF2B5EF4-FFF2-40B4-BE49-F238E27FC236}">
              <a16:creationId xmlns:a16="http://schemas.microsoft.com/office/drawing/2014/main" id="{00000000-0008-0000-0300-000061020000}"/>
            </a:ext>
          </a:extLst>
        </xdr:cNvPr>
        <xdr:cNvSpPr txBox="1"/>
      </xdr:nvSpPr>
      <xdr:spPr>
        <a:xfrm>
          <a:off x="35939730" y="26753820"/>
          <a:ext cx="3556010"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679418"/>
    <xdr:sp macro="" textlink="">
      <xdr:nvSpPr>
        <xdr:cNvPr id="610" name="TextBox 609">
          <a:extLst>
            <a:ext uri="{FF2B5EF4-FFF2-40B4-BE49-F238E27FC236}">
              <a16:creationId xmlns:a16="http://schemas.microsoft.com/office/drawing/2014/main" id="{00000000-0008-0000-0300-000062020000}"/>
            </a:ext>
          </a:extLst>
        </xdr:cNvPr>
        <xdr:cNvSpPr txBox="1"/>
      </xdr:nvSpPr>
      <xdr:spPr>
        <a:xfrm>
          <a:off x="7124700" y="22974300"/>
          <a:ext cx="3537719" cy="167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747852"/>
    <xdr:sp macro="" textlink="">
      <xdr:nvSpPr>
        <xdr:cNvPr id="611" name="TextBox 610">
          <a:extLst>
            <a:ext uri="{FF2B5EF4-FFF2-40B4-BE49-F238E27FC236}">
              <a16:creationId xmlns:a16="http://schemas.microsoft.com/office/drawing/2014/main" id="{00000000-0008-0000-0300-000063020000}"/>
            </a:ext>
          </a:extLst>
        </xdr:cNvPr>
        <xdr:cNvSpPr txBox="1"/>
      </xdr:nvSpPr>
      <xdr:spPr>
        <a:xfrm>
          <a:off x="7124700" y="18402300"/>
          <a:ext cx="3537719" cy="1747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672229"/>
    <xdr:sp macro="" textlink="">
      <xdr:nvSpPr>
        <xdr:cNvPr id="612" name="TextBox 611">
          <a:extLst>
            <a:ext uri="{FF2B5EF4-FFF2-40B4-BE49-F238E27FC236}">
              <a16:creationId xmlns:a16="http://schemas.microsoft.com/office/drawing/2014/main" id="{00000000-0008-0000-0300-000064020000}"/>
            </a:ext>
          </a:extLst>
        </xdr:cNvPr>
        <xdr:cNvSpPr txBox="1"/>
      </xdr:nvSpPr>
      <xdr:spPr>
        <a:xfrm>
          <a:off x="7124700" y="22974300"/>
          <a:ext cx="3537719"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613" name="TextBox 612">
          <a:extLst>
            <a:ext uri="{FF2B5EF4-FFF2-40B4-BE49-F238E27FC236}">
              <a16:creationId xmlns:a16="http://schemas.microsoft.com/office/drawing/2014/main" id="{00000000-0008-0000-0300-000065020000}"/>
            </a:ext>
          </a:extLst>
        </xdr:cNvPr>
        <xdr:cNvSpPr txBox="1"/>
      </xdr:nvSpPr>
      <xdr:spPr>
        <a:xfrm>
          <a:off x="9871710" y="2297430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755464"/>
    <xdr:sp macro="" textlink="">
      <xdr:nvSpPr>
        <xdr:cNvPr id="614" name="TextBox 613">
          <a:extLst>
            <a:ext uri="{FF2B5EF4-FFF2-40B4-BE49-F238E27FC236}">
              <a16:creationId xmlns:a16="http://schemas.microsoft.com/office/drawing/2014/main" id="{00000000-0008-0000-0300-000066020000}"/>
            </a:ext>
          </a:extLst>
        </xdr:cNvPr>
        <xdr:cNvSpPr txBox="1"/>
      </xdr:nvSpPr>
      <xdr:spPr>
        <a:xfrm>
          <a:off x="18406110" y="18402300"/>
          <a:ext cx="3544382"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672229"/>
    <xdr:sp macro="" textlink="">
      <xdr:nvSpPr>
        <xdr:cNvPr id="615" name="TextBox 614">
          <a:extLst>
            <a:ext uri="{FF2B5EF4-FFF2-40B4-BE49-F238E27FC236}">
              <a16:creationId xmlns:a16="http://schemas.microsoft.com/office/drawing/2014/main" id="{00000000-0008-0000-0300-000067020000}"/>
            </a:ext>
          </a:extLst>
        </xdr:cNvPr>
        <xdr:cNvSpPr txBox="1"/>
      </xdr:nvSpPr>
      <xdr:spPr>
        <a:xfrm>
          <a:off x="18406110" y="22974300"/>
          <a:ext cx="3544382"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616" name="TextBox 615">
          <a:extLst>
            <a:ext uri="{FF2B5EF4-FFF2-40B4-BE49-F238E27FC236}">
              <a16:creationId xmlns:a16="http://schemas.microsoft.com/office/drawing/2014/main" id="{00000000-0008-0000-0300-000068020000}"/>
            </a:ext>
          </a:extLst>
        </xdr:cNvPr>
        <xdr:cNvSpPr txBox="1"/>
      </xdr:nvSpPr>
      <xdr:spPr>
        <a:xfrm>
          <a:off x="17491710" y="2297430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55464"/>
    <xdr:sp macro="" textlink="">
      <xdr:nvSpPr>
        <xdr:cNvPr id="617" name="TextBox 616">
          <a:extLst>
            <a:ext uri="{FF2B5EF4-FFF2-40B4-BE49-F238E27FC236}">
              <a16:creationId xmlns:a16="http://schemas.microsoft.com/office/drawing/2014/main" id="{00000000-0008-0000-0300-000069020000}"/>
            </a:ext>
          </a:extLst>
        </xdr:cNvPr>
        <xdr:cNvSpPr txBox="1"/>
      </xdr:nvSpPr>
      <xdr:spPr>
        <a:xfrm>
          <a:off x="32000190" y="18402300"/>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618" name="TextBox 617">
          <a:extLst>
            <a:ext uri="{FF2B5EF4-FFF2-40B4-BE49-F238E27FC236}">
              <a16:creationId xmlns:a16="http://schemas.microsoft.com/office/drawing/2014/main" id="{00000000-0008-0000-0300-00006A020000}"/>
            </a:ext>
          </a:extLst>
        </xdr:cNvPr>
        <xdr:cNvSpPr txBox="1"/>
      </xdr:nvSpPr>
      <xdr:spPr>
        <a:xfrm>
          <a:off x="32000190" y="2297430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2831" cy="1672229"/>
    <xdr:sp macro="" textlink="">
      <xdr:nvSpPr>
        <xdr:cNvPr id="619" name="TextBox 618">
          <a:extLst>
            <a:ext uri="{FF2B5EF4-FFF2-40B4-BE49-F238E27FC236}">
              <a16:creationId xmlns:a16="http://schemas.microsoft.com/office/drawing/2014/main" id="{00000000-0008-0000-0300-00006B020000}"/>
            </a:ext>
          </a:extLst>
        </xdr:cNvPr>
        <xdr:cNvSpPr txBox="1"/>
      </xdr:nvSpPr>
      <xdr:spPr>
        <a:xfrm>
          <a:off x="24947880" y="22974300"/>
          <a:ext cx="3532831"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55464"/>
    <xdr:sp macro="" textlink="">
      <xdr:nvSpPr>
        <xdr:cNvPr id="620" name="TextBox 619">
          <a:extLst>
            <a:ext uri="{FF2B5EF4-FFF2-40B4-BE49-F238E27FC236}">
              <a16:creationId xmlns:a16="http://schemas.microsoft.com/office/drawing/2014/main" id="{00000000-0008-0000-0300-00006C020000}"/>
            </a:ext>
          </a:extLst>
        </xdr:cNvPr>
        <xdr:cNvSpPr txBox="1"/>
      </xdr:nvSpPr>
      <xdr:spPr>
        <a:xfrm>
          <a:off x="21454110" y="18402300"/>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621" name="TextBox 620">
          <a:extLst>
            <a:ext uri="{FF2B5EF4-FFF2-40B4-BE49-F238E27FC236}">
              <a16:creationId xmlns:a16="http://schemas.microsoft.com/office/drawing/2014/main" id="{00000000-0008-0000-0300-00006D020000}"/>
            </a:ext>
          </a:extLst>
        </xdr:cNvPr>
        <xdr:cNvSpPr txBox="1"/>
      </xdr:nvSpPr>
      <xdr:spPr>
        <a:xfrm>
          <a:off x="21454110" y="2297430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206</xdr:row>
      <xdr:rowOff>0</xdr:rowOff>
    </xdr:from>
    <xdr:ext cx="3544382" cy="1741250"/>
    <xdr:sp macro="" textlink="">
      <xdr:nvSpPr>
        <xdr:cNvPr id="622" name="TextBox 621">
          <a:extLst>
            <a:ext uri="{FF2B5EF4-FFF2-40B4-BE49-F238E27FC236}">
              <a16:creationId xmlns:a16="http://schemas.microsoft.com/office/drawing/2014/main" id="{00000000-0008-0000-0300-00006E020000}"/>
            </a:ext>
          </a:extLst>
        </xdr:cNvPr>
        <xdr:cNvSpPr txBox="1"/>
      </xdr:nvSpPr>
      <xdr:spPr>
        <a:xfrm>
          <a:off x="17796510" y="29230320"/>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3544381</xdr:colOff>
      <xdr:row>307</xdr:row>
      <xdr:rowOff>0</xdr:rowOff>
    </xdr:from>
    <xdr:ext cx="45719" cy="213360"/>
    <xdr:sp macro="" textlink="">
      <xdr:nvSpPr>
        <xdr:cNvPr id="625" name="TextBox 624">
          <a:extLst>
            <a:ext uri="{FF2B5EF4-FFF2-40B4-BE49-F238E27FC236}">
              <a16:creationId xmlns:a16="http://schemas.microsoft.com/office/drawing/2014/main" id="{00000000-0008-0000-0300-000071020000}"/>
            </a:ext>
          </a:extLst>
        </xdr:cNvPr>
        <xdr:cNvSpPr txBox="1"/>
      </xdr:nvSpPr>
      <xdr:spPr>
        <a:xfrm flipH="1">
          <a:off x="12673141" y="77571600"/>
          <a:ext cx="45719" cy="213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0</xdr:col>
      <xdr:colOff>0</xdr:colOff>
      <xdr:row>206</xdr:row>
      <xdr:rowOff>0</xdr:rowOff>
    </xdr:from>
    <xdr:ext cx="45719" cy="213360"/>
    <xdr:sp macro="" textlink="">
      <xdr:nvSpPr>
        <xdr:cNvPr id="628" name="TextBox 627">
          <a:extLst>
            <a:ext uri="{FF2B5EF4-FFF2-40B4-BE49-F238E27FC236}">
              <a16:creationId xmlns:a16="http://schemas.microsoft.com/office/drawing/2014/main" id="{00000000-0008-0000-0300-000074020000}"/>
            </a:ext>
          </a:extLst>
        </xdr:cNvPr>
        <xdr:cNvSpPr txBox="1"/>
      </xdr:nvSpPr>
      <xdr:spPr>
        <a:xfrm>
          <a:off x="0" y="52197000"/>
          <a:ext cx="45719" cy="213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203</xdr:row>
      <xdr:rowOff>84667</xdr:rowOff>
    </xdr:from>
    <xdr:ext cx="148167" cy="317500"/>
    <xdr:sp macro="" textlink="">
      <xdr:nvSpPr>
        <xdr:cNvPr id="623" name="TextBox 622">
          <a:extLst>
            <a:ext uri="{FF2B5EF4-FFF2-40B4-BE49-F238E27FC236}">
              <a16:creationId xmlns:a16="http://schemas.microsoft.com/office/drawing/2014/main" id="{00000000-0008-0000-0300-00006F020000}"/>
            </a:ext>
          </a:extLst>
        </xdr:cNvPr>
        <xdr:cNvSpPr txBox="1"/>
      </xdr:nvSpPr>
      <xdr:spPr>
        <a:xfrm>
          <a:off x="5305425" y="51929242"/>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205</xdr:row>
      <xdr:rowOff>84667</xdr:rowOff>
    </xdr:from>
    <xdr:ext cx="148167" cy="317500"/>
    <xdr:sp macro="" textlink="">
      <xdr:nvSpPr>
        <xdr:cNvPr id="624" name="TextBox 623">
          <a:extLst>
            <a:ext uri="{FF2B5EF4-FFF2-40B4-BE49-F238E27FC236}">
              <a16:creationId xmlns:a16="http://schemas.microsoft.com/office/drawing/2014/main" id="{00000000-0008-0000-0300-000070020000}"/>
            </a:ext>
          </a:extLst>
        </xdr:cNvPr>
        <xdr:cNvSpPr txBox="1"/>
      </xdr:nvSpPr>
      <xdr:spPr>
        <a:xfrm>
          <a:off x="5305425" y="53081767"/>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203</xdr:row>
      <xdr:rowOff>84667</xdr:rowOff>
    </xdr:from>
    <xdr:ext cx="148167" cy="317500"/>
    <xdr:sp macro="" textlink="">
      <xdr:nvSpPr>
        <xdr:cNvPr id="626" name="TextBox 625">
          <a:extLst>
            <a:ext uri="{FF2B5EF4-FFF2-40B4-BE49-F238E27FC236}">
              <a16:creationId xmlns:a16="http://schemas.microsoft.com/office/drawing/2014/main" id="{00000000-0008-0000-0300-000072020000}"/>
            </a:ext>
          </a:extLst>
        </xdr:cNvPr>
        <xdr:cNvSpPr txBox="1"/>
      </xdr:nvSpPr>
      <xdr:spPr>
        <a:xfrm>
          <a:off x="5305425" y="51929242"/>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203</xdr:row>
      <xdr:rowOff>84667</xdr:rowOff>
    </xdr:from>
    <xdr:ext cx="148167" cy="317500"/>
    <xdr:sp macro="" textlink="">
      <xdr:nvSpPr>
        <xdr:cNvPr id="627" name="TextBox 626">
          <a:extLst>
            <a:ext uri="{FF2B5EF4-FFF2-40B4-BE49-F238E27FC236}">
              <a16:creationId xmlns:a16="http://schemas.microsoft.com/office/drawing/2014/main" id="{00000000-0008-0000-0300-000073020000}"/>
            </a:ext>
          </a:extLst>
        </xdr:cNvPr>
        <xdr:cNvSpPr txBox="1"/>
      </xdr:nvSpPr>
      <xdr:spPr>
        <a:xfrm>
          <a:off x="5305425" y="51929242"/>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201</xdr:row>
      <xdr:rowOff>84667</xdr:rowOff>
    </xdr:from>
    <xdr:ext cx="148167" cy="317500"/>
    <xdr:sp macro="" textlink="">
      <xdr:nvSpPr>
        <xdr:cNvPr id="629" name="TextBox 628">
          <a:extLst>
            <a:ext uri="{FF2B5EF4-FFF2-40B4-BE49-F238E27FC236}">
              <a16:creationId xmlns:a16="http://schemas.microsoft.com/office/drawing/2014/main" id="{00000000-0008-0000-0300-000075020000}"/>
            </a:ext>
          </a:extLst>
        </xdr:cNvPr>
        <xdr:cNvSpPr txBox="1"/>
      </xdr:nvSpPr>
      <xdr:spPr>
        <a:xfrm>
          <a:off x="5305425" y="51595867"/>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201</xdr:row>
      <xdr:rowOff>84667</xdr:rowOff>
    </xdr:from>
    <xdr:ext cx="148167" cy="317500"/>
    <xdr:sp macro="" textlink="">
      <xdr:nvSpPr>
        <xdr:cNvPr id="630" name="TextBox 629">
          <a:extLst>
            <a:ext uri="{FF2B5EF4-FFF2-40B4-BE49-F238E27FC236}">
              <a16:creationId xmlns:a16="http://schemas.microsoft.com/office/drawing/2014/main" id="{00000000-0008-0000-0300-000076020000}"/>
            </a:ext>
          </a:extLst>
        </xdr:cNvPr>
        <xdr:cNvSpPr txBox="1"/>
      </xdr:nvSpPr>
      <xdr:spPr>
        <a:xfrm>
          <a:off x="5305425" y="51595867"/>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203</xdr:row>
      <xdr:rowOff>84667</xdr:rowOff>
    </xdr:from>
    <xdr:ext cx="148167" cy="317500"/>
    <xdr:sp macro="" textlink="">
      <xdr:nvSpPr>
        <xdr:cNvPr id="631" name="TextBox 630">
          <a:extLst>
            <a:ext uri="{FF2B5EF4-FFF2-40B4-BE49-F238E27FC236}">
              <a16:creationId xmlns:a16="http://schemas.microsoft.com/office/drawing/2014/main" id="{00000000-0008-0000-0300-000077020000}"/>
            </a:ext>
          </a:extLst>
        </xdr:cNvPr>
        <xdr:cNvSpPr txBox="1"/>
      </xdr:nvSpPr>
      <xdr:spPr>
        <a:xfrm>
          <a:off x="5305425" y="51929242"/>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205</xdr:row>
      <xdr:rowOff>84667</xdr:rowOff>
    </xdr:from>
    <xdr:ext cx="148167" cy="317500"/>
    <xdr:sp macro="" textlink="">
      <xdr:nvSpPr>
        <xdr:cNvPr id="632" name="TextBox 631">
          <a:extLst>
            <a:ext uri="{FF2B5EF4-FFF2-40B4-BE49-F238E27FC236}">
              <a16:creationId xmlns:a16="http://schemas.microsoft.com/office/drawing/2014/main" id="{00000000-0008-0000-0300-000078020000}"/>
            </a:ext>
          </a:extLst>
        </xdr:cNvPr>
        <xdr:cNvSpPr txBox="1"/>
      </xdr:nvSpPr>
      <xdr:spPr>
        <a:xfrm>
          <a:off x="5305425" y="53081767"/>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203</xdr:row>
      <xdr:rowOff>84667</xdr:rowOff>
    </xdr:from>
    <xdr:ext cx="148167" cy="317500"/>
    <xdr:sp macro="" textlink="">
      <xdr:nvSpPr>
        <xdr:cNvPr id="633" name="TextBox 632">
          <a:extLst>
            <a:ext uri="{FF2B5EF4-FFF2-40B4-BE49-F238E27FC236}">
              <a16:creationId xmlns:a16="http://schemas.microsoft.com/office/drawing/2014/main" id="{00000000-0008-0000-0300-000079020000}"/>
            </a:ext>
          </a:extLst>
        </xdr:cNvPr>
        <xdr:cNvSpPr txBox="1"/>
      </xdr:nvSpPr>
      <xdr:spPr>
        <a:xfrm>
          <a:off x="5305425" y="51929242"/>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203</xdr:row>
      <xdr:rowOff>84667</xdr:rowOff>
    </xdr:from>
    <xdr:ext cx="148167" cy="317500"/>
    <xdr:sp macro="" textlink="">
      <xdr:nvSpPr>
        <xdr:cNvPr id="634" name="TextBox 633">
          <a:extLst>
            <a:ext uri="{FF2B5EF4-FFF2-40B4-BE49-F238E27FC236}">
              <a16:creationId xmlns:a16="http://schemas.microsoft.com/office/drawing/2014/main" id="{00000000-0008-0000-0300-00007A020000}"/>
            </a:ext>
          </a:extLst>
        </xdr:cNvPr>
        <xdr:cNvSpPr txBox="1"/>
      </xdr:nvSpPr>
      <xdr:spPr>
        <a:xfrm>
          <a:off x="5305425" y="51929242"/>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201</xdr:row>
      <xdr:rowOff>84667</xdr:rowOff>
    </xdr:from>
    <xdr:ext cx="148167" cy="317500"/>
    <xdr:sp macro="" textlink="">
      <xdr:nvSpPr>
        <xdr:cNvPr id="635" name="TextBox 634">
          <a:extLst>
            <a:ext uri="{FF2B5EF4-FFF2-40B4-BE49-F238E27FC236}">
              <a16:creationId xmlns:a16="http://schemas.microsoft.com/office/drawing/2014/main" id="{00000000-0008-0000-0300-00007B020000}"/>
            </a:ext>
          </a:extLst>
        </xdr:cNvPr>
        <xdr:cNvSpPr txBox="1"/>
      </xdr:nvSpPr>
      <xdr:spPr>
        <a:xfrm>
          <a:off x="5305425" y="51595867"/>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201</xdr:row>
      <xdr:rowOff>84667</xdr:rowOff>
    </xdr:from>
    <xdr:ext cx="148167" cy="317500"/>
    <xdr:sp macro="" textlink="">
      <xdr:nvSpPr>
        <xdr:cNvPr id="636" name="TextBox 635">
          <a:extLst>
            <a:ext uri="{FF2B5EF4-FFF2-40B4-BE49-F238E27FC236}">
              <a16:creationId xmlns:a16="http://schemas.microsoft.com/office/drawing/2014/main" id="{00000000-0008-0000-0300-00007C020000}"/>
            </a:ext>
          </a:extLst>
        </xdr:cNvPr>
        <xdr:cNvSpPr txBox="1"/>
      </xdr:nvSpPr>
      <xdr:spPr>
        <a:xfrm>
          <a:off x="5305425" y="51595867"/>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203</xdr:row>
      <xdr:rowOff>84667</xdr:rowOff>
    </xdr:from>
    <xdr:ext cx="148167" cy="317500"/>
    <xdr:sp macro="" textlink="">
      <xdr:nvSpPr>
        <xdr:cNvPr id="637" name="TextBox 636">
          <a:extLst>
            <a:ext uri="{FF2B5EF4-FFF2-40B4-BE49-F238E27FC236}">
              <a16:creationId xmlns:a16="http://schemas.microsoft.com/office/drawing/2014/main" id="{00000000-0008-0000-0300-00007D020000}"/>
            </a:ext>
          </a:extLst>
        </xdr:cNvPr>
        <xdr:cNvSpPr txBox="1"/>
      </xdr:nvSpPr>
      <xdr:spPr>
        <a:xfrm>
          <a:off x="5305425" y="51929242"/>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205</xdr:row>
      <xdr:rowOff>84667</xdr:rowOff>
    </xdr:from>
    <xdr:ext cx="148167" cy="317500"/>
    <xdr:sp macro="" textlink="">
      <xdr:nvSpPr>
        <xdr:cNvPr id="638" name="TextBox 637">
          <a:extLst>
            <a:ext uri="{FF2B5EF4-FFF2-40B4-BE49-F238E27FC236}">
              <a16:creationId xmlns:a16="http://schemas.microsoft.com/office/drawing/2014/main" id="{00000000-0008-0000-0300-00007E020000}"/>
            </a:ext>
          </a:extLst>
        </xdr:cNvPr>
        <xdr:cNvSpPr txBox="1"/>
      </xdr:nvSpPr>
      <xdr:spPr>
        <a:xfrm>
          <a:off x="5305425" y="53081767"/>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Carol\Desktop\Paul_work\Alaska\Documents%20and%20Settings\Paul\Application%20Data\Microsoft\Excel\ORWAPv1.5_Explanation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Paul\documents\AtlanticMaritimes\Calculator\CalculatorsOldVersions\WESPAKse_Nontidal_v1.5_4Oct20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Carol\Desktop\Paul_work\Alaska\Documents%20and%20Settings\Paul\Application%20Data\Microsoft\Excel\ORWAP_08\Macro2\ORWAP_Macro\ORWAP_Macro\ORWAP%20RK%20batch.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Scores"/>
      <sheetName val="CoverPg"/>
      <sheetName val="Sketch"/>
      <sheetName val="OF"/>
      <sheetName val="FieldF"/>
      <sheetName val="FieldS"/>
      <sheetName val="Matrix"/>
      <sheetName val="WS"/>
      <sheetName val="SR"/>
      <sheetName val="PR"/>
      <sheetName val="NR"/>
      <sheetName val="T"/>
      <sheetName val="CS"/>
      <sheetName val="OE"/>
      <sheetName val="INV"/>
      <sheetName val="FA"/>
      <sheetName val="FR"/>
      <sheetName val="AM"/>
      <sheetName val="WBF"/>
      <sheetName val="WBN"/>
      <sheetName val="SBM"/>
      <sheetName val="POL"/>
      <sheetName val="PD"/>
      <sheetName val="STR"/>
      <sheetName val="Sen"/>
      <sheetName val="CQ"/>
      <sheetName val="PU"/>
      <sheetName val="PS"/>
      <sheetName val="HGM"/>
      <sheetName val="Plants"/>
      <sheetName val="Verts"/>
      <sheetName val="InvertsNonNativ"/>
      <sheetName val="InvertsRare"/>
      <sheetName val="IBAs"/>
      <sheetName val="WQprob"/>
      <sheetName val="NWIstats"/>
      <sheetName val="HydricTab"/>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D2">
            <v>0</v>
          </cell>
        </row>
        <row r="3">
          <cell r="G3">
            <v>0</v>
          </cell>
        </row>
        <row r="5">
          <cell r="D5">
            <v>0</v>
          </cell>
        </row>
        <row r="6">
          <cell r="D6">
            <v>1</v>
          </cell>
        </row>
        <row r="8">
          <cell r="G8">
            <v>0</v>
          </cell>
        </row>
        <row r="9">
          <cell r="D9">
            <v>0</v>
          </cell>
        </row>
        <row r="10">
          <cell r="D10">
            <v>0</v>
          </cell>
        </row>
        <row r="15">
          <cell r="G15">
            <v>0</v>
          </cell>
        </row>
        <row r="22">
          <cell r="G22">
            <v>0.3</v>
          </cell>
        </row>
        <row r="29">
          <cell r="G29">
            <v>1</v>
          </cell>
        </row>
        <row r="36">
          <cell r="G36">
            <v>0.25</v>
          </cell>
        </row>
        <row r="42">
          <cell r="G42">
            <v>0.6</v>
          </cell>
        </row>
        <row r="48">
          <cell r="G48">
            <v>0</v>
          </cell>
        </row>
        <row r="52">
          <cell r="D52">
            <v>0</v>
          </cell>
        </row>
        <row r="53">
          <cell r="G53">
            <v>1</v>
          </cell>
        </row>
        <row r="56">
          <cell r="G56">
            <v>0</v>
          </cell>
        </row>
        <row r="62">
          <cell r="G62">
            <v>1</v>
          </cell>
        </row>
        <row r="63">
          <cell r="G63">
            <v>0.5</v>
          </cell>
        </row>
        <row r="67">
          <cell r="G67">
            <v>1</v>
          </cell>
        </row>
        <row r="72">
          <cell r="G72">
            <v>1</v>
          </cell>
        </row>
        <row r="75">
          <cell r="G75">
            <v>0</v>
          </cell>
        </row>
        <row r="79">
          <cell r="G79">
            <v>1</v>
          </cell>
        </row>
        <row r="84">
          <cell r="G84">
            <v>1</v>
          </cell>
        </row>
        <row r="88">
          <cell r="G88">
            <v>0</v>
          </cell>
        </row>
        <row r="92">
          <cell r="G92">
            <v>1</v>
          </cell>
        </row>
        <row r="96">
          <cell r="G96">
            <v>0</v>
          </cell>
        </row>
        <row r="102">
          <cell r="G102">
            <v>0</v>
          </cell>
        </row>
        <row r="106">
          <cell r="G106">
            <v>1</v>
          </cell>
        </row>
        <row r="111">
          <cell r="G111">
            <v>0.5357142857142857</v>
          </cell>
        </row>
        <row r="112">
          <cell r="G112">
            <v>0.53749999999999998</v>
          </cell>
        </row>
        <row r="113">
          <cell r="G113" t="b">
            <v>1</v>
          </cell>
        </row>
      </sheetData>
      <sheetData sheetId="8">
        <row r="2">
          <cell r="D2">
            <v>0</v>
          </cell>
        </row>
        <row r="3">
          <cell r="G3">
            <v>0</v>
          </cell>
        </row>
        <row r="9">
          <cell r="D9">
            <v>0</v>
          </cell>
        </row>
        <row r="10">
          <cell r="G10">
            <v>0</v>
          </cell>
        </row>
        <row r="17">
          <cell r="G17">
            <v>1</v>
          </cell>
        </row>
        <row r="24">
          <cell r="G24">
            <v>0</v>
          </cell>
        </row>
        <row r="30">
          <cell r="G30">
            <v>0.75</v>
          </cell>
        </row>
        <row r="36">
          <cell r="G36">
            <v>0</v>
          </cell>
        </row>
        <row r="40">
          <cell r="D40">
            <v>0</v>
          </cell>
        </row>
        <row r="41">
          <cell r="G41">
            <v>1</v>
          </cell>
        </row>
        <row r="44">
          <cell r="G44">
            <v>0</v>
          </cell>
        </row>
        <row r="50">
          <cell r="G50">
            <v>0</v>
          </cell>
        </row>
        <row r="56">
          <cell r="G56">
            <v>1</v>
          </cell>
        </row>
        <row r="61">
          <cell r="G61">
            <v>0.5</v>
          </cell>
        </row>
        <row r="65">
          <cell r="G65">
            <v>1</v>
          </cell>
        </row>
        <row r="70">
          <cell r="G70">
            <v>1</v>
          </cell>
        </row>
        <row r="75">
          <cell r="G75">
            <v>0</v>
          </cell>
        </row>
        <row r="81">
          <cell r="G81">
            <v>1</v>
          </cell>
        </row>
        <row r="85">
          <cell r="G85">
            <v>1</v>
          </cell>
        </row>
        <row r="90">
          <cell r="G90">
            <v>0</v>
          </cell>
        </row>
        <row r="94">
          <cell r="G94">
            <v>0</v>
          </cell>
        </row>
        <row r="98">
          <cell r="G98">
            <v>1</v>
          </cell>
        </row>
        <row r="102">
          <cell r="G102">
            <v>0</v>
          </cell>
        </row>
        <row r="109">
          <cell r="D109">
            <v>0</v>
          </cell>
        </row>
        <row r="112">
          <cell r="G112">
            <v>0</v>
          </cell>
        </row>
        <row r="116">
          <cell r="G116">
            <v>0</v>
          </cell>
        </row>
        <row r="117">
          <cell r="G117">
            <v>0</v>
          </cell>
        </row>
        <row r="123">
          <cell r="G123">
            <v>0.83333333333333337</v>
          </cell>
        </row>
        <row r="130">
          <cell r="G130">
            <v>0.75</v>
          </cell>
        </row>
        <row r="139">
          <cell r="G139">
            <v>0</v>
          </cell>
        </row>
        <row r="146">
          <cell r="G146">
            <v>0</v>
          </cell>
        </row>
        <row r="150">
          <cell r="G150">
            <v>0</v>
          </cell>
        </row>
        <row r="154">
          <cell r="G154">
            <v>0.5</v>
          </cell>
        </row>
        <row r="160">
          <cell r="G160">
            <v>1</v>
          </cell>
        </row>
      </sheetData>
      <sheetData sheetId="9">
        <row r="2">
          <cell r="D2">
            <v>0</v>
          </cell>
        </row>
        <row r="3">
          <cell r="G3">
            <v>0</v>
          </cell>
        </row>
        <row r="4">
          <cell r="G4">
            <v>0</v>
          </cell>
        </row>
        <row r="10">
          <cell r="G10">
            <v>0</v>
          </cell>
        </row>
        <row r="14">
          <cell r="G14">
            <v>1</v>
          </cell>
        </row>
        <row r="19">
          <cell r="D19">
            <v>0</v>
          </cell>
        </row>
        <row r="20">
          <cell r="G20">
            <v>0</v>
          </cell>
        </row>
        <row r="27">
          <cell r="G27">
            <v>0.75</v>
          </cell>
        </row>
        <row r="34">
          <cell r="G34">
            <v>1</v>
          </cell>
        </row>
        <row r="41">
          <cell r="G41">
            <v>0.2</v>
          </cell>
        </row>
        <row r="47">
          <cell r="G47">
            <v>0.66666666666666663</v>
          </cell>
        </row>
        <row r="53">
          <cell r="G53">
            <v>0</v>
          </cell>
        </row>
        <row r="57">
          <cell r="D57">
            <v>0</v>
          </cell>
        </row>
        <row r="58">
          <cell r="G58">
            <v>1</v>
          </cell>
        </row>
        <row r="61">
          <cell r="G61">
            <v>0</v>
          </cell>
        </row>
        <row r="67">
          <cell r="G67">
            <v>0</v>
          </cell>
        </row>
        <row r="73">
          <cell r="G73">
            <v>1</v>
          </cell>
        </row>
        <row r="74">
          <cell r="G74">
            <v>1</v>
          </cell>
        </row>
        <row r="75">
          <cell r="G75">
            <v>1</v>
          </cell>
        </row>
        <row r="81">
          <cell r="G81">
            <v>1</v>
          </cell>
        </row>
        <row r="86">
          <cell r="G86">
            <v>0</v>
          </cell>
        </row>
        <row r="91">
          <cell r="G91">
            <v>0.5</v>
          </cell>
        </row>
        <row r="95">
          <cell r="G95">
            <v>1</v>
          </cell>
        </row>
        <row r="105">
          <cell r="G105">
            <v>1</v>
          </cell>
        </row>
        <row r="107">
          <cell r="G107">
            <v>1</v>
          </cell>
        </row>
        <row r="111">
          <cell r="G111">
            <v>1</v>
          </cell>
        </row>
        <row r="116">
          <cell r="G116">
            <v>1</v>
          </cell>
        </row>
        <row r="120">
          <cell r="G120">
            <v>0</v>
          </cell>
        </row>
        <row r="124">
          <cell r="G124">
            <v>1</v>
          </cell>
        </row>
        <row r="128">
          <cell r="G128">
            <v>0</v>
          </cell>
        </row>
        <row r="134">
          <cell r="D134">
            <v>0</v>
          </cell>
        </row>
        <row r="137">
          <cell r="G137">
            <v>0</v>
          </cell>
        </row>
        <row r="141">
          <cell r="G141">
            <v>0.33333333333333331</v>
          </cell>
        </row>
        <row r="146">
          <cell r="G146">
            <v>0</v>
          </cell>
        </row>
        <row r="147">
          <cell r="G147">
            <v>0</v>
          </cell>
        </row>
        <row r="150">
          <cell r="G150">
            <v>0.5</v>
          </cell>
        </row>
        <row r="156">
          <cell r="G156">
            <v>1</v>
          </cell>
        </row>
        <row r="160">
          <cell r="G160">
            <v>0.33333333333333331</v>
          </cell>
        </row>
        <row r="161">
          <cell r="G161">
            <v>0.65416666666666656</v>
          </cell>
        </row>
        <row r="162">
          <cell r="G162">
            <v>0.6</v>
          </cell>
        </row>
        <row r="163">
          <cell r="G163">
            <v>0.9</v>
          </cell>
        </row>
        <row r="164">
          <cell r="G164">
            <v>0.625</v>
          </cell>
        </row>
        <row r="165">
          <cell r="G165">
            <v>0.33333333333333331</v>
          </cell>
        </row>
      </sheetData>
      <sheetData sheetId="10">
        <row r="2">
          <cell r="D2">
            <v>0</v>
          </cell>
        </row>
        <row r="3">
          <cell r="D3">
            <v>0</v>
          </cell>
        </row>
        <row r="4">
          <cell r="G4">
            <v>1</v>
          </cell>
        </row>
        <row r="9">
          <cell r="D9">
            <v>0</v>
          </cell>
        </row>
        <row r="10">
          <cell r="G10">
            <v>0</v>
          </cell>
        </row>
        <row r="17">
          <cell r="G17">
            <v>0.5</v>
          </cell>
        </row>
        <row r="24">
          <cell r="G24">
            <v>1</v>
          </cell>
        </row>
        <row r="31">
          <cell r="G31">
            <v>0.25</v>
          </cell>
        </row>
        <row r="37">
          <cell r="G37">
            <v>0.8</v>
          </cell>
        </row>
        <row r="43">
          <cell r="G43">
            <v>0.45</v>
          </cell>
        </row>
        <row r="44">
          <cell r="G44">
            <v>0</v>
          </cell>
        </row>
        <row r="49">
          <cell r="G49">
            <v>0</v>
          </cell>
        </row>
        <row r="53">
          <cell r="D53">
            <v>0</v>
          </cell>
        </row>
        <row r="54">
          <cell r="G54">
            <v>1</v>
          </cell>
        </row>
        <row r="57">
          <cell r="G57">
            <v>0</v>
          </cell>
        </row>
        <row r="63">
          <cell r="G63">
            <v>0</v>
          </cell>
        </row>
        <row r="69">
          <cell r="G69">
            <v>1</v>
          </cell>
        </row>
        <row r="75">
          <cell r="G75">
            <v>1</v>
          </cell>
        </row>
        <row r="80">
          <cell r="G80">
            <v>0</v>
          </cell>
        </row>
        <row r="84">
          <cell r="G84">
            <v>0</v>
          </cell>
        </row>
        <row r="87">
          <cell r="G87">
            <v>0.25</v>
          </cell>
        </row>
        <row r="92">
          <cell r="G92">
            <v>0.66666666666666663</v>
          </cell>
        </row>
        <row r="96">
          <cell r="G96">
            <v>1</v>
          </cell>
        </row>
        <row r="101">
          <cell r="G101">
            <v>1</v>
          </cell>
        </row>
        <row r="102">
          <cell r="G102">
            <v>0</v>
          </cell>
        </row>
        <row r="103">
          <cell r="G103">
            <v>1</v>
          </cell>
        </row>
        <row r="104">
          <cell r="G104">
            <v>1</v>
          </cell>
        </row>
        <row r="107">
          <cell r="G107">
            <v>0</v>
          </cell>
        </row>
        <row r="111">
          <cell r="G111">
            <v>1</v>
          </cell>
        </row>
        <row r="116">
          <cell r="G116">
            <v>0</v>
          </cell>
        </row>
        <row r="120">
          <cell r="G120">
            <v>0</v>
          </cell>
        </row>
        <row r="124">
          <cell r="G124">
            <v>1</v>
          </cell>
        </row>
        <row r="129">
          <cell r="D129">
            <v>0</v>
          </cell>
        </row>
        <row r="132">
          <cell r="G132">
            <v>0</v>
          </cell>
        </row>
        <row r="136">
          <cell r="G136">
            <v>0.5</v>
          </cell>
        </row>
        <row r="139">
          <cell r="G139">
            <v>0</v>
          </cell>
        </row>
        <row r="142">
          <cell r="G142">
            <v>0.66666666666666663</v>
          </cell>
        </row>
        <row r="147">
          <cell r="G147">
            <v>0</v>
          </cell>
        </row>
        <row r="148">
          <cell r="G148">
            <v>0</v>
          </cell>
        </row>
        <row r="151">
          <cell r="G151">
            <v>0</v>
          </cell>
        </row>
        <row r="155">
          <cell r="G155">
            <v>0.5</v>
          </cell>
        </row>
        <row r="161">
          <cell r="G161">
            <v>1</v>
          </cell>
        </row>
        <row r="165">
          <cell r="G165">
            <v>0.66666666666666663</v>
          </cell>
        </row>
        <row r="166">
          <cell r="G166">
            <v>0.63749999999999996</v>
          </cell>
        </row>
        <row r="167">
          <cell r="G167">
            <v>6.25E-2</v>
          </cell>
        </row>
        <row r="168">
          <cell r="G168">
            <v>0.7055555555555556</v>
          </cell>
        </row>
        <row r="169">
          <cell r="G169">
            <v>0.66666666666666663</v>
          </cell>
        </row>
        <row r="170">
          <cell r="G170">
            <v>0.61759259259259258</v>
          </cell>
        </row>
      </sheetData>
      <sheetData sheetId="11">
        <row r="2">
          <cell r="D2">
            <v>0</v>
          </cell>
        </row>
        <row r="3">
          <cell r="D3">
            <v>0</v>
          </cell>
        </row>
        <row r="4">
          <cell r="D4">
            <v>0</v>
          </cell>
        </row>
        <row r="5">
          <cell r="D5">
            <v>0</v>
          </cell>
        </row>
        <row r="6">
          <cell r="G6">
            <v>0</v>
          </cell>
        </row>
        <row r="13">
          <cell r="G13">
            <v>0.66666666666666663</v>
          </cell>
        </row>
        <row r="19">
          <cell r="G19">
            <v>0</v>
          </cell>
        </row>
        <row r="24">
          <cell r="G24">
            <v>1</v>
          </cell>
        </row>
        <row r="28">
          <cell r="D28">
            <v>0</v>
          </cell>
        </row>
        <row r="29">
          <cell r="G29">
            <v>0</v>
          </cell>
        </row>
        <row r="37">
          <cell r="G37">
            <v>1</v>
          </cell>
        </row>
        <row r="39">
          <cell r="D39">
            <v>0</v>
          </cell>
        </row>
        <row r="42">
          <cell r="G42">
            <v>0</v>
          </cell>
        </row>
        <row r="46">
          <cell r="G46" t="b">
            <v>0</v>
          </cell>
        </row>
        <row r="47">
          <cell r="G47" t="b">
            <v>0</v>
          </cell>
        </row>
      </sheetData>
      <sheetData sheetId="12">
        <row r="3">
          <cell r="D3">
            <v>0</v>
          </cell>
        </row>
        <row r="4">
          <cell r="D4">
            <v>0</v>
          </cell>
        </row>
        <row r="15">
          <cell r="G15">
            <v>1</v>
          </cell>
        </row>
        <row r="21">
          <cell r="G21">
            <v>1</v>
          </cell>
        </row>
        <row r="28">
          <cell r="G28">
            <v>0</v>
          </cell>
        </row>
        <row r="35">
          <cell r="G35">
            <v>0.75</v>
          </cell>
        </row>
        <row r="41">
          <cell r="G41">
            <v>0.25</v>
          </cell>
        </row>
        <row r="47">
          <cell r="G47">
            <v>0.25</v>
          </cell>
        </row>
        <row r="53">
          <cell r="G53">
            <v>0</v>
          </cell>
        </row>
        <row r="58">
          <cell r="G58">
            <v>0</v>
          </cell>
        </row>
        <row r="63">
          <cell r="G63">
            <v>1</v>
          </cell>
        </row>
        <row r="66">
          <cell r="G66">
            <v>0</v>
          </cell>
        </row>
        <row r="72">
          <cell r="G72">
            <v>0</v>
          </cell>
        </row>
        <row r="75">
          <cell r="G75">
            <v>0</v>
          </cell>
        </row>
        <row r="81">
          <cell r="G81">
            <v>1</v>
          </cell>
        </row>
        <row r="82">
          <cell r="G82">
            <v>0</v>
          </cell>
        </row>
        <row r="88">
          <cell r="G88">
            <v>0.18181818181818182</v>
          </cell>
        </row>
        <row r="101">
          <cell r="G101">
            <v>1</v>
          </cell>
        </row>
        <row r="107">
          <cell r="G107">
            <v>1</v>
          </cell>
        </row>
        <row r="112">
          <cell r="G112">
            <v>0</v>
          </cell>
        </row>
        <row r="117">
          <cell r="G117">
            <v>0.5</v>
          </cell>
        </row>
        <row r="121">
          <cell r="G121">
            <v>1</v>
          </cell>
        </row>
        <row r="126">
          <cell r="G126">
            <v>1</v>
          </cell>
        </row>
        <row r="131">
          <cell r="G131">
            <v>0</v>
          </cell>
        </row>
        <row r="135">
          <cell r="G135">
            <v>1</v>
          </cell>
        </row>
        <row r="136">
          <cell r="G136">
            <v>1</v>
          </cell>
        </row>
        <row r="137">
          <cell r="G137">
            <v>0.31168831168831168</v>
          </cell>
        </row>
        <row r="138">
          <cell r="G138">
            <v>1</v>
          </cell>
        </row>
        <row r="139">
          <cell r="G139">
            <v>0.5</v>
          </cell>
        </row>
        <row r="140">
          <cell r="G140">
            <v>0.45</v>
          </cell>
        </row>
      </sheetData>
      <sheetData sheetId="13">
        <row r="2">
          <cell r="D2">
            <v>0</v>
          </cell>
        </row>
        <row r="4">
          <cell r="G4">
            <v>0</v>
          </cell>
        </row>
        <row r="10">
          <cell r="G10">
            <v>0</v>
          </cell>
        </row>
        <row r="16">
          <cell r="G16">
            <v>0</v>
          </cell>
        </row>
        <row r="21">
          <cell r="D21">
            <v>0</v>
          </cell>
        </row>
        <row r="22">
          <cell r="G22">
            <v>1</v>
          </cell>
        </row>
        <row r="29">
          <cell r="G29">
            <v>0</v>
          </cell>
        </row>
        <row r="36">
          <cell r="G36">
            <v>0.25</v>
          </cell>
        </row>
        <row r="42">
          <cell r="G42">
            <v>1</v>
          </cell>
        </row>
        <row r="48">
          <cell r="G48">
            <v>0.2</v>
          </cell>
        </row>
        <row r="54">
          <cell r="G54">
            <v>0.45</v>
          </cell>
        </row>
        <row r="55">
          <cell r="G55">
            <v>1</v>
          </cell>
        </row>
        <row r="59">
          <cell r="D59">
            <v>0</v>
          </cell>
        </row>
        <row r="60">
          <cell r="G60">
            <v>0</v>
          </cell>
        </row>
        <row r="63">
          <cell r="G63">
            <v>0</v>
          </cell>
        </row>
        <row r="69">
          <cell r="G69">
            <v>0</v>
          </cell>
        </row>
        <row r="72">
          <cell r="G72">
            <v>0</v>
          </cell>
        </row>
        <row r="78">
          <cell r="G78">
            <v>1</v>
          </cell>
        </row>
        <row r="79">
          <cell r="G79">
            <v>0</v>
          </cell>
        </row>
        <row r="85">
          <cell r="G85">
            <v>1</v>
          </cell>
        </row>
        <row r="91">
          <cell r="G91">
            <v>1</v>
          </cell>
        </row>
        <row r="101">
          <cell r="G101">
            <v>0.5</v>
          </cell>
        </row>
        <row r="105">
          <cell r="G105">
            <v>1</v>
          </cell>
        </row>
        <row r="110">
          <cell r="G110">
            <v>1</v>
          </cell>
        </row>
        <row r="115">
          <cell r="G115">
            <v>1</v>
          </cell>
        </row>
        <row r="116">
          <cell r="G116">
            <v>1</v>
          </cell>
        </row>
        <row r="117">
          <cell r="G117">
            <v>1</v>
          </cell>
        </row>
        <row r="118">
          <cell r="G118">
            <v>0.48333333333333334</v>
          </cell>
        </row>
        <row r="119">
          <cell r="G119">
            <v>0.75</v>
          </cell>
        </row>
        <row r="120">
          <cell r="G120">
            <v>0.45714285714285718</v>
          </cell>
        </row>
        <row r="121">
          <cell r="G121">
            <v>0.7</v>
          </cell>
        </row>
      </sheetData>
      <sheetData sheetId="14">
        <row r="2">
          <cell r="D2">
            <v>0</v>
          </cell>
        </row>
        <row r="3">
          <cell r="D3">
            <v>0</v>
          </cell>
        </row>
        <row r="4">
          <cell r="G4">
            <v>0</v>
          </cell>
        </row>
        <row r="10">
          <cell r="G10">
            <v>0</v>
          </cell>
        </row>
        <row r="15">
          <cell r="D15">
            <v>0</v>
          </cell>
        </row>
        <row r="16">
          <cell r="G16">
            <v>0</v>
          </cell>
        </row>
        <row r="23">
          <cell r="G23">
            <v>0.5</v>
          </cell>
        </row>
        <row r="30">
          <cell r="G30">
            <v>0.33333333333333331</v>
          </cell>
        </row>
        <row r="37">
          <cell r="G37">
            <v>0</v>
          </cell>
        </row>
        <row r="43">
          <cell r="G43">
            <v>1</v>
          </cell>
        </row>
        <row r="47">
          <cell r="G47">
            <v>0.33333333333333331</v>
          </cell>
        </row>
        <row r="53">
          <cell r="G53">
            <v>0.4</v>
          </cell>
        </row>
        <row r="59">
          <cell r="G59">
            <v>0.5</v>
          </cell>
        </row>
        <row r="63">
          <cell r="G63">
            <v>0.45</v>
          </cell>
        </row>
        <row r="64">
          <cell r="G64">
            <v>0</v>
          </cell>
        </row>
        <row r="69">
          <cell r="G69">
            <v>0</v>
          </cell>
        </row>
        <row r="75">
          <cell r="G75">
            <v>0</v>
          </cell>
        </row>
        <row r="76">
          <cell r="G76">
            <v>0.75</v>
          </cell>
        </row>
        <row r="82">
          <cell r="G82">
            <v>0.5</v>
          </cell>
        </row>
        <row r="88">
          <cell r="G88">
            <v>0.75</v>
          </cell>
        </row>
        <row r="94">
          <cell r="G94">
            <v>0</v>
          </cell>
        </row>
        <row r="100">
          <cell r="G100">
            <v>1</v>
          </cell>
        </row>
        <row r="103">
          <cell r="G103">
            <v>1</v>
          </cell>
        </row>
        <row r="108">
          <cell r="G108">
            <v>0</v>
          </cell>
        </row>
        <row r="111">
          <cell r="G111">
            <v>0.5</v>
          </cell>
        </row>
        <row r="115">
          <cell r="G115">
            <v>1</v>
          </cell>
        </row>
        <row r="116">
          <cell r="G116">
            <v>1</v>
          </cell>
        </row>
        <row r="122">
          <cell r="G122">
            <v>0.5</v>
          </cell>
        </row>
        <row r="128">
          <cell r="G128">
            <v>0</v>
          </cell>
        </row>
        <row r="136">
          <cell r="G136">
            <v>1</v>
          </cell>
        </row>
        <row r="140">
          <cell r="G140">
            <v>1</v>
          </cell>
        </row>
        <row r="141">
          <cell r="G141">
            <v>1</v>
          </cell>
        </row>
        <row r="144">
          <cell r="G144">
            <v>0</v>
          </cell>
        </row>
        <row r="148">
          <cell r="G148">
            <v>0.4</v>
          </cell>
        </row>
        <row r="155">
          <cell r="G155">
            <v>1</v>
          </cell>
        </row>
        <row r="159">
          <cell r="G159">
            <v>0.70972222222222225</v>
          </cell>
        </row>
        <row r="160">
          <cell r="G160">
            <v>0.82874999999999999</v>
          </cell>
        </row>
        <row r="161">
          <cell r="G161">
            <v>0.56278499278499283</v>
          </cell>
        </row>
        <row r="162">
          <cell r="G162" t="e">
            <v>#REF!</v>
          </cell>
        </row>
        <row r="163">
          <cell r="G163">
            <v>0.54677777777777781</v>
          </cell>
        </row>
        <row r="164">
          <cell r="G164">
            <v>0.37724747474747478</v>
          </cell>
        </row>
        <row r="167">
          <cell r="G167">
            <v>0.44722222222222224</v>
          </cell>
        </row>
        <row r="168">
          <cell r="G168">
            <v>0.75</v>
          </cell>
        </row>
        <row r="169">
          <cell r="G169">
            <v>0.25</v>
          </cell>
        </row>
        <row r="170">
          <cell r="G170">
            <v>0.58333333333333337</v>
          </cell>
        </row>
        <row r="171">
          <cell r="G171">
            <v>0.25</v>
          </cell>
        </row>
        <row r="172">
          <cell r="G172">
            <v>1</v>
          </cell>
        </row>
      </sheetData>
      <sheetData sheetId="15">
        <row r="2">
          <cell r="D2">
            <v>0</v>
          </cell>
        </row>
        <row r="4">
          <cell r="D4">
            <v>0</v>
          </cell>
        </row>
        <row r="5">
          <cell r="D5">
            <v>0</v>
          </cell>
        </row>
        <row r="6">
          <cell r="D6">
            <v>1</v>
          </cell>
        </row>
        <row r="7">
          <cell r="D7">
            <v>1</v>
          </cell>
        </row>
        <row r="8">
          <cell r="G8">
            <v>0</v>
          </cell>
        </row>
        <row r="20">
          <cell r="D20">
            <v>0</v>
          </cell>
        </row>
        <row r="21">
          <cell r="G21">
            <v>1</v>
          </cell>
        </row>
        <row r="28">
          <cell r="G28">
            <v>0</v>
          </cell>
        </row>
        <row r="38">
          <cell r="G38">
            <v>1</v>
          </cell>
        </row>
        <row r="44">
          <cell r="G44">
            <v>0.45</v>
          </cell>
        </row>
        <row r="45">
          <cell r="G45">
            <v>0</v>
          </cell>
        </row>
        <row r="50">
          <cell r="G50">
            <v>1</v>
          </cell>
        </row>
        <row r="58">
          <cell r="G58">
            <v>0</v>
          </cell>
        </row>
        <row r="64">
          <cell r="G64">
            <v>0</v>
          </cell>
        </row>
        <row r="70">
          <cell r="G70">
            <v>0</v>
          </cell>
        </row>
        <row r="76">
          <cell r="G76">
            <v>1</v>
          </cell>
        </row>
        <row r="79">
          <cell r="G79">
            <v>1</v>
          </cell>
        </row>
        <row r="82">
          <cell r="G82">
            <v>0.5</v>
          </cell>
        </row>
        <row r="91">
          <cell r="G91">
            <v>0</v>
          </cell>
        </row>
        <row r="93">
          <cell r="G93">
            <v>0.5</v>
          </cell>
        </row>
        <row r="99">
          <cell r="G99">
            <v>0</v>
          </cell>
        </row>
        <row r="107">
          <cell r="G107">
            <v>1</v>
          </cell>
        </row>
        <row r="115">
          <cell r="G115">
            <v>0</v>
          </cell>
        </row>
        <row r="119">
          <cell r="G119">
            <v>1</v>
          </cell>
        </row>
        <row r="123">
          <cell r="G123">
            <v>1</v>
          </cell>
        </row>
        <row r="124">
          <cell r="G124" t="e">
            <v>#REF!</v>
          </cell>
        </row>
        <row r="126">
          <cell r="G126" t="b">
            <v>0</v>
          </cell>
        </row>
        <row r="127">
          <cell r="G127">
            <v>0.625</v>
          </cell>
        </row>
        <row r="128">
          <cell r="G128">
            <v>0.5</v>
          </cell>
        </row>
        <row r="129">
          <cell r="G129">
            <v>0.81666666666666676</v>
          </cell>
        </row>
        <row r="130">
          <cell r="G130">
            <v>0</v>
          </cell>
        </row>
      </sheetData>
      <sheetData sheetId="16">
        <row r="2">
          <cell r="D2">
            <v>0</v>
          </cell>
        </row>
        <row r="3">
          <cell r="D3">
            <v>1</v>
          </cell>
        </row>
        <row r="4">
          <cell r="D4">
            <v>0</v>
          </cell>
        </row>
        <row r="22">
          <cell r="D22">
            <v>0</v>
          </cell>
        </row>
        <row r="23">
          <cell r="G23">
            <v>1</v>
          </cell>
        </row>
        <row r="35">
          <cell r="D35">
            <v>0</v>
          </cell>
        </row>
        <row r="37">
          <cell r="G37">
            <v>0</v>
          </cell>
        </row>
        <row r="44">
          <cell r="G44">
            <v>1</v>
          </cell>
        </row>
        <row r="48">
          <cell r="G48">
            <v>0.75</v>
          </cell>
        </row>
        <row r="54">
          <cell r="G54">
            <v>0</v>
          </cell>
        </row>
        <row r="58">
          <cell r="G58">
            <v>0.45</v>
          </cell>
        </row>
        <row r="59">
          <cell r="G59">
            <v>1</v>
          </cell>
        </row>
        <row r="63">
          <cell r="D63">
            <v>0</v>
          </cell>
        </row>
        <row r="64">
          <cell r="G64">
            <v>0</v>
          </cell>
        </row>
        <row r="67">
          <cell r="G67">
            <v>0</v>
          </cell>
        </row>
        <row r="73">
          <cell r="G73">
            <v>0</v>
          </cell>
        </row>
        <row r="82">
          <cell r="G82">
            <v>1</v>
          </cell>
        </row>
        <row r="85">
          <cell r="G85">
            <v>0</v>
          </cell>
        </row>
        <row r="88">
          <cell r="G88">
            <v>1</v>
          </cell>
        </row>
        <row r="89">
          <cell r="G89">
            <v>1</v>
          </cell>
        </row>
        <row r="96">
          <cell r="D96">
            <v>1</v>
          </cell>
        </row>
        <row r="97">
          <cell r="G97">
            <v>0.75</v>
          </cell>
        </row>
        <row r="106">
          <cell r="G106">
            <v>0</v>
          </cell>
        </row>
        <row r="111">
          <cell r="D111">
            <v>1</v>
          </cell>
        </row>
        <row r="112">
          <cell r="D112" t="e">
            <v>#REF!</v>
          </cell>
        </row>
        <row r="114">
          <cell r="G114" t="b">
            <v>0</v>
          </cell>
        </row>
        <row r="115">
          <cell r="G115">
            <v>0.69000000000000006</v>
          </cell>
        </row>
        <row r="116">
          <cell r="G116">
            <v>0.91666666666666663</v>
          </cell>
        </row>
        <row r="117">
          <cell r="G117">
            <v>1</v>
          </cell>
        </row>
        <row r="118">
          <cell r="G118">
            <v>0.625</v>
          </cell>
        </row>
      </sheetData>
      <sheetData sheetId="17">
        <row r="2">
          <cell r="D2">
            <v>0</v>
          </cell>
        </row>
        <row r="3">
          <cell r="D3">
            <v>0</v>
          </cell>
        </row>
        <row r="4">
          <cell r="D4">
            <v>1</v>
          </cell>
        </row>
        <row r="5">
          <cell r="D5">
            <v>0</v>
          </cell>
        </row>
        <row r="6">
          <cell r="G6">
            <v>0</v>
          </cell>
        </row>
        <row r="13">
          <cell r="G13">
            <v>1</v>
          </cell>
        </row>
        <row r="20">
          <cell r="G20">
            <v>1</v>
          </cell>
        </row>
        <row r="27">
          <cell r="G27">
            <v>0</v>
          </cell>
        </row>
        <row r="33">
          <cell r="G33">
            <v>1</v>
          </cell>
        </row>
        <row r="37">
          <cell r="G37">
            <v>0.25</v>
          </cell>
        </row>
        <row r="43">
          <cell r="G43">
            <v>1</v>
          </cell>
        </row>
        <row r="48">
          <cell r="G48">
            <v>0.5</v>
          </cell>
        </row>
        <row r="49">
          <cell r="G49">
            <v>0</v>
          </cell>
        </row>
        <row r="54">
          <cell r="G54">
            <v>0</v>
          </cell>
        </row>
        <row r="60">
          <cell r="G60">
            <v>0.25</v>
          </cell>
        </row>
        <row r="70">
          <cell r="G70">
            <v>0</v>
          </cell>
        </row>
        <row r="74">
          <cell r="G74">
            <v>0.5</v>
          </cell>
        </row>
        <row r="80">
          <cell r="G80">
            <v>0.18181818181818182</v>
          </cell>
        </row>
        <row r="93">
          <cell r="G93">
            <v>0.66666666666666663</v>
          </cell>
        </row>
        <row r="98">
          <cell r="B98" t="str">
            <v>Upland Inclusions</v>
          </cell>
        </row>
        <row r="101">
          <cell r="G101">
            <v>0</v>
          </cell>
        </row>
        <row r="104">
          <cell r="G104">
            <v>0.5</v>
          </cell>
        </row>
        <row r="108">
          <cell r="G108">
            <v>1</v>
          </cell>
        </row>
        <row r="113">
          <cell r="G113">
            <v>1</v>
          </cell>
        </row>
        <row r="118">
          <cell r="G118">
            <v>1</v>
          </cell>
        </row>
        <row r="121">
          <cell r="G121">
            <v>0</v>
          </cell>
        </row>
        <row r="125">
          <cell r="G125">
            <v>0</v>
          </cell>
        </row>
        <row r="130">
          <cell r="G130">
            <v>0.33333333333333331</v>
          </cell>
        </row>
        <row r="135">
          <cell r="G135">
            <v>0</v>
          </cell>
        </row>
        <row r="141">
          <cell r="G141">
            <v>0</v>
          </cell>
        </row>
        <row r="146">
          <cell r="G146">
            <v>0.25</v>
          </cell>
        </row>
        <row r="152">
          <cell r="G152">
            <v>0.4</v>
          </cell>
        </row>
        <row r="158">
          <cell r="G158">
            <v>0</v>
          </cell>
        </row>
        <row r="166">
          <cell r="G166">
            <v>0</v>
          </cell>
        </row>
        <row r="167">
          <cell r="G167">
            <v>0.4</v>
          </cell>
        </row>
        <row r="180">
          <cell r="G180">
            <v>0</v>
          </cell>
        </row>
        <row r="188">
          <cell r="G188">
            <v>0</v>
          </cell>
        </row>
        <row r="194">
          <cell r="G194">
            <v>0.5</v>
          </cell>
        </row>
        <row r="200">
          <cell r="G200">
            <v>0.2</v>
          </cell>
        </row>
        <row r="207">
          <cell r="G207">
            <v>1</v>
          </cell>
        </row>
        <row r="214">
          <cell r="G214">
            <v>0</v>
          </cell>
        </row>
        <row r="220">
          <cell r="G220">
            <v>0</v>
          </cell>
        </row>
        <row r="224">
          <cell r="G224">
            <v>1</v>
          </cell>
        </row>
        <row r="228">
          <cell r="G228">
            <v>0</v>
          </cell>
        </row>
        <row r="232">
          <cell r="G232">
            <v>0</v>
          </cell>
        </row>
        <row r="237">
          <cell r="G237">
            <v>0.66666666666666663</v>
          </cell>
        </row>
        <row r="244">
          <cell r="G244">
            <v>1</v>
          </cell>
        </row>
        <row r="249">
          <cell r="G249" t="b">
            <v>0</v>
          </cell>
        </row>
        <row r="250">
          <cell r="G250">
            <v>0.50198412698412698</v>
          </cell>
        </row>
        <row r="251">
          <cell r="G251">
            <v>0.43308080808080812</v>
          </cell>
        </row>
        <row r="252">
          <cell r="G252">
            <v>0.26666666666666666</v>
          </cell>
        </row>
        <row r="253">
          <cell r="G253">
            <v>0.18</v>
          </cell>
        </row>
        <row r="254">
          <cell r="G254">
            <v>0.6</v>
          </cell>
        </row>
        <row r="255">
          <cell r="G255">
            <v>8.3333333333333329E-2</v>
          </cell>
        </row>
        <row r="256">
          <cell r="G256">
            <v>1</v>
          </cell>
        </row>
      </sheetData>
      <sheetData sheetId="18">
        <row r="2">
          <cell r="D2">
            <v>0</v>
          </cell>
        </row>
        <row r="3">
          <cell r="D3">
            <v>1</v>
          </cell>
        </row>
        <row r="4">
          <cell r="D4">
            <v>0</v>
          </cell>
        </row>
        <row r="6">
          <cell r="G6">
            <v>0</v>
          </cell>
        </row>
        <row r="12">
          <cell r="G12">
            <v>0</v>
          </cell>
        </row>
        <row r="18">
          <cell r="G18">
            <v>0</v>
          </cell>
        </row>
        <row r="23">
          <cell r="D23">
            <v>0</v>
          </cell>
        </row>
        <row r="24">
          <cell r="G24">
            <v>0.3</v>
          </cell>
        </row>
        <row r="30">
          <cell r="G30">
            <v>0.75</v>
          </cell>
        </row>
        <row r="37">
          <cell r="G37">
            <v>0</v>
          </cell>
        </row>
        <row r="44">
          <cell r="G44">
            <v>0.16666666666666666</v>
          </cell>
        </row>
        <row r="50">
          <cell r="G50">
            <v>0.5</v>
          </cell>
        </row>
        <row r="54">
          <cell r="G54">
            <v>0.45</v>
          </cell>
        </row>
        <row r="55">
          <cell r="G55">
            <v>0</v>
          </cell>
        </row>
        <row r="65">
          <cell r="G65">
            <v>1</v>
          </cell>
        </row>
        <row r="71">
          <cell r="D71">
            <v>1</v>
          </cell>
        </row>
        <row r="72">
          <cell r="G72">
            <v>1</v>
          </cell>
        </row>
        <row r="78">
          <cell r="G78">
            <v>0.75</v>
          </cell>
        </row>
        <row r="84">
          <cell r="G84">
            <v>0.3</v>
          </cell>
        </row>
        <row r="90">
          <cell r="G90">
            <v>0</v>
          </cell>
        </row>
        <row r="96">
          <cell r="G96">
            <v>1</v>
          </cell>
        </row>
        <row r="97">
          <cell r="D97">
            <v>0</v>
          </cell>
        </row>
        <row r="101">
          <cell r="G101">
            <v>1</v>
          </cell>
        </row>
        <row r="102">
          <cell r="G102">
            <v>0</v>
          </cell>
        </row>
        <row r="107">
          <cell r="G107">
            <v>0.33333333333333331</v>
          </cell>
        </row>
        <row r="112">
          <cell r="G112">
            <v>0</v>
          </cell>
        </row>
        <row r="118">
          <cell r="G118">
            <v>0</v>
          </cell>
        </row>
        <row r="123">
          <cell r="G123">
            <v>0.2</v>
          </cell>
        </row>
        <row r="130">
          <cell r="G130">
            <v>1</v>
          </cell>
        </row>
        <row r="137">
          <cell r="G137">
            <v>0.5</v>
          </cell>
        </row>
        <row r="141">
          <cell r="G141">
            <v>0</v>
          </cell>
        </row>
        <row r="145">
          <cell r="G145">
            <v>0.9</v>
          </cell>
        </row>
        <row r="152">
          <cell r="G152">
            <v>0</v>
          </cell>
        </row>
        <row r="159">
          <cell r="D159">
            <v>0</v>
          </cell>
        </row>
        <row r="164">
          <cell r="G164">
            <v>0</v>
          </cell>
        </row>
        <row r="170">
          <cell r="G170">
            <v>0</v>
          </cell>
        </row>
        <row r="174">
          <cell r="G174">
            <v>0.4</v>
          </cell>
        </row>
        <row r="181">
          <cell r="G181">
            <v>1</v>
          </cell>
        </row>
        <row r="186">
          <cell r="G186">
            <v>0.48333333333333334</v>
          </cell>
        </row>
        <row r="187">
          <cell r="G187">
            <v>0.42499999999999999</v>
          </cell>
        </row>
        <row r="188">
          <cell r="G188">
            <v>0.68333333333333324</v>
          </cell>
        </row>
        <row r="189">
          <cell r="G189">
            <v>0.5</v>
          </cell>
        </row>
        <row r="190">
          <cell r="G190">
            <v>0.3</v>
          </cell>
        </row>
        <row r="191">
          <cell r="G191">
            <v>0.51249999999999996</v>
          </cell>
        </row>
        <row r="192">
          <cell r="G192">
            <v>0.33333333333333331</v>
          </cell>
        </row>
      </sheetData>
      <sheetData sheetId="19">
        <row r="2">
          <cell r="D2">
            <v>0</v>
          </cell>
        </row>
        <row r="3">
          <cell r="D3">
            <v>0</v>
          </cell>
        </row>
        <row r="10">
          <cell r="G10">
            <v>0</v>
          </cell>
        </row>
        <row r="16">
          <cell r="G16">
            <v>0.8</v>
          </cell>
        </row>
        <row r="23">
          <cell r="G23">
            <v>1</v>
          </cell>
        </row>
        <row r="30">
          <cell r="G30">
            <v>0.25</v>
          </cell>
        </row>
        <row r="36">
          <cell r="G36">
            <v>0.33333333333333331</v>
          </cell>
        </row>
        <row r="42">
          <cell r="G42">
            <v>0.5</v>
          </cell>
        </row>
        <row r="49">
          <cell r="G49">
            <v>0.45</v>
          </cell>
        </row>
        <row r="50">
          <cell r="G50">
            <v>0</v>
          </cell>
        </row>
        <row r="56">
          <cell r="G56">
            <v>0</v>
          </cell>
        </row>
        <row r="69">
          <cell r="G69">
            <v>0</v>
          </cell>
        </row>
        <row r="73">
          <cell r="D73">
            <v>1</v>
          </cell>
        </row>
        <row r="74">
          <cell r="G74">
            <v>0.75</v>
          </cell>
        </row>
        <row r="93">
          <cell r="G93">
            <v>0.5</v>
          </cell>
        </row>
        <row r="99">
          <cell r="G99">
            <v>0.25</v>
          </cell>
        </row>
        <row r="105">
          <cell r="G105">
            <v>1</v>
          </cell>
        </row>
        <row r="108">
          <cell r="G108">
            <v>1</v>
          </cell>
        </row>
        <row r="109">
          <cell r="D109">
            <v>0</v>
          </cell>
        </row>
        <row r="113">
          <cell r="G113">
            <v>1</v>
          </cell>
        </row>
        <row r="118">
          <cell r="G118">
            <v>0</v>
          </cell>
        </row>
        <row r="123">
          <cell r="G123">
            <v>0.33333333333333331</v>
          </cell>
        </row>
        <row r="128">
          <cell r="G128">
            <v>0.5</v>
          </cell>
        </row>
        <row r="134">
          <cell r="G134">
            <v>0</v>
          </cell>
        </row>
        <row r="142">
          <cell r="G142">
            <v>0.5</v>
          </cell>
        </row>
        <row r="155">
          <cell r="G155">
            <v>1</v>
          </cell>
        </row>
        <row r="162">
          <cell r="G162">
            <v>0.5</v>
          </cell>
        </row>
        <row r="163">
          <cell r="D163">
            <v>0</v>
          </cell>
        </row>
        <row r="166">
          <cell r="G166">
            <v>0.9</v>
          </cell>
        </row>
        <row r="179">
          <cell r="G179">
            <v>0.4</v>
          </cell>
        </row>
        <row r="186">
          <cell r="G186">
            <v>1</v>
          </cell>
        </row>
        <row r="192">
          <cell r="G192">
            <v>0</v>
          </cell>
        </row>
        <row r="199">
          <cell r="G199">
            <v>0</v>
          </cell>
        </row>
        <row r="204">
          <cell r="G204">
            <v>0.4</v>
          </cell>
        </row>
        <row r="211">
          <cell r="G211">
            <v>1</v>
          </cell>
        </row>
        <row r="216">
          <cell r="G216" t="b">
            <v>0</v>
          </cell>
        </row>
        <row r="217">
          <cell r="G217" t="b">
            <v>0</v>
          </cell>
        </row>
        <row r="218">
          <cell r="G218">
            <v>0.5</v>
          </cell>
        </row>
        <row r="219">
          <cell r="G219">
            <v>0.65</v>
          </cell>
        </row>
        <row r="220">
          <cell r="G220">
            <v>0.39666666666666667</v>
          </cell>
        </row>
        <row r="221">
          <cell r="G221">
            <v>0.5625</v>
          </cell>
        </row>
        <row r="222">
          <cell r="G222">
            <v>0.4375</v>
          </cell>
        </row>
        <row r="223">
          <cell r="G223">
            <v>0.5</v>
          </cell>
        </row>
      </sheetData>
      <sheetData sheetId="20">
        <row r="2">
          <cell r="D2">
            <v>0</v>
          </cell>
        </row>
        <row r="3">
          <cell r="G3">
            <v>0</v>
          </cell>
        </row>
        <row r="4">
          <cell r="D4">
            <v>0</v>
          </cell>
        </row>
        <row r="16">
          <cell r="D16">
            <v>0</v>
          </cell>
        </row>
        <row r="22">
          <cell r="G22">
            <v>1</v>
          </cell>
        </row>
        <row r="25">
          <cell r="G25">
            <v>0</v>
          </cell>
        </row>
        <row r="31">
          <cell r="G31">
            <v>0</v>
          </cell>
        </row>
        <row r="37">
          <cell r="G37">
            <v>0</v>
          </cell>
        </row>
        <row r="41">
          <cell r="G41">
            <v>0.22727272727272727</v>
          </cell>
        </row>
        <row r="54">
          <cell r="G54">
            <v>1</v>
          </cell>
        </row>
        <row r="57">
          <cell r="G57">
            <v>1.6666666666666667</v>
          </cell>
        </row>
        <row r="62">
          <cell r="G62">
            <v>0</v>
          </cell>
        </row>
        <row r="66">
          <cell r="G66">
            <v>1</v>
          </cell>
        </row>
        <row r="69">
          <cell r="G69">
            <v>0</v>
          </cell>
        </row>
        <row r="72">
          <cell r="G72">
            <v>0.5</v>
          </cell>
        </row>
        <row r="77">
          <cell r="D77">
            <v>1</v>
          </cell>
        </row>
        <row r="78">
          <cell r="G78">
            <v>0</v>
          </cell>
        </row>
        <row r="79">
          <cell r="G79">
            <v>1</v>
          </cell>
        </row>
        <row r="84">
          <cell r="G84">
            <v>0</v>
          </cell>
        </row>
        <row r="89">
          <cell r="G89">
            <v>0.33333333333333331</v>
          </cell>
        </row>
        <row r="94">
          <cell r="G94">
            <v>0.4</v>
          </cell>
        </row>
        <row r="100">
          <cell r="G100">
            <v>0</v>
          </cell>
        </row>
        <row r="108">
          <cell r="G108">
            <v>0</v>
          </cell>
        </row>
        <row r="109">
          <cell r="G109">
            <v>0.4</v>
          </cell>
        </row>
        <row r="116">
          <cell r="G116">
            <v>0</v>
          </cell>
        </row>
        <row r="122">
          <cell r="G122">
            <v>0</v>
          </cell>
        </row>
        <row r="127">
          <cell r="G127">
            <v>0.25</v>
          </cell>
        </row>
        <row r="133">
          <cell r="G133">
            <v>0.25</v>
          </cell>
        </row>
        <row r="139">
          <cell r="G139">
            <v>0</v>
          </cell>
        </row>
        <row r="147">
          <cell r="G147">
            <v>0</v>
          </cell>
        </row>
        <row r="153">
          <cell r="G153">
            <v>0.5</v>
          </cell>
        </row>
        <row r="159">
          <cell r="G159">
            <v>0</v>
          </cell>
        </row>
        <row r="173">
          <cell r="G173">
            <v>0.83333333333333337</v>
          </cell>
        </row>
        <row r="180">
          <cell r="G180">
            <v>0</v>
          </cell>
        </row>
        <row r="199">
          <cell r="G199">
            <v>0</v>
          </cell>
        </row>
        <row r="204">
          <cell r="G204">
            <v>0.4</v>
          </cell>
        </row>
        <row r="211">
          <cell r="G211">
            <v>1</v>
          </cell>
        </row>
        <row r="216">
          <cell r="G216">
            <v>0.54181818181818175</v>
          </cell>
        </row>
        <row r="217">
          <cell r="G217">
            <v>0.19166666666666665</v>
          </cell>
        </row>
        <row r="218">
          <cell r="G218">
            <v>0.1643939393939394</v>
          </cell>
        </row>
        <row r="219">
          <cell r="G219">
            <v>0.61111111111111116</v>
          </cell>
        </row>
      </sheetData>
      <sheetData sheetId="21">
        <row r="3">
          <cell r="G3">
            <v>0</v>
          </cell>
        </row>
        <row r="9">
          <cell r="G9">
            <v>0.25</v>
          </cell>
        </row>
        <row r="18">
          <cell r="G18">
            <v>0</v>
          </cell>
        </row>
        <row r="22">
          <cell r="G22">
            <v>0</v>
          </cell>
        </row>
        <row r="31">
          <cell r="G31">
            <v>0</v>
          </cell>
        </row>
        <row r="36">
          <cell r="G36">
            <v>0</v>
          </cell>
        </row>
        <row r="42">
          <cell r="G42">
            <v>0.24090909090909091</v>
          </cell>
        </row>
        <row r="55">
          <cell r="G55">
            <v>0</v>
          </cell>
        </row>
        <row r="61">
          <cell r="G61">
            <v>0</v>
          </cell>
        </row>
        <row r="64">
          <cell r="G64">
            <v>0.33333333333333331</v>
          </cell>
        </row>
        <row r="69">
          <cell r="G69">
            <v>0</v>
          </cell>
        </row>
        <row r="72">
          <cell r="G72">
            <v>0</v>
          </cell>
        </row>
        <row r="76">
          <cell r="G76">
            <v>0</v>
          </cell>
        </row>
        <row r="77">
          <cell r="G77">
            <v>0.5</v>
          </cell>
        </row>
        <row r="83">
          <cell r="G83">
            <v>0</v>
          </cell>
        </row>
        <row r="89">
          <cell r="G89">
            <v>0.5</v>
          </cell>
        </row>
        <row r="95">
          <cell r="G95">
            <v>0.9</v>
          </cell>
        </row>
        <row r="102">
          <cell r="G102">
            <v>1</v>
          </cell>
        </row>
        <row r="105">
          <cell r="G105">
            <v>0</v>
          </cell>
        </row>
        <row r="118">
          <cell r="G118">
            <v>0</v>
          </cell>
        </row>
        <row r="122">
          <cell r="G122">
            <v>0</v>
          </cell>
        </row>
        <row r="123">
          <cell r="G123" t="e">
            <v>#REF!</v>
          </cell>
        </row>
      </sheetData>
      <sheetData sheetId="22">
        <row r="2">
          <cell r="D2">
            <v>0</v>
          </cell>
        </row>
        <row r="3">
          <cell r="G3">
            <v>0</v>
          </cell>
        </row>
        <row r="9">
          <cell r="G9">
            <v>0</v>
          </cell>
        </row>
        <row r="15">
          <cell r="G15">
            <v>0</v>
          </cell>
        </row>
        <row r="21">
          <cell r="G21">
            <v>0</v>
          </cell>
        </row>
        <row r="28">
          <cell r="G28">
            <v>0</v>
          </cell>
        </row>
        <row r="33">
          <cell r="G33">
            <v>1</v>
          </cell>
        </row>
        <row r="37">
          <cell r="G37">
            <v>0.25</v>
          </cell>
        </row>
        <row r="43">
          <cell r="G43">
            <v>0</v>
          </cell>
        </row>
        <row r="46">
          <cell r="G46">
            <v>0</v>
          </cell>
        </row>
        <row r="50">
          <cell r="G50">
            <v>0</v>
          </cell>
        </row>
        <row r="60">
          <cell r="G60">
            <v>1</v>
          </cell>
        </row>
        <row r="69">
          <cell r="G69">
            <v>0</v>
          </cell>
        </row>
        <row r="86">
          <cell r="G86">
            <v>0</v>
          </cell>
        </row>
        <row r="92">
          <cell r="G92">
            <v>1</v>
          </cell>
        </row>
        <row r="95">
          <cell r="G95">
            <v>0</v>
          </cell>
        </row>
        <row r="100">
          <cell r="G100">
            <v>0.5</v>
          </cell>
        </row>
        <row r="105">
          <cell r="G105">
            <v>1</v>
          </cell>
        </row>
        <row r="109">
          <cell r="G109">
            <v>1</v>
          </cell>
        </row>
        <row r="114">
          <cell r="G114">
            <v>0.75</v>
          </cell>
        </row>
        <row r="120">
          <cell r="G120">
            <v>0</v>
          </cell>
        </row>
        <row r="125">
          <cell r="G125">
            <v>0.66666666666666663</v>
          </cell>
        </row>
        <row r="130">
          <cell r="G130">
            <v>1</v>
          </cell>
        </row>
        <row r="135">
          <cell r="G135">
            <v>0.5</v>
          </cell>
        </row>
        <row r="141">
          <cell r="G141">
            <v>0</v>
          </cell>
        </row>
        <row r="163">
          <cell r="G163">
            <v>0.4</v>
          </cell>
        </row>
        <row r="170">
          <cell r="D170">
            <v>0</v>
          </cell>
        </row>
        <row r="171">
          <cell r="D171">
            <v>0</v>
          </cell>
        </row>
        <row r="174">
          <cell r="G174">
            <v>0</v>
          </cell>
        </row>
        <row r="183">
          <cell r="G183" t="e">
            <v>#REF!</v>
          </cell>
        </row>
        <row r="188">
          <cell r="G188">
            <v>0.4</v>
          </cell>
        </row>
        <row r="195">
          <cell r="G195">
            <v>1</v>
          </cell>
        </row>
        <row r="199">
          <cell r="G199">
            <v>0.48498737373737372</v>
          </cell>
        </row>
        <row r="200">
          <cell r="G200" t="e">
            <v>#REF!</v>
          </cell>
        </row>
        <row r="201">
          <cell r="G201">
            <v>0.37724747474747478</v>
          </cell>
        </row>
        <row r="203">
          <cell r="G203">
            <v>0.33333333333333331</v>
          </cell>
        </row>
        <row r="204">
          <cell r="G204">
            <v>0.42142857142857143</v>
          </cell>
        </row>
        <row r="205">
          <cell r="G205">
            <v>0.67222222222222217</v>
          </cell>
        </row>
      </sheetData>
      <sheetData sheetId="23">
        <row r="2">
          <cell r="G2">
            <v>0.2</v>
          </cell>
        </row>
        <row r="3">
          <cell r="G3">
            <v>0</v>
          </cell>
        </row>
        <row r="4">
          <cell r="G4">
            <v>0</v>
          </cell>
        </row>
        <row r="5">
          <cell r="G5">
            <v>0</v>
          </cell>
        </row>
        <row r="6">
          <cell r="G6">
            <v>0.6</v>
          </cell>
        </row>
        <row r="7">
          <cell r="G7">
            <v>0</v>
          </cell>
        </row>
        <row r="8">
          <cell r="G8">
            <v>0.2</v>
          </cell>
        </row>
        <row r="9">
          <cell r="G9">
            <v>0</v>
          </cell>
        </row>
        <row r="10">
          <cell r="G10">
            <v>0</v>
          </cell>
        </row>
        <row r="15">
          <cell r="G15">
            <v>0</v>
          </cell>
        </row>
        <row r="19">
          <cell r="G19">
            <v>0.25</v>
          </cell>
        </row>
        <row r="25">
          <cell r="G25">
            <v>0</v>
          </cell>
        </row>
        <row r="30">
          <cell r="G30">
            <v>0.66666666666666663</v>
          </cell>
        </row>
        <row r="35">
          <cell r="G35">
            <v>1</v>
          </cell>
        </row>
        <row r="40">
          <cell r="G40">
            <v>0.5</v>
          </cell>
        </row>
        <row r="46">
          <cell r="G46">
            <v>1</v>
          </cell>
        </row>
        <row r="54">
          <cell r="G54">
            <v>0.6</v>
          </cell>
        </row>
        <row r="61">
          <cell r="G61">
            <v>1</v>
          </cell>
        </row>
        <row r="62">
          <cell r="G62">
            <v>0</v>
          </cell>
        </row>
      </sheetData>
      <sheetData sheetId="24">
        <row r="3">
          <cell r="D3">
            <v>0</v>
          </cell>
        </row>
        <row r="4">
          <cell r="D4">
            <v>0</v>
          </cell>
        </row>
        <row r="5">
          <cell r="G5">
            <v>1</v>
          </cell>
        </row>
        <row r="12">
          <cell r="G12">
            <v>0.25</v>
          </cell>
        </row>
        <row r="18">
          <cell r="G18">
            <v>0.25</v>
          </cell>
        </row>
        <row r="29">
          <cell r="G29">
            <v>0</v>
          </cell>
        </row>
        <row r="33">
          <cell r="D33">
            <v>0</v>
          </cell>
        </row>
        <row r="34">
          <cell r="G34">
            <v>1</v>
          </cell>
        </row>
        <row r="37">
          <cell r="G37">
            <v>0</v>
          </cell>
        </row>
        <row r="40">
          <cell r="G40">
            <v>0</v>
          </cell>
        </row>
        <row r="48">
          <cell r="G48">
            <v>0</v>
          </cell>
        </row>
        <row r="52">
          <cell r="G52">
            <v>0</v>
          </cell>
        </row>
        <row r="56">
          <cell r="G56">
            <v>0</v>
          </cell>
        </row>
        <row r="62">
          <cell r="G62">
            <v>1</v>
          </cell>
        </row>
        <row r="68">
          <cell r="G68">
            <v>0</v>
          </cell>
        </row>
        <row r="71">
          <cell r="G71">
            <v>0</v>
          </cell>
        </row>
        <row r="80">
          <cell r="G80">
            <v>0</v>
          </cell>
        </row>
        <row r="86">
          <cell r="G86">
            <v>0</v>
          </cell>
        </row>
        <row r="89">
          <cell r="G89">
            <v>0</v>
          </cell>
        </row>
        <row r="105">
          <cell r="G105">
            <v>0</v>
          </cell>
        </row>
        <row r="110">
          <cell r="G110">
            <v>0</v>
          </cell>
        </row>
        <row r="115">
          <cell r="G115">
            <v>0</v>
          </cell>
        </row>
        <row r="116">
          <cell r="G116">
            <v>0</v>
          </cell>
        </row>
        <row r="122">
          <cell r="G122">
            <v>0</v>
          </cell>
        </row>
        <row r="127">
          <cell r="G127">
            <v>1</v>
          </cell>
        </row>
        <row r="133">
          <cell r="G133">
            <v>0.5</v>
          </cell>
        </row>
        <row r="146">
          <cell r="G146">
            <v>0</v>
          </cell>
        </row>
        <row r="153">
          <cell r="G153">
            <v>0.5</v>
          </cell>
        </row>
        <row r="157">
          <cell r="G157">
            <v>0</v>
          </cell>
        </row>
        <row r="163">
          <cell r="G163">
            <v>0.9</v>
          </cell>
        </row>
        <row r="170">
          <cell r="G170">
            <v>0</v>
          </cell>
        </row>
        <row r="174">
          <cell r="G174">
            <v>0</v>
          </cell>
        </row>
        <row r="179">
          <cell r="G179">
            <v>0.6</v>
          </cell>
        </row>
        <row r="186">
          <cell r="G186" t="b">
            <v>0</v>
          </cell>
        </row>
        <row r="187">
          <cell r="G187">
            <v>0.25</v>
          </cell>
        </row>
        <row r="188">
          <cell r="G188">
            <v>0.33333333333333331</v>
          </cell>
        </row>
        <row r="189">
          <cell r="G189">
            <v>0.55999999999999994</v>
          </cell>
        </row>
      </sheetData>
      <sheetData sheetId="25">
        <row r="3">
          <cell r="G3">
            <v>0</v>
          </cell>
        </row>
        <row r="13">
          <cell r="G13">
            <v>0.6</v>
          </cell>
        </row>
        <row r="20">
          <cell r="G20">
            <v>1</v>
          </cell>
        </row>
        <row r="23">
          <cell r="G23">
            <v>0</v>
          </cell>
        </row>
        <row r="27">
          <cell r="G27">
            <v>0</v>
          </cell>
        </row>
        <row r="37">
          <cell r="G37">
            <v>1</v>
          </cell>
        </row>
        <row r="46">
          <cell r="G46">
            <v>0</v>
          </cell>
        </row>
        <row r="49">
          <cell r="G49">
            <v>1</v>
          </cell>
        </row>
        <row r="55">
          <cell r="G55">
            <v>0</v>
          </cell>
        </row>
        <row r="65">
          <cell r="G65">
            <v>0</v>
          </cell>
        </row>
        <row r="76">
          <cell r="G76" t="e">
            <v>#REF!</v>
          </cell>
        </row>
      </sheetData>
      <sheetData sheetId="26">
        <row r="2">
          <cell r="G2">
            <v>1</v>
          </cell>
        </row>
        <row r="6">
          <cell r="G6">
            <v>-1</v>
          </cell>
        </row>
        <row r="9">
          <cell r="G9">
            <v>1</v>
          </cell>
        </row>
        <row r="16">
          <cell r="G16">
            <v>0.66666666666666663</v>
          </cell>
        </row>
        <row r="20">
          <cell r="G20">
            <v>0</v>
          </cell>
        </row>
        <row r="22">
          <cell r="G22">
            <v>0</v>
          </cell>
        </row>
        <row r="24">
          <cell r="G2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Pg"/>
      <sheetName val="OF"/>
      <sheetName val="F"/>
      <sheetName val="S"/>
      <sheetName val="ShedData"/>
      <sheetName val="Scores"/>
      <sheetName val="WS"/>
      <sheetName val="SFS"/>
      <sheetName val="WC"/>
      <sheetName val="WW"/>
      <sheetName val="SR"/>
      <sheetName val="PR"/>
      <sheetName val="NR"/>
      <sheetName val="CS"/>
      <sheetName val="OE"/>
      <sheetName val="FA"/>
      <sheetName val="FR"/>
      <sheetName val="INV"/>
      <sheetName val="AM"/>
      <sheetName val="WBF"/>
      <sheetName val="WBN"/>
      <sheetName val="SBM"/>
      <sheetName val="POL"/>
      <sheetName val="PH"/>
      <sheetName val="PU"/>
      <sheetName val="SubSis"/>
      <sheetName val="EC"/>
      <sheetName val="Sen"/>
      <sheetName val="STR"/>
      <sheetName val="PlantList"/>
      <sheetName val="WildlifeList"/>
      <sheetName val="LitCitedAll"/>
    </sheetNames>
    <sheetDataSet>
      <sheetData sheetId="0" refreshError="1"/>
      <sheetData sheetId="1">
        <row r="175">
          <cell r="D175">
            <v>0</v>
          </cell>
        </row>
      </sheetData>
      <sheetData sheetId="2">
        <row r="7">
          <cell r="D7">
            <v>0</v>
          </cell>
        </row>
      </sheetData>
      <sheetData sheetId="3"/>
      <sheetData sheetId="4" refreshError="1"/>
      <sheetData sheetId="5" refreshError="1"/>
      <sheetData sheetId="6">
        <row r="3">
          <cell r="G3">
            <v>0</v>
          </cell>
        </row>
        <row r="9">
          <cell r="G9">
            <v>0</v>
          </cell>
        </row>
      </sheetData>
      <sheetData sheetId="7">
        <row r="3">
          <cell r="G3">
            <v>0</v>
          </cell>
        </row>
      </sheetData>
      <sheetData sheetId="8">
        <row r="3">
          <cell r="G3">
            <v>0</v>
          </cell>
        </row>
        <row r="20">
          <cell r="G20">
            <v>0</v>
          </cell>
        </row>
      </sheetData>
      <sheetData sheetId="9">
        <row r="10">
          <cell r="G10">
            <v>0</v>
          </cell>
        </row>
      </sheetData>
      <sheetData sheetId="10">
        <row r="3">
          <cell r="G3">
            <v>0</v>
          </cell>
        </row>
        <row r="9">
          <cell r="G9">
            <v>0</v>
          </cell>
        </row>
      </sheetData>
      <sheetData sheetId="11">
        <row r="3">
          <cell r="G3">
            <v>0</v>
          </cell>
        </row>
        <row r="9">
          <cell r="G9">
            <v>0</v>
          </cell>
        </row>
      </sheetData>
      <sheetData sheetId="12">
        <row r="3">
          <cell r="G3">
            <v>0</v>
          </cell>
        </row>
      </sheetData>
      <sheetData sheetId="13">
        <row r="9">
          <cell r="G9">
            <v>0</v>
          </cell>
        </row>
      </sheetData>
      <sheetData sheetId="14">
        <row r="3">
          <cell r="G3">
            <v>0</v>
          </cell>
        </row>
      </sheetData>
      <sheetData sheetId="15">
        <row r="3">
          <cell r="G3">
            <v>0</v>
          </cell>
        </row>
      </sheetData>
      <sheetData sheetId="16">
        <row r="3">
          <cell r="G3">
            <v>0</v>
          </cell>
        </row>
      </sheetData>
      <sheetData sheetId="17">
        <row r="3">
          <cell r="G3">
            <v>0</v>
          </cell>
        </row>
      </sheetData>
      <sheetData sheetId="18">
        <row r="3">
          <cell r="G3">
            <v>1</v>
          </cell>
        </row>
        <row r="62">
          <cell r="G62">
            <v>0</v>
          </cell>
        </row>
        <row r="142">
          <cell r="G142">
            <v>1</v>
          </cell>
        </row>
        <row r="204">
          <cell r="G204">
            <v>0</v>
          </cell>
        </row>
      </sheetData>
      <sheetData sheetId="19">
        <row r="3">
          <cell r="G3">
            <v>0</v>
          </cell>
        </row>
        <row r="118">
          <cell r="G118">
            <v>1</v>
          </cell>
        </row>
        <row r="158">
          <cell r="G158">
            <v>0</v>
          </cell>
        </row>
      </sheetData>
      <sheetData sheetId="20">
        <row r="3">
          <cell r="G3">
            <v>0</v>
          </cell>
        </row>
        <row r="190">
          <cell r="G190">
            <v>0</v>
          </cell>
        </row>
      </sheetData>
      <sheetData sheetId="21">
        <row r="3">
          <cell r="G3">
            <v>0</v>
          </cell>
        </row>
      </sheetData>
      <sheetData sheetId="22">
        <row r="3">
          <cell r="G3">
            <v>0</v>
          </cell>
        </row>
      </sheetData>
      <sheetData sheetId="23">
        <row r="3">
          <cell r="G3">
            <v>0</v>
          </cell>
        </row>
      </sheetData>
      <sheetData sheetId="24">
        <row r="3">
          <cell r="G3">
            <v>0</v>
          </cell>
        </row>
      </sheetData>
      <sheetData sheetId="25">
        <row r="3">
          <cell r="G3">
            <v>0</v>
          </cell>
        </row>
      </sheetData>
      <sheetData sheetId="26">
        <row r="4">
          <cell r="G4">
            <v>0</v>
          </cell>
        </row>
      </sheetData>
      <sheetData sheetId="27">
        <row r="3">
          <cell r="G3">
            <v>0</v>
          </cell>
        </row>
      </sheetData>
      <sheetData sheetId="28">
        <row r="3">
          <cell r="G3">
            <v>0</v>
          </cell>
        </row>
      </sheetData>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
      <sheetName val="FieldF"/>
      <sheetName val="FieldS"/>
      <sheetName val="FinalScores"/>
      <sheetName val="AllSites"/>
      <sheetName val="WS"/>
      <sheetName val="SR"/>
      <sheetName val="PR"/>
      <sheetName val="NR"/>
      <sheetName val="T"/>
      <sheetName val="CS"/>
      <sheetName val="OE"/>
      <sheetName val="INV"/>
      <sheetName val="FA"/>
      <sheetName val="FR"/>
      <sheetName val="AM"/>
      <sheetName val="WBF"/>
      <sheetName val="WBN"/>
      <sheetName val="SBM"/>
      <sheetName val="POL"/>
      <sheetName val="PD"/>
      <sheetName val="STR"/>
      <sheetName val="Sen"/>
      <sheetName val="CQ"/>
      <sheetName val="PU"/>
      <sheetName val="PS"/>
      <sheetName val="Ma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06">
          <cell r="G206">
            <v>1</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rial Narrow">
      <a:majorFont>
        <a:latin typeface="Arial Narrow"/>
        <a:ea typeface=""/>
        <a:cs typeface=""/>
      </a:majorFont>
      <a:minorFont>
        <a:latin typeface="Arial Narrow"/>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78"/>
  <sheetViews>
    <sheetView tabSelected="1" zoomScale="80" zoomScaleNormal="80" workbookViewId="0">
      <selection activeCell="A2" sqref="A2"/>
    </sheetView>
  </sheetViews>
  <sheetFormatPr defaultRowHeight="12.75" x14ac:dyDescent="0.2"/>
  <cols>
    <col min="1" max="1" width="70.83203125" customWidth="1"/>
    <col min="2" max="2" width="29.1640625" customWidth="1"/>
  </cols>
  <sheetData>
    <row r="1" spans="1:2" ht="30" customHeight="1" thickBot="1" x14ac:dyDescent="0.3">
      <c r="A1" s="1457" t="s">
        <v>2457</v>
      </c>
      <c r="B1" s="1458" t="s">
        <v>2928</v>
      </c>
    </row>
    <row r="2" spans="1:2" ht="30" customHeight="1" x14ac:dyDescent="0.2">
      <c r="A2" s="1459" t="s">
        <v>2252</v>
      </c>
      <c r="B2" s="2267" t="s">
        <v>2945</v>
      </c>
    </row>
    <row r="3" spans="1:2" ht="30" customHeight="1" x14ac:dyDescent="0.2">
      <c r="A3" s="1460" t="s">
        <v>2253</v>
      </c>
      <c r="B3" s="2268" t="s">
        <v>3005</v>
      </c>
    </row>
    <row r="4" spans="1:2" ht="30" customHeight="1" x14ac:dyDescent="0.2">
      <c r="A4" s="1460" t="s">
        <v>2254</v>
      </c>
      <c r="B4" s="2268" t="s">
        <v>2946</v>
      </c>
    </row>
    <row r="5" spans="1:2" ht="30" customHeight="1" x14ac:dyDescent="0.2">
      <c r="A5" s="1460" t="s">
        <v>2255</v>
      </c>
      <c r="B5" s="2268" t="s">
        <v>3006</v>
      </c>
    </row>
    <row r="6" spans="1:2" ht="30" customHeight="1" x14ac:dyDescent="0.2">
      <c r="A6" s="1460" t="s">
        <v>2256</v>
      </c>
      <c r="B6" s="2269" t="s">
        <v>2947</v>
      </c>
    </row>
    <row r="7" spans="1:2" ht="30" customHeight="1" x14ac:dyDescent="0.2">
      <c r="A7" s="1460" t="s">
        <v>2257</v>
      </c>
      <c r="B7" s="2269" t="s">
        <v>2948</v>
      </c>
    </row>
    <row r="8" spans="1:2" ht="30" customHeight="1" x14ac:dyDescent="0.2">
      <c r="A8" s="1460" t="s">
        <v>2298</v>
      </c>
      <c r="B8" s="2269" t="s">
        <v>2949</v>
      </c>
    </row>
    <row r="9" spans="1:2" ht="30" customHeight="1" x14ac:dyDescent="0.2">
      <c r="A9" s="1460" t="s">
        <v>2940</v>
      </c>
      <c r="B9" s="2269" t="s">
        <v>2950</v>
      </c>
    </row>
    <row r="10" spans="1:2" ht="30" customHeight="1" x14ac:dyDescent="0.2">
      <c r="A10" s="1460" t="s">
        <v>2258</v>
      </c>
      <c r="B10" s="2269" t="s">
        <v>3007</v>
      </c>
    </row>
    <row r="11" spans="1:2" ht="30" customHeight="1" x14ac:dyDescent="0.2">
      <c r="A11" s="1461" t="s">
        <v>2259</v>
      </c>
      <c r="B11" s="2268" t="s">
        <v>3008</v>
      </c>
    </row>
    <row r="12" spans="1:2" ht="30" customHeight="1" x14ac:dyDescent="0.2">
      <c r="A12" s="1461" t="s">
        <v>2260</v>
      </c>
      <c r="B12" s="2268" t="s">
        <v>3008</v>
      </c>
    </row>
    <row r="13" spans="1:2" ht="30" customHeight="1" x14ac:dyDescent="0.2">
      <c r="A13" s="1461" t="s">
        <v>2297</v>
      </c>
      <c r="B13" s="2268" t="s">
        <v>3009</v>
      </c>
    </row>
    <row r="14" spans="1:2" ht="30" customHeight="1" x14ac:dyDescent="0.2">
      <c r="A14" s="1461" t="s">
        <v>2342</v>
      </c>
      <c r="B14" s="2268" t="s">
        <v>3010</v>
      </c>
    </row>
    <row r="15" spans="1:2" ht="42" customHeight="1" x14ac:dyDescent="0.2">
      <c r="A15" s="1461" t="s">
        <v>2261</v>
      </c>
      <c r="B15" s="2269" t="s">
        <v>3011</v>
      </c>
    </row>
    <row r="16" spans="1:2" ht="44.25" customHeight="1" x14ac:dyDescent="0.2">
      <c r="A16" s="1461" t="s">
        <v>2262</v>
      </c>
      <c r="B16" s="2270" t="s">
        <v>3012</v>
      </c>
    </row>
    <row r="17" spans="1:2" ht="72" customHeight="1" thickBot="1" x14ac:dyDescent="0.25">
      <c r="A17" s="1462" t="s">
        <v>2263</v>
      </c>
      <c r="B17" s="2271"/>
    </row>
    <row r="18" spans="1:2" s="1465" customFormat="1" x14ac:dyDescent="0.2"/>
    <row r="19" spans="1:2" s="1465" customFormat="1" x14ac:dyDescent="0.2"/>
    <row r="20" spans="1:2" s="1465" customFormat="1" x14ac:dyDescent="0.2"/>
    <row r="21" spans="1:2" s="1465" customFormat="1" x14ac:dyDescent="0.2"/>
    <row r="22" spans="1:2" s="1465" customFormat="1" x14ac:dyDescent="0.2"/>
    <row r="23" spans="1:2" s="1465" customFormat="1" x14ac:dyDescent="0.2"/>
    <row r="24" spans="1:2" s="1465" customFormat="1" x14ac:dyDescent="0.2"/>
    <row r="25" spans="1:2" s="1465" customFormat="1" x14ac:dyDescent="0.2"/>
    <row r="26" spans="1:2" s="1465" customFormat="1" x14ac:dyDescent="0.2"/>
    <row r="27" spans="1:2" s="1465" customFormat="1" x14ac:dyDescent="0.2"/>
    <row r="28" spans="1:2" s="1465" customFormat="1" x14ac:dyDescent="0.2"/>
    <row r="29" spans="1:2" s="1465" customFormat="1" x14ac:dyDescent="0.2"/>
    <row r="30" spans="1:2" s="1465" customFormat="1" x14ac:dyDescent="0.2"/>
    <row r="31" spans="1:2" s="1465" customFormat="1" x14ac:dyDescent="0.2"/>
    <row r="32" spans="1:2" s="1465" customFormat="1" x14ac:dyDescent="0.2"/>
    <row r="33" s="1465" customFormat="1" x14ac:dyDescent="0.2"/>
    <row r="34" s="1465" customFormat="1" x14ac:dyDescent="0.2"/>
    <row r="35" s="1465" customFormat="1" x14ac:dyDescent="0.2"/>
    <row r="36" s="1465" customFormat="1" x14ac:dyDescent="0.2"/>
    <row r="37" s="1465" customFormat="1" x14ac:dyDescent="0.2"/>
    <row r="38" s="1465" customFormat="1" x14ac:dyDescent="0.2"/>
    <row r="39" s="1465" customFormat="1" x14ac:dyDescent="0.2"/>
    <row r="40" s="1465" customFormat="1" x14ac:dyDescent="0.2"/>
    <row r="41" s="1465" customFormat="1" x14ac:dyDescent="0.2"/>
    <row r="42" s="1465" customFormat="1" x14ac:dyDescent="0.2"/>
    <row r="43" s="1465" customFormat="1" x14ac:dyDescent="0.2"/>
    <row r="44" s="1465" customFormat="1" x14ac:dyDescent="0.2"/>
    <row r="45" s="1465" customFormat="1" x14ac:dyDescent="0.2"/>
    <row r="46" s="1465" customFormat="1" x14ac:dyDescent="0.2"/>
    <row r="47" s="1465" customFormat="1" x14ac:dyDescent="0.2"/>
    <row r="48" s="1465" customFormat="1" x14ac:dyDescent="0.2"/>
    <row r="49" s="1465" customFormat="1" x14ac:dyDescent="0.2"/>
    <row r="50" s="1465" customFormat="1" x14ac:dyDescent="0.2"/>
    <row r="51" s="1465" customFormat="1" x14ac:dyDescent="0.2"/>
    <row r="52" s="1465" customFormat="1" x14ac:dyDescent="0.2"/>
    <row r="53" s="1465" customFormat="1" x14ac:dyDescent="0.2"/>
    <row r="54" s="1465" customFormat="1" x14ac:dyDescent="0.2"/>
    <row r="55" s="1465" customFormat="1" x14ac:dyDescent="0.2"/>
    <row r="56" s="1465" customFormat="1" x14ac:dyDescent="0.2"/>
    <row r="57" s="1465" customFormat="1" x14ac:dyDescent="0.2"/>
    <row r="58" s="1465" customFormat="1" x14ac:dyDescent="0.2"/>
    <row r="59" s="1465" customFormat="1" x14ac:dyDescent="0.2"/>
    <row r="60" s="1465" customFormat="1" x14ac:dyDescent="0.2"/>
    <row r="61" s="1465" customFormat="1" x14ac:dyDescent="0.2"/>
    <row r="62" s="1465" customFormat="1" x14ac:dyDescent="0.2"/>
    <row r="63" s="1465" customFormat="1" x14ac:dyDescent="0.2"/>
    <row r="64" s="1465" customFormat="1" x14ac:dyDescent="0.2"/>
    <row r="65" s="1465" customFormat="1" x14ac:dyDescent="0.2"/>
    <row r="66" s="1465" customFormat="1" x14ac:dyDescent="0.2"/>
    <row r="67" s="1465" customFormat="1" x14ac:dyDescent="0.2"/>
    <row r="68" s="1465" customFormat="1" x14ac:dyDescent="0.2"/>
    <row r="69" s="1465" customFormat="1" x14ac:dyDescent="0.2"/>
    <row r="70" s="1465" customFormat="1" x14ac:dyDescent="0.2"/>
    <row r="71" s="1465" customFormat="1" x14ac:dyDescent="0.2"/>
    <row r="72" s="1465" customFormat="1" x14ac:dyDescent="0.2"/>
    <row r="73" s="1465" customFormat="1" x14ac:dyDescent="0.2"/>
    <row r="74" s="1465" customFormat="1" x14ac:dyDescent="0.2"/>
    <row r="75" s="1465" customFormat="1" x14ac:dyDescent="0.2"/>
    <row r="76" s="1465" customFormat="1" x14ac:dyDescent="0.2"/>
    <row r="77" s="1465" customFormat="1" x14ac:dyDescent="0.2"/>
    <row r="78" s="1465" customFormat="1" x14ac:dyDescent="0.2"/>
  </sheetData>
  <sheetProtection algorithmName="SHA-512" hashValue="wnYCsGX+7v8ebuAIlY1Mv/DZqMWpCXyM6iPNd40QHfAih3/XM8GOaQpp4Zym95BDJddvuiNOJYTJu6mehdicIw==" saltValue="gTFH4VociT/m/MQ8h/kPqw==" spinCount="100000" sheet="1" formatCells="0" formatColumns="0" formatRows="0"/>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K60"/>
  <sheetViews>
    <sheetView zoomScaleNormal="100" workbookViewId="0">
      <selection sqref="A1:B1"/>
    </sheetView>
  </sheetViews>
  <sheetFormatPr defaultColWidth="9.33203125" defaultRowHeight="16.5" x14ac:dyDescent="0.2"/>
  <cols>
    <col min="1" max="1" width="5.83203125" style="30" customWidth="1"/>
    <col min="2" max="2" width="18.83203125" style="30" customWidth="1"/>
    <col min="3" max="3" width="75.83203125" style="6" customWidth="1"/>
    <col min="4" max="6" width="7.83203125" style="145" customWidth="1"/>
    <col min="7" max="7" width="9.6640625" style="116" customWidth="1"/>
    <col min="8" max="8" width="65.83203125" style="6" customWidth="1"/>
    <col min="9" max="9" width="12.6640625" style="6" customWidth="1"/>
    <col min="10" max="10" width="9.33203125" style="6"/>
    <col min="11" max="11" width="9.33203125" style="106"/>
    <col min="12" max="16384" width="9.33203125" style="6"/>
  </cols>
  <sheetData>
    <row r="1" spans="1:11" s="101" customFormat="1" ht="45" customHeight="1" thickBot="1" x14ac:dyDescent="0.25">
      <c r="A1" s="2546" t="s">
        <v>1327</v>
      </c>
      <c r="B1" s="2547"/>
      <c r="C1" s="2058" t="s">
        <v>2583</v>
      </c>
      <c r="D1" s="2050" t="s">
        <v>1081</v>
      </c>
      <c r="E1" s="2543"/>
      <c r="F1" s="2544"/>
      <c r="G1" s="2544"/>
      <c r="H1" s="2544"/>
      <c r="I1" s="2544"/>
      <c r="K1" s="378"/>
    </row>
    <row r="2" spans="1:11" s="378" customFormat="1" ht="36" customHeight="1" thickBot="1" x14ac:dyDescent="0.25">
      <c r="A2" s="1158" t="s">
        <v>88</v>
      </c>
      <c r="B2" s="1158" t="s">
        <v>1425</v>
      </c>
      <c r="C2" s="1177" t="s">
        <v>1165</v>
      </c>
      <c r="D2" s="1178" t="s">
        <v>45</v>
      </c>
      <c r="E2" s="1179" t="s">
        <v>1189</v>
      </c>
      <c r="F2" s="1180" t="s">
        <v>1190</v>
      </c>
      <c r="G2" s="1162" t="s">
        <v>2573</v>
      </c>
      <c r="H2" s="1182" t="s">
        <v>1118</v>
      </c>
      <c r="I2" s="1232" t="s">
        <v>2424</v>
      </c>
    </row>
    <row r="3" spans="1:11" ht="25.5" customHeight="1" thickBot="1" x14ac:dyDescent="0.25">
      <c r="A3" s="2368" t="str">
        <f>OF!A122</f>
        <v>OF25</v>
      </c>
      <c r="B3" s="2491" t="str">
        <f>OF!B122</f>
        <v>Aspect</v>
      </c>
      <c r="C3" s="368" t="str">
        <f>OF!C122</f>
        <v>The overland flow direction of most surface water (in streams, rivers, or runoff) that enters the AA is:</v>
      </c>
      <c r="D3" s="445"/>
      <c r="E3" s="445"/>
      <c r="F3" s="446"/>
      <c r="G3" s="465">
        <f>MAX(F4:F6)/MAX(E4:E6)</f>
        <v>0.5</v>
      </c>
      <c r="H3" s="2394" t="s">
        <v>1535</v>
      </c>
      <c r="I3" s="2326" t="s">
        <v>327</v>
      </c>
    </row>
    <row r="4" spans="1:11" ht="15" customHeight="1" x14ac:dyDescent="0.2">
      <c r="A4" s="2369"/>
      <c r="B4" s="2492"/>
      <c r="C4" s="1883" t="str">
        <f>OF!C123</f>
        <v>Northward (N, NE). north-facing contributing area.</v>
      </c>
      <c r="D4" s="212">
        <f>OF!D123</f>
        <v>0</v>
      </c>
      <c r="E4" s="442">
        <v>2</v>
      </c>
      <c r="F4" s="442">
        <f>D4*E4</f>
        <v>0</v>
      </c>
      <c r="G4" s="443"/>
      <c r="H4" s="2396"/>
      <c r="I4" s="2327"/>
    </row>
    <row r="5" spans="1:11" ht="15" customHeight="1" x14ac:dyDescent="0.2">
      <c r="A5" s="2369"/>
      <c r="B5" s="2492"/>
      <c r="C5" s="1620" t="str">
        <f>OF!C124</f>
        <v>Southward (S, SW). south-facing contributing area.</v>
      </c>
      <c r="D5" s="70">
        <f>OF!D124</f>
        <v>0</v>
      </c>
      <c r="E5" s="442">
        <v>0</v>
      </c>
      <c r="F5" s="442">
        <f>D5*E5</f>
        <v>0</v>
      </c>
      <c r="G5" s="437"/>
      <c r="H5" s="2396"/>
      <c r="I5" s="2327"/>
    </row>
    <row r="6" spans="1:11" ht="15" customHeight="1" thickBot="1" x14ac:dyDescent="0.25">
      <c r="A6" s="2370"/>
      <c r="B6" s="2494"/>
      <c r="C6" s="1893" t="str">
        <f>OF!C125</f>
        <v>Other (E, SE, W, NW), or no detectable uphill slope or input channel (flat).</v>
      </c>
      <c r="D6" s="152">
        <f>OF!D125</f>
        <v>1</v>
      </c>
      <c r="E6" s="448">
        <v>1</v>
      </c>
      <c r="F6" s="448">
        <f>D6*E6</f>
        <v>1</v>
      </c>
      <c r="G6" s="449"/>
      <c r="H6" s="2408"/>
      <c r="I6" s="2328"/>
    </row>
    <row r="7" spans="1:11" s="7" customFormat="1" ht="28.5" customHeight="1" thickBot="1" x14ac:dyDescent="0.25">
      <c r="A7" s="2323" t="str">
        <f>F!A4</f>
        <v>F1</v>
      </c>
      <c r="B7" s="2323" t="str">
        <f>F!B4</f>
        <v>Wetland Type</v>
      </c>
      <c r="C7" s="1981" t="str">
        <f>F!C4</f>
        <v>Follow the key below and mark the ONE row that best describes MOST of the vegetated part of the AA:</v>
      </c>
      <c r="D7" s="445"/>
      <c r="E7" s="445"/>
      <c r="F7" s="446"/>
      <c r="G7" s="581">
        <f>MAX(F8:F13)/MAX(E9:E13)</f>
        <v>0.25</v>
      </c>
      <c r="H7" s="2529" t="s">
        <v>1445</v>
      </c>
      <c r="I7" s="2323" t="s">
        <v>418</v>
      </c>
      <c r="K7" s="123"/>
    </row>
    <row r="8" spans="1:11" s="7" customFormat="1" ht="57" customHeight="1" thickBot="1" x14ac:dyDescent="0.25">
      <c r="A8" s="2324"/>
      <c r="B8" s="2399"/>
      <c r="C8" s="73"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8" s="1518"/>
      <c r="E8" s="435"/>
      <c r="F8" s="435"/>
      <c r="G8" s="1496"/>
      <c r="H8" s="2404"/>
      <c r="I8" s="2324"/>
      <c r="K8" s="123"/>
    </row>
    <row r="9" spans="1:11" s="7" customFormat="1" ht="80.25" customHeight="1" x14ac:dyDescent="0.2">
      <c r="A9" s="2324"/>
      <c r="B9" s="2399"/>
      <c r="C9" s="1986"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9" s="205">
        <f>F!D6</f>
        <v>0</v>
      </c>
      <c r="E9" s="435">
        <v>3</v>
      </c>
      <c r="F9" s="442">
        <f>D9*E9</f>
        <v>0</v>
      </c>
      <c r="G9" s="1497"/>
      <c r="H9" s="2404"/>
      <c r="I9" s="2324"/>
      <c r="K9" s="123"/>
    </row>
    <row r="10" spans="1:11" ht="57" customHeight="1" thickBot="1" x14ac:dyDescent="0.25">
      <c r="A10" s="2324"/>
      <c r="B10" s="2399"/>
      <c r="C10" s="1783"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10" s="205">
        <f>F!D7</f>
        <v>0</v>
      </c>
      <c r="E10" s="435">
        <v>4</v>
      </c>
      <c r="F10" s="442">
        <f>D10*E10</f>
        <v>0</v>
      </c>
      <c r="G10" s="1497"/>
      <c r="H10" s="2404"/>
      <c r="I10" s="2324"/>
    </row>
    <row r="11" spans="1:11" ht="39.75" customHeight="1" thickBot="1" x14ac:dyDescent="0.25">
      <c r="A11" s="2324"/>
      <c r="B11" s="2399"/>
      <c r="C11" s="1170" t="str">
        <f>F!C8</f>
        <v>B. Moss and/or lichen cover less than 25% of the ground. Soil is mineral or decomposed organic (muck). Choose between B1 and B2 and mark the choice with a 1 in their adjoining column:</v>
      </c>
      <c r="D11" s="442"/>
      <c r="E11" s="435"/>
      <c r="F11" s="442"/>
      <c r="G11" s="1496"/>
      <c r="H11" s="2404"/>
      <c r="I11" s="2324"/>
    </row>
    <row r="12" spans="1:11" s="7" customFormat="1" ht="38.25" customHeight="1" x14ac:dyDescent="0.2">
      <c r="A12" s="2324"/>
      <c r="B12" s="2399"/>
      <c r="C12" s="1986" t="str">
        <f>F!C9</f>
        <v>B1. Trees and shrubs taller than 1 m comprise more than 25% of the vegetated cover. Surface water is mostly absent or inundates the vegetation only seasonally (e.g., vernal pools or floodplain).</v>
      </c>
      <c r="D12" s="205">
        <f>F!D9</f>
        <v>0</v>
      </c>
      <c r="E12" s="435">
        <v>2</v>
      </c>
      <c r="F12" s="442">
        <f>D12*E12</f>
        <v>0</v>
      </c>
      <c r="G12" s="1496"/>
      <c r="H12" s="2404"/>
      <c r="I12" s="2324"/>
      <c r="K12" s="123"/>
    </row>
    <row r="13" spans="1:11" ht="42" customHeight="1" thickBot="1" x14ac:dyDescent="0.25">
      <c r="A13" s="2325"/>
      <c r="B13" s="2553"/>
      <c r="C13" s="1988"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13" s="206">
        <f>F!D10</f>
        <v>1</v>
      </c>
      <c r="E13" s="468">
        <v>1</v>
      </c>
      <c r="F13" s="448">
        <f>D13*E13</f>
        <v>1</v>
      </c>
      <c r="G13" s="1498"/>
      <c r="H13" s="2530"/>
      <c r="I13" s="2325"/>
    </row>
    <row r="14" spans="1:11" ht="45" customHeight="1" thickBot="1" x14ac:dyDescent="0.25">
      <c r="A14" s="2369" t="str">
        <f>F!A77</f>
        <v>F14</v>
      </c>
      <c r="B14" s="2327" t="str">
        <f>F!B77</f>
        <v>Soil Texture</v>
      </c>
      <c r="C14" s="1474" t="str">
        <f>F!C77</f>
        <v xml:space="preserve">In parts of the AA that lack persistent water, the texture of soil in the uppermost layer is mostly:  [To determine this, use a trowel to check in at least 3 widely spaced locations, and use the soil texture key (in Appendix A of the Manual).] </v>
      </c>
      <c r="D14" s="433"/>
      <c r="E14" s="433"/>
      <c r="F14" s="440"/>
      <c r="G14" s="466">
        <f>MAX(F15:F19)/MAX(E15:E19)</f>
        <v>0.2</v>
      </c>
      <c r="H14" s="2396" t="s">
        <v>1704</v>
      </c>
      <c r="I14" s="2327" t="s">
        <v>324</v>
      </c>
    </row>
    <row r="15" spans="1:11" ht="27" customHeight="1" x14ac:dyDescent="0.2">
      <c r="A15" s="2369"/>
      <c r="B15" s="2327"/>
      <c r="C15" s="373" t="str">
        <f>F!C78</f>
        <v>Loamy: soils that may contain a little fine grit and do not make a "ribbon" longer than 2 cm when moistened, rolled, squeezed, and extended between thumb and forefinger.</v>
      </c>
      <c r="D15" s="212">
        <f>F!D78</f>
        <v>0</v>
      </c>
      <c r="E15" s="442">
        <v>3</v>
      </c>
      <c r="F15" s="442">
        <f>D15*E15</f>
        <v>0</v>
      </c>
      <c r="G15" s="443"/>
      <c r="H15" s="2396"/>
      <c r="I15" s="2327"/>
    </row>
    <row r="16" spans="1:11" ht="27" customHeight="1" x14ac:dyDescent="0.2">
      <c r="A16" s="2369"/>
      <c r="B16" s="2327"/>
      <c r="C16" s="374" t="str">
        <f>F!C79</f>
        <v>Fines: includes silt, clay, silt, soils that make a ribbon longer than 2 cm when moistened, rolled, squeezed, and extended between thumb and forefinger.</v>
      </c>
      <c r="D16" s="70">
        <f>F!D79</f>
        <v>1</v>
      </c>
      <c r="E16" s="442">
        <v>1</v>
      </c>
      <c r="F16" s="442">
        <f>D16*E16</f>
        <v>1</v>
      </c>
      <c r="G16" s="437"/>
      <c r="H16" s="2396"/>
      <c r="I16" s="2327"/>
    </row>
    <row r="17" spans="1:9" ht="16.899999999999999" customHeight="1" x14ac:dyDescent="0.2">
      <c r="A17" s="2369"/>
      <c r="B17" s="2327"/>
      <c r="C17" s="374" t="str">
        <f>F!C80</f>
        <v>Deep Peat, to 40 cm depth or greater.</v>
      </c>
      <c r="D17" s="70">
        <f>F!D80</f>
        <v>0</v>
      </c>
      <c r="E17" s="442">
        <v>5</v>
      </c>
      <c r="F17" s="442">
        <f>D17*E17</f>
        <v>0</v>
      </c>
      <c r="G17" s="437"/>
      <c r="H17" s="2396"/>
      <c r="I17" s="2327"/>
    </row>
    <row r="18" spans="1:9" ht="16.899999999999999" customHeight="1" x14ac:dyDescent="0.2">
      <c r="A18" s="2369"/>
      <c r="B18" s="2327"/>
      <c r="C18" s="374" t="str">
        <f>F!C81</f>
        <v xml:space="preserve">Shallow Peat or organic &lt;40 cm deep. </v>
      </c>
      <c r="D18" s="70">
        <f>F!D81</f>
        <v>0</v>
      </c>
      <c r="E18" s="442">
        <v>4</v>
      </c>
      <c r="F18" s="442">
        <f>D18*E18</f>
        <v>0</v>
      </c>
      <c r="G18" s="437"/>
      <c r="H18" s="2396"/>
      <c r="I18" s="2327"/>
    </row>
    <row r="19" spans="1:9" ht="27" customHeight="1" thickBot="1" x14ac:dyDescent="0.25">
      <c r="A19" s="2370"/>
      <c r="B19" s="2328"/>
      <c r="C19" s="372" t="str">
        <f>F!C82</f>
        <v>Coarse: includes sand, loamy sand, gravel, cobble, soils that do not make a ribbon when moistened, rolled, squeezed, and extended between thumb and forefinger.</v>
      </c>
      <c r="D19" s="152">
        <f>F!D82</f>
        <v>0</v>
      </c>
      <c r="E19" s="448">
        <v>2</v>
      </c>
      <c r="F19" s="448">
        <f>D19*E19</f>
        <v>0</v>
      </c>
      <c r="G19" s="449"/>
      <c r="H19" s="2408"/>
      <c r="I19" s="2328"/>
    </row>
    <row r="20" spans="1:9" ht="30" customHeight="1" thickBot="1" x14ac:dyDescent="0.25">
      <c r="A20" s="2368" t="str">
        <f>F!A153</f>
        <v>F29</v>
      </c>
      <c r="B20" s="2326" t="str">
        <f>F!B153</f>
        <v>Predominant Depth Class</v>
      </c>
      <c r="C20" s="371" t="str">
        <f>F!C153</f>
        <v>During most of the time when surface water is present during the growing season, its depth, averaged over the entire inundated part of the AA, is:</v>
      </c>
      <c r="D20" s="445"/>
      <c r="E20" s="467"/>
      <c r="F20" s="446"/>
      <c r="G20" s="465">
        <f>IF((AllSat1&gt;0),"",IF((TooSmall=1),"",MAX(F21:F25)/MAX(E21:E25)))</f>
        <v>0.5</v>
      </c>
      <c r="H20" s="2394" t="s">
        <v>1801</v>
      </c>
      <c r="I20" s="2326" t="s">
        <v>323</v>
      </c>
    </row>
    <row r="21" spans="1:9" ht="15" customHeight="1" x14ac:dyDescent="0.2">
      <c r="A21" s="2369"/>
      <c r="B21" s="2327"/>
      <c r="C21" s="574" t="str">
        <f>F!C154</f>
        <v>&lt;10 cm deep (but &gt;0).</v>
      </c>
      <c r="D21" s="571">
        <f>F!D154</f>
        <v>0</v>
      </c>
      <c r="E21" s="435">
        <v>0</v>
      </c>
      <c r="F21" s="442">
        <f>D21*E21</f>
        <v>0</v>
      </c>
      <c r="G21" s="443"/>
      <c r="H21" s="2396"/>
      <c r="I21" s="2327"/>
    </row>
    <row r="22" spans="1:9" ht="15" customHeight="1" x14ac:dyDescent="0.2">
      <c r="A22" s="2369"/>
      <c r="B22" s="2327"/>
      <c r="C22" s="294" t="str">
        <f>F!C155</f>
        <v>10 - 50 cm deep.</v>
      </c>
      <c r="D22" s="474">
        <f>F!D155</f>
        <v>0</v>
      </c>
      <c r="E22" s="435">
        <v>1</v>
      </c>
      <c r="F22" s="442">
        <f>D22*E22</f>
        <v>0</v>
      </c>
      <c r="G22" s="437"/>
      <c r="H22" s="2396"/>
      <c r="I22" s="2327"/>
    </row>
    <row r="23" spans="1:9" ht="15" customHeight="1" x14ac:dyDescent="0.2">
      <c r="A23" s="2369"/>
      <c r="B23" s="2327"/>
      <c r="C23" s="294" t="str">
        <f>F!C156</f>
        <v>0.5 - 1 m deep.</v>
      </c>
      <c r="D23" s="474">
        <f>F!D156</f>
        <v>1</v>
      </c>
      <c r="E23" s="435">
        <v>2</v>
      </c>
      <c r="F23" s="442">
        <f>D23*E23</f>
        <v>2</v>
      </c>
      <c r="G23" s="437"/>
      <c r="H23" s="2396"/>
      <c r="I23" s="2327"/>
    </row>
    <row r="24" spans="1:9" ht="15" customHeight="1" x14ac:dyDescent="0.2">
      <c r="A24" s="2369"/>
      <c r="B24" s="2327"/>
      <c r="C24" s="294" t="str">
        <f>F!C157</f>
        <v>1 - 2 m deep.</v>
      </c>
      <c r="D24" s="474">
        <f>F!D157</f>
        <v>0</v>
      </c>
      <c r="E24" s="435">
        <v>3</v>
      </c>
      <c r="F24" s="442">
        <f>D24*E24</f>
        <v>0</v>
      </c>
      <c r="G24" s="437"/>
      <c r="H24" s="2396"/>
      <c r="I24" s="2327"/>
    </row>
    <row r="25" spans="1:9" ht="15" customHeight="1" thickBot="1" x14ac:dyDescent="0.25">
      <c r="A25" s="2370"/>
      <c r="B25" s="2328"/>
      <c r="C25" s="372" t="str">
        <f>F!C158</f>
        <v>&gt;2 m deep. True for many fringe wetlands.</v>
      </c>
      <c r="D25" s="152">
        <f>F!D158</f>
        <v>0</v>
      </c>
      <c r="E25" s="468">
        <v>4</v>
      </c>
      <c r="F25" s="448">
        <f>D25*E25</f>
        <v>0</v>
      </c>
      <c r="G25" s="449"/>
      <c r="H25" s="2408"/>
      <c r="I25" s="2328"/>
    </row>
    <row r="26" spans="1:9" ht="60" customHeight="1" thickBot="1" x14ac:dyDescent="0.25">
      <c r="A26" s="2369" t="str">
        <f>F!A206</f>
        <v>F42</v>
      </c>
      <c r="B26" s="2327" t="str">
        <f>F!B206</f>
        <v>Channel Connection &amp; Outflow Duration</v>
      </c>
      <c r="C26" s="376"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26" s="433"/>
      <c r="E26" s="432"/>
      <c r="F26" s="440"/>
      <c r="G26" s="469">
        <f>MAX(F27:F31)/MAX(E27:E31)</f>
        <v>0.5</v>
      </c>
      <c r="H26" s="2396" t="s">
        <v>578</v>
      </c>
      <c r="I26" s="2326" t="s">
        <v>326</v>
      </c>
    </row>
    <row r="27" spans="1:9" ht="15" customHeight="1" x14ac:dyDescent="0.2">
      <c r="A27" s="2369"/>
      <c r="B27" s="2327"/>
      <c r="C27" s="369" t="str">
        <f>F!C207</f>
        <v>Persistent (surface water flows out for &gt;9 months/year).</v>
      </c>
      <c r="D27" s="212">
        <f>F!D207</f>
        <v>0</v>
      </c>
      <c r="E27" s="442">
        <v>6</v>
      </c>
      <c r="F27" s="442">
        <f>D27*E27</f>
        <v>0</v>
      </c>
      <c r="G27" s="443"/>
      <c r="H27" s="2396"/>
      <c r="I27" s="2327"/>
    </row>
    <row r="28" spans="1:9" ht="15" customHeight="1" x14ac:dyDescent="0.2">
      <c r="A28" s="2369"/>
      <c r="B28" s="2327"/>
      <c r="C28" s="293" t="str">
        <f>F!C208</f>
        <v>Seasonal (surface water flows out for 14 days to 9 months/year, not necessarily consecutive).</v>
      </c>
      <c r="D28" s="70">
        <f>F!D208</f>
        <v>1</v>
      </c>
      <c r="E28" s="442">
        <v>3</v>
      </c>
      <c r="F28" s="442">
        <f>D28*E28</f>
        <v>3</v>
      </c>
      <c r="G28" s="437"/>
      <c r="H28" s="2396"/>
      <c r="I28" s="2327"/>
    </row>
    <row r="29" spans="1:9" ht="15" customHeight="1" x14ac:dyDescent="0.2">
      <c r="A29" s="2369"/>
      <c r="B29" s="2327"/>
      <c r="C29" s="293" t="str">
        <f>F!C209</f>
        <v>Temporary (surface water flows out for &lt;14 days, not necessarily consecutive).</v>
      </c>
      <c r="D29" s="70">
        <f>F!D209</f>
        <v>0</v>
      </c>
      <c r="E29" s="442">
        <v>2</v>
      </c>
      <c r="F29" s="442">
        <f>D29*E29</f>
        <v>0</v>
      </c>
      <c r="G29" s="437"/>
      <c r="H29" s="2396"/>
      <c r="I29" s="2327"/>
    </row>
    <row r="30" spans="1:9" ht="27" customHeight="1" x14ac:dyDescent="0.2">
      <c r="A30" s="2369"/>
      <c r="B30" s="2327"/>
      <c r="C30" s="293" t="str">
        <f>F!C210</f>
        <v>None -- but maps show a stream network downslope from the AA and within a distance that is less than the AA's length. SKIP to F47 (pH Measurement).</v>
      </c>
      <c r="D30" s="70">
        <f>F!D210</f>
        <v>0</v>
      </c>
      <c r="E30" s="442">
        <v>1</v>
      </c>
      <c r="F30" s="442">
        <f>D30*E30</f>
        <v>0</v>
      </c>
      <c r="G30" s="438"/>
      <c r="H30" s="2396"/>
      <c r="I30" s="2327"/>
    </row>
    <row r="31" spans="1:9" ht="27" customHeight="1" thickBot="1" x14ac:dyDescent="0.25">
      <c r="A31" s="2370"/>
      <c r="B31" s="2328"/>
      <c r="C31" s="370" t="str">
        <f>F!C211</f>
        <v>No surface water flows out of the wetland except possibly during extreme events (&lt;once per 10 years). Or, water flows only into a wetland, ditch, or lake that lacks an outlet. SKIP to F47 (pH Measurement).</v>
      </c>
      <c r="D31" s="152">
        <f>F!D211</f>
        <v>0</v>
      </c>
      <c r="E31" s="448">
        <v>0</v>
      </c>
      <c r="F31" s="448">
        <f>D31*E31</f>
        <v>0</v>
      </c>
      <c r="G31" s="449"/>
      <c r="H31" s="2408"/>
      <c r="I31" s="2328"/>
    </row>
    <row r="32" spans="1:9" ht="21" customHeight="1" thickBot="1" x14ac:dyDescent="0.25">
      <c r="A32" s="2554" t="str">
        <f>F!A237</f>
        <v>F50</v>
      </c>
      <c r="B32" s="2327" t="str">
        <f>F!B237</f>
        <v>Groundwater Strength of Evidence</v>
      </c>
      <c r="C32" s="297" t="str">
        <f>F!C237</f>
        <v>Select first applicable choice:</v>
      </c>
      <c r="D32" s="445"/>
      <c r="E32" s="433"/>
      <c r="F32" s="440"/>
      <c r="G32" s="469">
        <f>MAX(F33:F35)/MAX(E33:E35)</f>
        <v>0</v>
      </c>
      <c r="H32" s="2396" t="s">
        <v>1891</v>
      </c>
      <c r="I32" s="2326" t="s">
        <v>325</v>
      </c>
    </row>
    <row r="33" spans="1:11" ht="42" customHeight="1" x14ac:dyDescent="0.2">
      <c r="A33" s="2554"/>
      <c r="B33" s="2327"/>
      <c r="C33" s="373"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33" s="212">
        <f>F!D238</f>
        <v>0</v>
      </c>
      <c r="E33" s="442">
        <v>3</v>
      </c>
      <c r="F33" s="442">
        <f>D33*E33</f>
        <v>0</v>
      </c>
      <c r="G33" s="443"/>
      <c r="H33" s="2396"/>
      <c r="I33" s="2327"/>
    </row>
    <row r="34" spans="1:11" ht="27" customHeight="1" x14ac:dyDescent="0.2">
      <c r="A34" s="2554"/>
      <c r="B34" s="2327"/>
      <c r="C34" s="374" t="str">
        <f>F!C239</f>
        <v>Most of the AA has a slope of &gt;5%, or is very close to the base of a natural slope longer than 100 and much steeper than the slope of the AA,  AND the pH of surface water, if known, is &gt;5.5.</v>
      </c>
      <c r="D34" s="70">
        <f>F!D239</f>
        <v>0</v>
      </c>
      <c r="E34" s="442">
        <v>2</v>
      </c>
      <c r="F34" s="442">
        <f>D34*E34</f>
        <v>0</v>
      </c>
      <c r="G34" s="437"/>
      <c r="H34" s="2396"/>
      <c r="I34" s="2327"/>
    </row>
    <row r="35" spans="1:11" ht="27" customHeight="1" thickBot="1" x14ac:dyDescent="0.25">
      <c r="A35" s="2554"/>
      <c r="B35" s="2327"/>
      <c r="C35" s="294" t="str">
        <f>F!C240</f>
        <v>Neither of above is true, although some groundwater may discharge to or flow through the AA. Or groundwater influx is unknown.</v>
      </c>
      <c r="D35" s="337">
        <f>F!D240</f>
        <v>1</v>
      </c>
      <c r="E35" s="444">
        <v>0</v>
      </c>
      <c r="F35" s="444">
        <f>D35*E35</f>
        <v>0</v>
      </c>
      <c r="G35" s="438"/>
      <c r="H35" s="2396"/>
      <c r="I35" s="2328"/>
    </row>
    <row r="36" spans="1:11" s="106" customFormat="1" ht="36" customHeight="1" thickBot="1" x14ac:dyDescent="0.25">
      <c r="A36" s="1183" t="s">
        <v>88</v>
      </c>
      <c r="B36" s="1184" t="s">
        <v>1899</v>
      </c>
      <c r="C36" s="1185" t="s">
        <v>1165</v>
      </c>
      <c r="D36" s="1186" t="s">
        <v>45</v>
      </c>
      <c r="E36" s="1187" t="s">
        <v>1189</v>
      </c>
      <c r="F36" s="1188" t="s">
        <v>1190</v>
      </c>
      <c r="G36" s="1189" t="s">
        <v>2573</v>
      </c>
      <c r="H36" s="1190" t="s">
        <v>1118</v>
      </c>
      <c r="I36" s="1190" t="s">
        <v>2424</v>
      </c>
    </row>
    <row r="37" spans="1:11" ht="60" customHeight="1" thickBot="1" x14ac:dyDescent="0.25">
      <c r="A37" s="4" t="str">
        <f>OF!A97</f>
        <v>OF18</v>
      </c>
      <c r="B37" s="1844" t="str">
        <f>OF!B97</f>
        <v>Relative Elevation in Watershed</v>
      </c>
      <c r="C37" s="73" t="str">
        <f>OF!C97</f>
        <v>In Google Earth, enable the Terrain layer (lower left menu) and open the NB_Watersheds KMZ file that accompanies this calculator. Then determine the AA's approximate elevation (bottom right, NOT the "eye alt").  Then move cursor around to determine the watershed's maximum and minimum elevation.  Divide the AA's elevation by the (max-min).</v>
      </c>
      <c r="D37" s="467"/>
      <c r="E37" s="445"/>
      <c r="F37" s="446"/>
      <c r="G37" s="2051">
        <f>ShedPos</f>
        <v>0.01</v>
      </c>
      <c r="H37" s="1840" t="s">
        <v>1534</v>
      </c>
      <c r="I37" s="1843" t="s">
        <v>2037</v>
      </c>
      <c r="K37" s="6"/>
    </row>
    <row r="38" spans="1:11" ht="30" customHeight="1" thickBot="1" x14ac:dyDescent="0.25">
      <c r="A38" s="2555"/>
      <c r="B38" s="2326" t="s">
        <v>487</v>
      </c>
      <c r="C38" s="859" t="s">
        <v>488</v>
      </c>
      <c r="D38" s="459"/>
      <c r="E38" s="459"/>
      <c r="F38" s="454"/>
      <c r="G38" s="455">
        <f>INV!G154/10</f>
        <v>0.62291666666666667</v>
      </c>
      <c r="H38" s="103" t="s">
        <v>490</v>
      </c>
      <c r="I38" s="103" t="s">
        <v>334</v>
      </c>
    </row>
    <row r="39" spans="1:11" ht="30" customHeight="1" thickBot="1" x14ac:dyDescent="0.25">
      <c r="A39" s="2555"/>
      <c r="B39" s="2327"/>
      <c r="C39" s="859" t="s">
        <v>84</v>
      </c>
      <c r="D39" s="459"/>
      <c r="E39" s="459"/>
      <c r="F39" s="454"/>
      <c r="G39" s="455">
        <f>FA!G150/10</f>
        <v>0</v>
      </c>
      <c r="H39" s="103" t="s">
        <v>490</v>
      </c>
      <c r="I39" s="103" t="s">
        <v>335</v>
      </c>
    </row>
    <row r="40" spans="1:11" ht="30" customHeight="1" thickBot="1" x14ac:dyDescent="0.25">
      <c r="A40" s="2556"/>
      <c r="B40" s="2328"/>
      <c r="C40" s="859" t="s">
        <v>85</v>
      </c>
      <c r="D40" s="459"/>
      <c r="E40" s="459"/>
      <c r="F40" s="459"/>
      <c r="G40" s="455">
        <f>FR!G134/10</f>
        <v>0.61277777777777775</v>
      </c>
      <c r="H40" s="103" t="s">
        <v>490</v>
      </c>
      <c r="I40" s="103" t="s">
        <v>2846</v>
      </c>
    </row>
    <row r="41" spans="1:11" ht="21" customHeight="1" thickBot="1" x14ac:dyDescent="0.25">
      <c r="A41" s="2545"/>
      <c r="B41" s="2545"/>
      <c r="C41" s="2545"/>
      <c r="D41" s="2545"/>
      <c r="E41" s="2545"/>
      <c r="F41" s="2545"/>
      <c r="G41" s="2545"/>
      <c r="H41" s="2545"/>
    </row>
    <row r="42" spans="1:11" ht="21" customHeight="1" x14ac:dyDescent="0.2">
      <c r="A42" s="2560"/>
      <c r="B42" s="2560"/>
      <c r="C42" s="2560"/>
      <c r="D42" s="2565" t="s">
        <v>120</v>
      </c>
      <c r="E42" s="2566"/>
      <c r="F42" s="2566"/>
      <c r="G42" s="1269">
        <f>OutDur2_</f>
        <v>0.5</v>
      </c>
      <c r="H42" s="1422" t="s">
        <v>321</v>
      </c>
      <c r="I42" s="1423" t="s">
        <v>2096</v>
      </c>
    </row>
    <row r="43" spans="1:11" ht="21" customHeight="1" x14ac:dyDescent="0.2">
      <c r="A43" s="2560"/>
      <c r="B43" s="2560"/>
      <c r="C43" s="2560"/>
      <c r="D43" s="2567" t="s">
        <v>2414</v>
      </c>
      <c r="E43" s="2568"/>
      <c r="F43" s="2569"/>
      <c r="G43" s="1270">
        <f>AVERAGE(Aspect2_,Depth2_,Soil2_)</f>
        <v>0.39999999999999997</v>
      </c>
      <c r="H43" s="1407" t="s">
        <v>2091</v>
      </c>
      <c r="I43" s="1424" t="s">
        <v>2097</v>
      </c>
    </row>
    <row r="44" spans="1:11" ht="21" customHeight="1" thickBot="1" x14ac:dyDescent="0.25">
      <c r="A44" s="2560"/>
      <c r="B44" s="2560"/>
      <c r="C44" s="2560"/>
      <c r="D44" s="2563" t="s">
        <v>320</v>
      </c>
      <c r="E44" s="2564"/>
      <c r="F44" s="2564"/>
      <c r="G44" s="1271">
        <f>AVERAGE(Wettype2,Groundw2_)</f>
        <v>0.125</v>
      </c>
      <c r="H44" s="1428" t="s">
        <v>2090</v>
      </c>
      <c r="I44" s="1426" t="s">
        <v>2098</v>
      </c>
    </row>
    <row r="45" spans="1:11" ht="21" customHeight="1" thickBot="1" x14ac:dyDescent="0.25">
      <c r="A45" s="2560"/>
      <c r="B45" s="2560"/>
      <c r="C45" s="2560"/>
      <c r="D45" s="2560"/>
      <c r="E45" s="2560"/>
      <c r="F45" s="2560"/>
      <c r="G45" s="2560"/>
      <c r="H45" s="2560"/>
    </row>
    <row r="46" spans="1:11" ht="30" customHeight="1" thickBot="1" x14ac:dyDescent="0.25">
      <c r="A46" s="2561"/>
      <c r="B46" s="2562"/>
      <c r="C46" s="2557" t="s">
        <v>486</v>
      </c>
      <c r="D46" s="2558"/>
      <c r="E46" s="2559"/>
      <c r="F46" s="1193" t="s">
        <v>52</v>
      </c>
      <c r="G46" s="1191">
        <f>10*ConnectivLF*((ClimateLF + 2*GroundwDisch)/ 3)</f>
        <v>1.0833333333333333</v>
      </c>
      <c r="H46" s="2525" t="s">
        <v>2415</v>
      </c>
      <c r="I46" s="2526"/>
    </row>
    <row r="47" spans="1:11" ht="30" customHeight="1" thickBot="1" x14ac:dyDescent="0.25">
      <c r="A47" s="2561"/>
      <c r="B47" s="2562"/>
      <c r="C47" s="2557" t="s">
        <v>1902</v>
      </c>
      <c r="D47" s="2558"/>
      <c r="E47" s="2559"/>
      <c r="F47" s="1453" t="s">
        <v>2219</v>
      </c>
      <c r="G47" s="1192">
        <f>10*(AVERAGE(ShedPos2,AVERAGE(InvScore2_,AnadScore2_,ResFishScore2_)))</f>
        <v>2.1094907407407408</v>
      </c>
      <c r="H47" s="2525" t="s">
        <v>2092</v>
      </c>
      <c r="I47" s="2526"/>
    </row>
    <row r="48" spans="1:11" ht="21" customHeight="1" thickBot="1" x14ac:dyDescent="0.25">
      <c r="A48" s="6"/>
      <c r="B48" s="6"/>
      <c r="D48" s="6"/>
      <c r="E48" s="6"/>
      <c r="F48" s="6"/>
      <c r="G48" s="6"/>
    </row>
    <row r="49" spans="1:9" ht="21" customHeight="1" thickBot="1" x14ac:dyDescent="0.25">
      <c r="A49" s="6"/>
      <c r="B49" s="6"/>
      <c r="D49" s="6"/>
      <c r="E49" s="6"/>
      <c r="F49" s="6"/>
      <c r="G49" s="6"/>
      <c r="H49" s="2550" t="s">
        <v>669</v>
      </c>
      <c r="I49" s="2551"/>
    </row>
    <row r="50" spans="1:9" ht="27" customHeight="1" x14ac:dyDescent="0.2">
      <c r="A50" s="6"/>
      <c r="B50" s="6"/>
      <c r="D50" s="6"/>
      <c r="E50" s="6"/>
      <c r="F50" s="6"/>
      <c r="G50" s="6"/>
      <c r="H50" s="2368" t="s">
        <v>1499</v>
      </c>
      <c r="I50" s="2552"/>
    </row>
    <row r="51" spans="1:9" ht="27" customHeight="1" x14ac:dyDescent="0.2">
      <c r="A51" s="6"/>
      <c r="B51" s="6"/>
      <c r="D51" s="6"/>
      <c r="E51" s="6"/>
      <c r="F51" s="6"/>
      <c r="G51" s="6"/>
      <c r="H51" s="2531" t="s">
        <v>2034</v>
      </c>
      <c r="I51" s="2532"/>
    </row>
    <row r="52" spans="1:9" ht="42" customHeight="1" x14ac:dyDescent="0.2">
      <c r="A52" s="6"/>
      <c r="B52" s="6"/>
      <c r="D52" s="6"/>
      <c r="E52" s="6"/>
      <c r="F52" s="6"/>
      <c r="G52" s="6"/>
      <c r="H52" s="2531" t="s">
        <v>970</v>
      </c>
      <c r="I52" s="2532"/>
    </row>
    <row r="53" spans="1:9" ht="42" customHeight="1" x14ac:dyDescent="0.2">
      <c r="A53" s="6"/>
      <c r="B53" s="6"/>
      <c r="D53" s="6"/>
      <c r="E53" s="6"/>
      <c r="F53" s="6"/>
      <c r="G53" s="6"/>
      <c r="H53" s="2537" t="s">
        <v>677</v>
      </c>
      <c r="I53" s="2538"/>
    </row>
    <row r="54" spans="1:9" ht="42" customHeight="1" x14ac:dyDescent="0.2">
      <c r="A54" s="6"/>
      <c r="B54" s="6"/>
      <c r="D54" s="6"/>
      <c r="E54" s="6"/>
      <c r="F54" s="6"/>
      <c r="G54" s="6"/>
      <c r="H54" s="2537" t="s">
        <v>1733</v>
      </c>
      <c r="I54" s="2538"/>
    </row>
    <row r="55" spans="1:9" ht="27" customHeight="1" x14ac:dyDescent="0.2">
      <c r="A55" s="6"/>
      <c r="B55" s="6"/>
      <c r="D55" s="6"/>
      <c r="E55" s="6"/>
      <c r="F55" s="6"/>
      <c r="G55" s="6"/>
      <c r="H55" s="2535" t="s">
        <v>1361</v>
      </c>
      <c r="I55" s="2536"/>
    </row>
    <row r="56" spans="1:9" ht="27" customHeight="1" x14ac:dyDescent="0.2">
      <c r="A56" s="6"/>
      <c r="B56" s="6"/>
      <c r="D56" s="6"/>
      <c r="E56" s="6"/>
      <c r="F56" s="6"/>
      <c r="G56" s="6"/>
      <c r="H56" s="2535" t="s">
        <v>1416</v>
      </c>
      <c r="I56" s="2536"/>
    </row>
    <row r="57" spans="1:9" ht="27" customHeight="1" x14ac:dyDescent="0.2">
      <c r="A57" s="6"/>
      <c r="B57" s="6"/>
      <c r="D57" s="6"/>
      <c r="E57" s="6"/>
      <c r="F57" s="6"/>
      <c r="G57" s="6"/>
      <c r="H57" s="2531" t="s">
        <v>678</v>
      </c>
      <c r="I57" s="2532"/>
    </row>
    <row r="58" spans="1:9" ht="27" customHeight="1" x14ac:dyDescent="0.2">
      <c r="A58" s="6"/>
      <c r="B58" s="6"/>
      <c r="D58" s="6"/>
      <c r="E58" s="6"/>
      <c r="F58" s="6"/>
      <c r="G58" s="6"/>
      <c r="H58" s="2531" t="s">
        <v>1166</v>
      </c>
      <c r="I58" s="2532"/>
    </row>
    <row r="59" spans="1:9" ht="27" customHeight="1" x14ac:dyDescent="0.2">
      <c r="A59" s="6"/>
      <c r="B59" s="6"/>
      <c r="D59" s="6"/>
      <c r="E59" s="6"/>
      <c r="F59" s="6"/>
      <c r="G59" s="6"/>
      <c r="H59" s="2531" t="s">
        <v>2035</v>
      </c>
      <c r="I59" s="2532"/>
    </row>
    <row r="60" spans="1:9" ht="42" customHeight="1" thickBot="1" x14ac:dyDescent="0.25">
      <c r="H60" s="2548" t="s">
        <v>1705</v>
      </c>
      <c r="I60" s="2549"/>
    </row>
  </sheetData>
  <sheetProtection algorithmName="SHA-512" hashValue="u4fAZvqW/HZydaB+2hAaY0932Grma4aEo1wkJR4FWKcqH3Mwo91fZ1F89LBlob/fpIFm91r2/drWTj3fr6g1Tw==" saltValue="PkkoEwPWpF4U6kqA7oDTKw==" spinCount="100000" sheet="1" formatCells="0" formatColumns="0" formatRows="0"/>
  <mergeCells count="51">
    <mergeCell ref="C46:E46"/>
    <mergeCell ref="C47:E47"/>
    <mergeCell ref="A45:H45"/>
    <mergeCell ref="A42:C44"/>
    <mergeCell ref="A46:B47"/>
    <mergeCell ref="H47:I47"/>
    <mergeCell ref="D44:F44"/>
    <mergeCell ref="D42:F42"/>
    <mergeCell ref="D43:F43"/>
    <mergeCell ref="A38:A40"/>
    <mergeCell ref="H7:H13"/>
    <mergeCell ref="H26:H31"/>
    <mergeCell ref="B26:B31"/>
    <mergeCell ref="B14:B19"/>
    <mergeCell ref="B38:B40"/>
    <mergeCell ref="B32:B35"/>
    <mergeCell ref="A3:A6"/>
    <mergeCell ref="A20:A25"/>
    <mergeCell ref="B7:B13"/>
    <mergeCell ref="A14:A19"/>
    <mergeCell ref="A32:A35"/>
    <mergeCell ref="A26:A31"/>
    <mergeCell ref="B20:B25"/>
    <mergeCell ref="B3:B6"/>
    <mergeCell ref="A7:A13"/>
    <mergeCell ref="H60:I60"/>
    <mergeCell ref="H49:I49"/>
    <mergeCell ref="H50:I50"/>
    <mergeCell ref="H52:I52"/>
    <mergeCell ref="H53:I53"/>
    <mergeCell ref="H54:I54"/>
    <mergeCell ref="H51:I51"/>
    <mergeCell ref="H59:I59"/>
    <mergeCell ref="H57:I57"/>
    <mergeCell ref="H58:I58"/>
    <mergeCell ref="E1:I1"/>
    <mergeCell ref="I32:I35"/>
    <mergeCell ref="H55:I55"/>
    <mergeCell ref="H56:I56"/>
    <mergeCell ref="H46:I46"/>
    <mergeCell ref="I3:I6"/>
    <mergeCell ref="I7:I13"/>
    <mergeCell ref="I14:I19"/>
    <mergeCell ref="I20:I25"/>
    <mergeCell ref="I26:I31"/>
    <mergeCell ref="H3:H6"/>
    <mergeCell ref="H32:H35"/>
    <mergeCell ref="H20:H25"/>
    <mergeCell ref="H14:H19"/>
    <mergeCell ref="A41:H41"/>
    <mergeCell ref="A1:B1"/>
  </mergeCells>
  <phoneticPr fontId="32"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K78"/>
  <sheetViews>
    <sheetView zoomScaleNormal="100" workbookViewId="0">
      <selection activeCell="D13" sqref="D13"/>
    </sheetView>
  </sheetViews>
  <sheetFormatPr defaultColWidth="9.33203125" defaultRowHeight="16.5" x14ac:dyDescent="0.2"/>
  <cols>
    <col min="1" max="1" width="5.83203125" style="30" customWidth="1"/>
    <col min="2" max="2" width="18.83203125" style="30" customWidth="1"/>
    <col min="3" max="3" width="75.83203125" style="6" customWidth="1"/>
    <col min="4" max="6" width="7.83203125" style="140" customWidth="1"/>
    <col min="7" max="7" width="9.1640625" style="136" customWidth="1"/>
    <col min="8" max="8" width="64.83203125" style="7" customWidth="1"/>
    <col min="9" max="9" width="9.83203125" style="10" customWidth="1"/>
    <col min="10" max="10" width="9.33203125" style="9"/>
    <col min="11" max="11" width="9.33203125" style="126"/>
    <col min="12" max="16384" width="9.33203125" style="9"/>
  </cols>
  <sheetData>
    <row r="1" spans="1:11" s="2060" customFormat="1" ht="48" customHeight="1" thickBot="1" x14ac:dyDescent="0.25">
      <c r="A1" s="2584" t="s">
        <v>2847</v>
      </c>
      <c r="B1" s="2585"/>
      <c r="C1" s="2058" t="s">
        <v>1080</v>
      </c>
      <c r="D1" s="2050" t="s">
        <v>1060</v>
      </c>
      <c r="E1" s="2577"/>
      <c r="F1" s="2578"/>
      <c r="G1" s="2578"/>
      <c r="H1" s="2578"/>
      <c r="I1" s="2578"/>
      <c r="K1" s="377"/>
    </row>
    <row r="2" spans="1:11" s="377" customFormat="1" ht="36" customHeight="1" thickBot="1" x14ac:dyDescent="0.25">
      <c r="A2" s="1195" t="s">
        <v>88</v>
      </c>
      <c r="B2" s="1158" t="s">
        <v>1425</v>
      </c>
      <c r="C2" s="1196" t="s">
        <v>1165</v>
      </c>
      <c r="D2" s="1178" t="s">
        <v>45</v>
      </c>
      <c r="E2" s="1179" t="s">
        <v>1189</v>
      </c>
      <c r="F2" s="1180" t="s">
        <v>1190</v>
      </c>
      <c r="G2" s="1181" t="s">
        <v>2555</v>
      </c>
      <c r="H2" s="1195" t="s">
        <v>1118</v>
      </c>
      <c r="I2" s="1232" t="s">
        <v>2424</v>
      </c>
    </row>
    <row r="3" spans="1:11" ht="21" customHeight="1" thickBot="1" x14ac:dyDescent="0.25">
      <c r="A3" s="2368" t="str">
        <f>OF!A122</f>
        <v>OF25</v>
      </c>
      <c r="B3" s="2326" t="str">
        <f>OF!B122</f>
        <v>Aspect</v>
      </c>
      <c r="C3" s="368" t="str">
        <f>OF!C122</f>
        <v>The overland flow direction of most surface water (in streams, rivers, or runoff) that enters the AA is:</v>
      </c>
      <c r="D3" s="427"/>
      <c r="E3" s="427"/>
      <c r="F3" s="322"/>
      <c r="G3" s="428">
        <f>IF((NoCA=1),"", MAX(F4:F6)/MAX(E4:E6))</f>
        <v>0.5</v>
      </c>
      <c r="H3" s="2323" t="s">
        <v>972</v>
      </c>
      <c r="I3" s="2574" t="s">
        <v>340</v>
      </c>
    </row>
    <row r="4" spans="1:11" ht="15" customHeight="1" x14ac:dyDescent="0.2">
      <c r="A4" s="2369"/>
      <c r="B4" s="2327"/>
      <c r="C4" s="1883" t="str">
        <f>OF!C123</f>
        <v>Northward (N, NE). north-facing contributing area.</v>
      </c>
      <c r="D4" s="212">
        <f>OF!D123</f>
        <v>0</v>
      </c>
      <c r="E4" s="324">
        <v>2</v>
      </c>
      <c r="F4" s="324">
        <f>D4*E4</f>
        <v>0</v>
      </c>
      <c r="G4" s="429"/>
      <c r="H4" s="2324"/>
      <c r="I4" s="2575"/>
    </row>
    <row r="5" spans="1:11" ht="15" customHeight="1" x14ac:dyDescent="0.2">
      <c r="A5" s="2369"/>
      <c r="B5" s="2327"/>
      <c r="C5" s="1620" t="str">
        <f>OF!C124</f>
        <v>Southward (S, SW). south-facing contributing area.</v>
      </c>
      <c r="D5" s="70">
        <f>OF!D124</f>
        <v>0</v>
      </c>
      <c r="E5" s="324">
        <v>0</v>
      </c>
      <c r="F5" s="324">
        <f>D5*E5</f>
        <v>0</v>
      </c>
      <c r="G5" s="430"/>
      <c r="H5" s="2324"/>
      <c r="I5" s="2575"/>
    </row>
    <row r="6" spans="1:11" ht="15" customHeight="1" thickBot="1" x14ac:dyDescent="0.25">
      <c r="A6" s="2370"/>
      <c r="B6" s="2328"/>
      <c r="C6" s="1893" t="str">
        <f>OF!C125</f>
        <v>Other (E, SE, W, NW), or no detectable uphill slope or input channel (flat).</v>
      </c>
      <c r="D6" s="152">
        <f>OF!D125</f>
        <v>1</v>
      </c>
      <c r="E6" s="328">
        <v>1</v>
      </c>
      <c r="F6" s="328">
        <f>D6*E6</f>
        <v>1</v>
      </c>
      <c r="G6" s="431"/>
      <c r="H6" s="2325"/>
      <c r="I6" s="2576"/>
    </row>
    <row r="7" spans="1:11" s="6" customFormat="1" ht="30" customHeight="1" thickBot="1" x14ac:dyDescent="0.25">
      <c r="A7" s="2586" t="str">
        <f>F!A121</f>
        <v>F24</v>
      </c>
      <c r="B7" s="2323" t="str">
        <f>F!B121</f>
        <v>% of AA Without Surface Water</v>
      </c>
      <c r="C7" s="365" t="str">
        <f>F!C121</f>
        <v>The percentage of the AA that never contains surface water during an average year (that is, except perhaps for a few hours after snowmelt or rainstorms), but which is still a wetland, is:</v>
      </c>
      <c r="D7" s="427"/>
      <c r="E7" s="467"/>
      <c r="F7" s="445"/>
      <c r="G7" s="428">
        <f>MAX(F8:F13)/MAX(E8:E13)</f>
        <v>0</v>
      </c>
      <c r="H7" s="2323" t="s">
        <v>663</v>
      </c>
      <c r="I7" s="2326" t="s">
        <v>662</v>
      </c>
      <c r="K7" s="106"/>
    </row>
    <row r="8" spans="1:11" s="6" customFormat="1" ht="15" customHeight="1" x14ac:dyDescent="0.2">
      <c r="A8" s="2399"/>
      <c r="B8" s="2324"/>
      <c r="C8" s="27" t="str">
        <f>F!C122</f>
        <v xml:space="preserve">&lt;1% . In other words, all or nearly all of the AA is covered by water permanently or at least seasonally.  </v>
      </c>
      <c r="D8" s="295">
        <f>F!D122</f>
        <v>1</v>
      </c>
      <c r="E8" s="435">
        <v>0</v>
      </c>
      <c r="F8" s="436">
        <f t="shared" ref="F8:F13" si="0">D8*E8</f>
        <v>0</v>
      </c>
      <c r="G8" s="437"/>
      <c r="H8" s="2324"/>
      <c r="I8" s="2327"/>
      <c r="K8" s="106"/>
    </row>
    <row r="9" spans="1:11" s="6" customFormat="1" ht="15" customHeight="1" x14ac:dyDescent="0.2">
      <c r="A9" s="2399"/>
      <c r="B9" s="2324"/>
      <c r="C9" s="1132" t="str">
        <f>F!C123</f>
        <v>1-25% of the AA,  or &lt;1% but &gt;0.01 ha never contains surface water.</v>
      </c>
      <c r="D9" s="211">
        <f>F!D123</f>
        <v>0</v>
      </c>
      <c r="E9" s="435">
        <v>1</v>
      </c>
      <c r="F9" s="436">
        <f t="shared" si="0"/>
        <v>0</v>
      </c>
      <c r="G9" s="437"/>
      <c r="H9" s="2324"/>
      <c r="I9" s="2327"/>
      <c r="K9" s="106"/>
    </row>
    <row r="10" spans="1:11" s="6" customFormat="1" ht="15" customHeight="1" x14ac:dyDescent="0.2">
      <c r="A10" s="2399"/>
      <c r="B10" s="2324"/>
      <c r="C10" s="1132" t="str">
        <f>F!C124</f>
        <v>25-50% of the AA never contains surface water.</v>
      </c>
      <c r="D10" s="211">
        <f>F!D124</f>
        <v>0</v>
      </c>
      <c r="E10" s="435">
        <v>2</v>
      </c>
      <c r="F10" s="436">
        <f t="shared" si="0"/>
        <v>0</v>
      </c>
      <c r="G10" s="437"/>
      <c r="H10" s="2324"/>
      <c r="I10" s="2327"/>
      <c r="K10" s="106"/>
    </row>
    <row r="11" spans="1:11" s="6" customFormat="1" ht="15" customHeight="1" x14ac:dyDescent="0.2">
      <c r="A11" s="2399"/>
      <c r="B11" s="2324"/>
      <c r="C11" s="1132" t="str">
        <f>F!C125</f>
        <v>50-75% of the AA never contains surface water.</v>
      </c>
      <c r="D11" s="211">
        <f>F!D125</f>
        <v>0</v>
      </c>
      <c r="E11" s="435">
        <v>3</v>
      </c>
      <c r="F11" s="436">
        <f t="shared" si="0"/>
        <v>0</v>
      </c>
      <c r="G11" s="437"/>
      <c r="H11" s="2324"/>
      <c r="I11" s="2327"/>
      <c r="K11" s="106"/>
    </row>
    <row r="12" spans="1:11" s="6" customFormat="1" ht="27" customHeight="1" x14ac:dyDescent="0.2">
      <c r="A12" s="2399"/>
      <c r="B12" s="2324"/>
      <c r="C12" s="1132" t="str">
        <f>F!C126</f>
        <v>75-99% of the AA never contains surface water, OR &gt;99% and there is at least one persistently ponded water body larger than 1 ha in the AA.</v>
      </c>
      <c r="D12" s="238">
        <f>F!D126</f>
        <v>0</v>
      </c>
      <c r="E12" s="435">
        <v>4</v>
      </c>
      <c r="F12" s="436">
        <f t="shared" si="0"/>
        <v>0</v>
      </c>
      <c r="G12" s="437"/>
      <c r="H12" s="2324"/>
      <c r="I12" s="2327"/>
      <c r="K12" s="106"/>
    </row>
    <row r="13" spans="1:11" s="6" customFormat="1" ht="27" customHeight="1" thickBot="1" x14ac:dyDescent="0.25">
      <c r="A13" s="2553"/>
      <c r="B13" s="2325"/>
      <c r="C13" s="153" t="str">
        <f>F!C127</f>
        <v>99-100%. AND there is no persistently ponded water body larger than 1 ha within the AA. Enter "1" and SKIP to F42 (Channel Connection).</v>
      </c>
      <c r="D13" s="239">
        <f>F!D127</f>
        <v>0</v>
      </c>
      <c r="E13" s="468">
        <v>5</v>
      </c>
      <c r="F13" s="453">
        <f t="shared" si="0"/>
        <v>0</v>
      </c>
      <c r="G13" s="449"/>
      <c r="H13" s="2325"/>
      <c r="I13" s="2328"/>
      <c r="K13" s="106"/>
    </row>
    <row r="14" spans="1:11" s="11" customFormat="1" ht="30" customHeight="1" thickBot="1" x14ac:dyDescent="0.25">
      <c r="A14" s="2369" t="str">
        <f>F!A134</f>
        <v>F26</v>
      </c>
      <c r="B14" s="2327" t="str">
        <f>F!B134</f>
        <v>% of Summertime Water that Is Shaded</v>
      </c>
      <c r="C14" s="376" t="str">
        <f>F!C134</f>
        <v>At mid-day during the warmest time of year, the area of surface water within the AA that is shaded by vegetation and other features that are within the AA at that time is:</v>
      </c>
      <c r="D14" s="330"/>
      <c r="E14" s="330"/>
      <c r="F14" s="321"/>
      <c r="G14" s="434">
        <f>IF((AllSat1&gt;0),"",IF((NoPersis=1),"",(MAX(F15:F19)/MAX(E15:E19))))</f>
        <v>0.25</v>
      </c>
      <c r="H14" s="2404" t="s">
        <v>2244</v>
      </c>
      <c r="I14" s="2574" t="s">
        <v>337</v>
      </c>
      <c r="K14" s="110"/>
    </row>
    <row r="15" spans="1:11" s="11" customFormat="1" ht="15" customHeight="1" x14ac:dyDescent="0.2">
      <c r="A15" s="2369"/>
      <c r="B15" s="2327"/>
      <c r="C15" s="369" t="str">
        <f>F!C135</f>
        <v>&lt;5% of the water is shaded, or no surface water is present then.</v>
      </c>
      <c r="D15" s="212">
        <f>F!D135</f>
        <v>0</v>
      </c>
      <c r="E15" s="324">
        <v>0</v>
      </c>
      <c r="F15" s="324">
        <f>D15*E15</f>
        <v>0</v>
      </c>
      <c r="G15" s="429"/>
      <c r="H15" s="2404"/>
      <c r="I15" s="2575"/>
      <c r="K15" s="110"/>
    </row>
    <row r="16" spans="1:11" s="11" customFormat="1" ht="15" customHeight="1" x14ac:dyDescent="0.2">
      <c r="A16" s="2369"/>
      <c r="B16" s="2327"/>
      <c r="C16" s="293" t="str">
        <f>F!C136</f>
        <v>5-25% of the water is shaded.</v>
      </c>
      <c r="D16" s="70">
        <f>F!D136</f>
        <v>1</v>
      </c>
      <c r="E16" s="324">
        <v>1</v>
      </c>
      <c r="F16" s="324">
        <f>D16*E16</f>
        <v>1</v>
      </c>
      <c r="G16" s="430"/>
      <c r="H16" s="2404"/>
      <c r="I16" s="2575"/>
      <c r="K16" s="110"/>
    </row>
    <row r="17" spans="1:11" s="11" customFormat="1" ht="15" customHeight="1" x14ac:dyDescent="0.2">
      <c r="A17" s="2369"/>
      <c r="B17" s="2327"/>
      <c r="C17" s="293" t="str">
        <f>F!C137</f>
        <v>25-50% of the water is shaded.</v>
      </c>
      <c r="D17" s="70">
        <f>F!D137</f>
        <v>0</v>
      </c>
      <c r="E17" s="324">
        <v>2</v>
      </c>
      <c r="F17" s="324">
        <f>D17*E17</f>
        <v>0</v>
      </c>
      <c r="G17" s="430"/>
      <c r="H17" s="2404"/>
      <c r="I17" s="2575"/>
      <c r="K17" s="110"/>
    </row>
    <row r="18" spans="1:11" s="11" customFormat="1" ht="15" customHeight="1" x14ac:dyDescent="0.2">
      <c r="A18" s="2369"/>
      <c r="B18" s="2327"/>
      <c r="C18" s="293" t="str">
        <f>F!C138</f>
        <v>50-75% of the water is shaded.</v>
      </c>
      <c r="D18" s="70">
        <f>F!D138</f>
        <v>0</v>
      </c>
      <c r="E18" s="324">
        <v>3</v>
      </c>
      <c r="F18" s="324">
        <f>D18*E18</f>
        <v>0</v>
      </c>
      <c r="G18" s="430"/>
      <c r="H18" s="2404"/>
      <c r="I18" s="2575"/>
      <c r="K18" s="110"/>
    </row>
    <row r="19" spans="1:11" s="11" customFormat="1" ht="15.6" customHeight="1" thickBot="1" x14ac:dyDescent="0.25">
      <c r="A19" s="2370"/>
      <c r="B19" s="2328"/>
      <c r="C19" s="370" t="str">
        <f>F!C139</f>
        <v>&gt;75% of the water is shaded.</v>
      </c>
      <c r="D19" s="152">
        <f>F!D139</f>
        <v>0</v>
      </c>
      <c r="E19" s="328">
        <v>4</v>
      </c>
      <c r="F19" s="328">
        <f>D19*E19</f>
        <v>0</v>
      </c>
      <c r="G19" s="431"/>
      <c r="H19" s="2530"/>
      <c r="I19" s="2576"/>
      <c r="K19" s="110"/>
    </row>
    <row r="20" spans="1:11" ht="30" customHeight="1" thickBot="1" x14ac:dyDescent="0.25">
      <c r="A20" s="2554" t="str">
        <f>F!A153</f>
        <v>F29</v>
      </c>
      <c r="B20" s="2327" t="str">
        <f>F!B153</f>
        <v>Predominant Depth Class</v>
      </c>
      <c r="C20" s="376" t="str">
        <f>F!C153</f>
        <v>During most of the time when surface water is present during the growing season, its depth, averaged over the entire inundated part of the AA, is:</v>
      </c>
      <c r="D20" s="427"/>
      <c r="E20" s="330"/>
      <c r="F20" s="321"/>
      <c r="G20" s="434">
        <f>IF((AllSat1&gt;0),"",IF((TooSmall=1),"",MAX(F21:F25)/MAX(E21:E25)))</f>
        <v>0.33333333333333331</v>
      </c>
      <c r="H20" s="2404" t="s">
        <v>1802</v>
      </c>
      <c r="I20" s="2574" t="s">
        <v>339</v>
      </c>
    </row>
    <row r="21" spans="1:11" ht="15" customHeight="1" x14ac:dyDescent="0.2">
      <c r="A21" s="2554"/>
      <c r="B21" s="2327"/>
      <c r="C21" s="369" t="str">
        <f>F!C154</f>
        <v>&lt;10 cm deep (but &gt;0).</v>
      </c>
      <c r="D21" s="212">
        <f>F!D154</f>
        <v>0</v>
      </c>
      <c r="E21" s="324">
        <v>0</v>
      </c>
      <c r="F21" s="324">
        <f>D21*E21</f>
        <v>0</v>
      </c>
      <c r="G21" s="429"/>
      <c r="H21" s="2404"/>
      <c r="I21" s="2575"/>
    </row>
    <row r="22" spans="1:11" ht="15" customHeight="1" x14ac:dyDescent="0.2">
      <c r="A22" s="2554"/>
      <c r="B22" s="2327"/>
      <c r="C22" s="293" t="str">
        <f>F!C155</f>
        <v>10 - 50 cm deep.</v>
      </c>
      <c r="D22" s="70">
        <f>F!D155</f>
        <v>0</v>
      </c>
      <c r="E22" s="324">
        <v>1</v>
      </c>
      <c r="F22" s="324">
        <f>D22*E22</f>
        <v>0</v>
      </c>
      <c r="G22" s="430"/>
      <c r="H22" s="2404"/>
      <c r="I22" s="2575"/>
    </row>
    <row r="23" spans="1:11" ht="15" customHeight="1" x14ac:dyDescent="0.2">
      <c r="A23" s="2554"/>
      <c r="B23" s="2327"/>
      <c r="C23" s="293" t="str">
        <f>F!C156</f>
        <v>0.5 - 1 m deep.</v>
      </c>
      <c r="D23" s="70">
        <f>F!D156</f>
        <v>1</v>
      </c>
      <c r="E23" s="324">
        <v>2</v>
      </c>
      <c r="F23" s="324">
        <f>D23*E23</f>
        <v>2</v>
      </c>
      <c r="G23" s="430"/>
      <c r="H23" s="2404"/>
      <c r="I23" s="2575"/>
    </row>
    <row r="24" spans="1:11" ht="15" customHeight="1" x14ac:dyDescent="0.2">
      <c r="A24" s="2554"/>
      <c r="B24" s="2327"/>
      <c r="C24" s="293" t="str">
        <f>F!C157</f>
        <v>1 - 2 m deep.</v>
      </c>
      <c r="D24" s="70">
        <f>F!D157</f>
        <v>0</v>
      </c>
      <c r="E24" s="324">
        <v>4</v>
      </c>
      <c r="F24" s="324">
        <f>D24*E24</f>
        <v>0</v>
      </c>
      <c r="G24" s="430"/>
      <c r="H24" s="2404"/>
      <c r="I24" s="2575"/>
    </row>
    <row r="25" spans="1:11" ht="15.6" customHeight="1" thickBot="1" x14ac:dyDescent="0.25">
      <c r="A25" s="2554"/>
      <c r="B25" s="2327"/>
      <c r="C25" s="375" t="str">
        <f>F!C158</f>
        <v>&gt;2 m deep. True for many fringe wetlands.</v>
      </c>
      <c r="D25" s="337">
        <f>F!D158</f>
        <v>0</v>
      </c>
      <c r="E25" s="326">
        <v>6</v>
      </c>
      <c r="F25" s="326">
        <f>D25*E25</f>
        <v>0</v>
      </c>
      <c r="G25" s="439"/>
      <c r="H25" s="2404"/>
      <c r="I25" s="2576"/>
    </row>
    <row r="26" spans="1:11" s="11" customFormat="1" ht="45" customHeight="1" thickBot="1" x14ac:dyDescent="0.25">
      <c r="A26" s="2587" t="str">
        <f>F!A163</f>
        <v>F31</v>
      </c>
      <c r="B26" s="2323" t="str">
        <f>F!B163</f>
        <v>% of Water That Is Ponded (not Flowing)</v>
      </c>
      <c r="C26" s="365" t="str">
        <f>F!C163</f>
        <v>During most times when surface water is present, the percentage that is (1) ponded (stagnant, or flows so slowly that fine sediment is not held in suspension) AND (2) is likely to be deeper than 0.5 m in some places, is:</v>
      </c>
      <c r="D26" s="427"/>
      <c r="E26" s="304"/>
      <c r="F26" s="322"/>
      <c r="G26" s="428">
        <f>IF((AllSat1&gt;0),"",IF((TooSmall=1),"",MAX(F27:F31)/MAX(E27:E31)))</f>
        <v>1</v>
      </c>
      <c r="H26" s="2323" t="s">
        <v>1879</v>
      </c>
      <c r="I26" s="2574" t="s">
        <v>338</v>
      </c>
      <c r="K26" s="110"/>
    </row>
    <row r="27" spans="1:11" s="11" customFormat="1" ht="15" customHeight="1" x14ac:dyDescent="0.2">
      <c r="A27" s="2588"/>
      <c r="B27" s="2324"/>
      <c r="C27" s="27" t="str">
        <f>F!C164</f>
        <v>&lt;5% of the water, or it occupies &lt;100 sq.m cumulatively. Nearly all the surface water is flowing. SKIP to F34.</v>
      </c>
      <c r="D27" s="237">
        <f>F!D164</f>
        <v>1</v>
      </c>
      <c r="E27" s="300">
        <v>4</v>
      </c>
      <c r="F27" s="324">
        <f>D27*E27</f>
        <v>4</v>
      </c>
      <c r="G27" s="430"/>
      <c r="H27" s="2324"/>
      <c r="I27" s="2575"/>
      <c r="K27" s="110"/>
    </row>
    <row r="28" spans="1:11" s="11" customFormat="1" ht="15" customHeight="1" x14ac:dyDescent="0.2">
      <c r="A28" s="2588"/>
      <c r="B28" s="2324"/>
      <c r="C28" s="5" t="str">
        <f>F!C165</f>
        <v>5-30% of the water.</v>
      </c>
      <c r="D28" s="238">
        <f>F!D165</f>
        <v>0</v>
      </c>
      <c r="E28" s="300">
        <v>3</v>
      </c>
      <c r="F28" s="324">
        <f>D28*E28</f>
        <v>0</v>
      </c>
      <c r="G28" s="430"/>
      <c r="H28" s="2324"/>
      <c r="I28" s="2575"/>
      <c r="K28" s="110"/>
    </row>
    <row r="29" spans="1:11" s="11" customFormat="1" ht="15" customHeight="1" x14ac:dyDescent="0.2">
      <c r="A29" s="2588"/>
      <c r="B29" s="2324"/>
      <c r="C29" s="5" t="str">
        <f>F!C166</f>
        <v>30-70% of the water.</v>
      </c>
      <c r="D29" s="238">
        <f>F!D166</f>
        <v>0</v>
      </c>
      <c r="E29" s="300">
        <v>2</v>
      </c>
      <c r="F29" s="324">
        <f>D29*E29</f>
        <v>0</v>
      </c>
      <c r="G29" s="430"/>
      <c r="H29" s="2324"/>
      <c r="I29" s="2575"/>
      <c r="K29" s="110"/>
    </row>
    <row r="30" spans="1:11" s="11" customFormat="1" ht="15" customHeight="1" x14ac:dyDescent="0.2">
      <c r="A30" s="2588"/>
      <c r="B30" s="2324"/>
      <c r="C30" s="5" t="str">
        <f>F!C167</f>
        <v>70-95% of the water.</v>
      </c>
      <c r="D30" s="238">
        <f>F!D167</f>
        <v>0</v>
      </c>
      <c r="E30" s="300">
        <v>1</v>
      </c>
      <c r="F30" s="324">
        <f>D30*E30</f>
        <v>0</v>
      </c>
      <c r="G30" s="430"/>
      <c r="H30" s="2324"/>
      <c r="I30" s="2575"/>
      <c r="K30" s="110"/>
    </row>
    <row r="31" spans="1:11" s="11" customFormat="1" ht="15.6" customHeight="1" thickBot="1" x14ac:dyDescent="0.25">
      <c r="A31" s="2589"/>
      <c r="B31" s="2325"/>
      <c r="C31" s="153" t="str">
        <f>F!C168</f>
        <v>&gt;95% of the water.</v>
      </c>
      <c r="D31" s="239">
        <f>F!D168</f>
        <v>0</v>
      </c>
      <c r="E31" s="301">
        <v>0</v>
      </c>
      <c r="F31" s="328">
        <f>D31*E31</f>
        <v>0</v>
      </c>
      <c r="G31" s="431"/>
      <c r="H31" s="2325"/>
      <c r="I31" s="2576"/>
      <c r="K31" s="110"/>
    </row>
    <row r="32" spans="1:11" s="11" customFormat="1" ht="30" customHeight="1" thickBot="1" x14ac:dyDescent="0.25">
      <c r="A32" s="2586" t="str">
        <f>F!A170</f>
        <v>F33</v>
      </c>
      <c r="B32" s="2323" t="str">
        <f>F!B170</f>
        <v xml:space="preserve">% of Ponded Water that is Open </v>
      </c>
      <c r="C32" s="4" t="str">
        <f>F!C170</f>
        <v>In ducks-eye aerial view, the percentage of the ponded water that is open (lacking emergent vegetation during most of the growing season, and unhidden by a forest or shrub canopy) is:</v>
      </c>
      <c r="D32" s="331"/>
      <c r="E32" s="304"/>
      <c r="F32" s="427"/>
      <c r="G32" s="428" t="str">
        <f>IF((AllSat1&gt;0),"",IF((TooSmall=1),"",IF((NoPonded=1),"",MAX(F33:F38)/MAX(E33:E38))))</f>
        <v/>
      </c>
      <c r="H32" s="2323" t="s">
        <v>1803</v>
      </c>
      <c r="I32" s="2574" t="s">
        <v>995</v>
      </c>
      <c r="K32" s="110"/>
    </row>
    <row r="33" spans="1:11" s="11" customFormat="1" ht="27" customHeight="1" x14ac:dyDescent="0.2">
      <c r="A33" s="2399"/>
      <c r="B33" s="2324"/>
      <c r="C33" s="994" t="str">
        <f>F!C171</f>
        <v>None, or &lt;1% of the AA and largest pool occupies &lt;0.01 hectares. Enter "1" and SKIP to F41 (Floating Algae &amp; Duckweed).</v>
      </c>
      <c r="D33" s="211">
        <f>F!D171</f>
        <v>0</v>
      </c>
      <c r="E33" s="300">
        <v>5</v>
      </c>
      <c r="F33" s="324">
        <f t="shared" ref="F33:F38" si="1">D33*E33</f>
        <v>0</v>
      </c>
      <c r="G33" s="430"/>
      <c r="H33" s="2324"/>
      <c r="I33" s="2575"/>
      <c r="K33" s="110"/>
    </row>
    <row r="34" spans="1:11" s="11" customFormat="1" ht="15" customHeight="1" x14ac:dyDescent="0.2">
      <c r="A34" s="2399"/>
      <c r="B34" s="2324"/>
      <c r="C34" s="366" t="str">
        <f>F!C172</f>
        <v>1-4% of the ponded water. Enter "1" and SKIP to F41 (Floating Algae &amp; Duckweed).</v>
      </c>
      <c r="D34" s="211">
        <f>F!D172</f>
        <v>0</v>
      </c>
      <c r="E34" s="300">
        <v>4</v>
      </c>
      <c r="F34" s="324">
        <f t="shared" si="1"/>
        <v>0</v>
      </c>
      <c r="G34" s="430"/>
      <c r="H34" s="2324"/>
      <c r="I34" s="2575"/>
      <c r="K34" s="110"/>
    </row>
    <row r="35" spans="1:11" s="11" customFormat="1" ht="15" customHeight="1" x14ac:dyDescent="0.2">
      <c r="A35" s="2399"/>
      <c r="B35" s="2324"/>
      <c r="C35" s="366" t="str">
        <f>F!C173</f>
        <v>5-30% of the ponded water.</v>
      </c>
      <c r="D35" s="211">
        <f>F!D173</f>
        <v>0</v>
      </c>
      <c r="E35" s="300">
        <v>3</v>
      </c>
      <c r="F35" s="324">
        <f t="shared" si="1"/>
        <v>0</v>
      </c>
      <c r="G35" s="430"/>
      <c r="H35" s="2324"/>
      <c r="I35" s="2575"/>
      <c r="K35" s="110"/>
    </row>
    <row r="36" spans="1:11" s="11" customFormat="1" ht="15" customHeight="1" x14ac:dyDescent="0.2">
      <c r="A36" s="2399"/>
      <c r="B36" s="2324"/>
      <c r="C36" s="366" t="str">
        <f>F!C174</f>
        <v>30-70% of the ponded water.</v>
      </c>
      <c r="D36" s="211">
        <f>F!D174</f>
        <v>0</v>
      </c>
      <c r="E36" s="300">
        <v>2</v>
      </c>
      <c r="F36" s="324">
        <f t="shared" si="1"/>
        <v>0</v>
      </c>
      <c r="G36" s="430"/>
      <c r="H36" s="2324"/>
      <c r="I36" s="2575"/>
      <c r="K36" s="110"/>
    </row>
    <row r="37" spans="1:11" s="11" customFormat="1" ht="15" customHeight="1" x14ac:dyDescent="0.2">
      <c r="A37" s="2399"/>
      <c r="B37" s="2324"/>
      <c r="C37" s="366" t="str">
        <f>F!C175</f>
        <v>70-99% of the ponded water.</v>
      </c>
      <c r="D37" s="211">
        <f>F!D175</f>
        <v>0</v>
      </c>
      <c r="E37" s="300">
        <v>1</v>
      </c>
      <c r="F37" s="324">
        <f t="shared" si="1"/>
        <v>0</v>
      </c>
      <c r="G37" s="430"/>
      <c r="H37" s="2324"/>
      <c r="I37" s="2575"/>
      <c r="K37" s="110"/>
    </row>
    <row r="38" spans="1:11" s="11" customFormat="1" ht="15.6" customHeight="1" thickBot="1" x14ac:dyDescent="0.25">
      <c r="A38" s="2553"/>
      <c r="B38" s="2325"/>
      <c r="C38" s="153" t="str">
        <f>F!C176</f>
        <v xml:space="preserve">100% of the ponded water. </v>
      </c>
      <c r="D38" s="206">
        <f>F!D176</f>
        <v>0</v>
      </c>
      <c r="E38" s="301">
        <v>0</v>
      </c>
      <c r="F38" s="328">
        <f t="shared" si="1"/>
        <v>0</v>
      </c>
      <c r="G38" s="431"/>
      <c r="H38" s="2325"/>
      <c r="I38" s="2576"/>
      <c r="K38" s="110"/>
    </row>
    <row r="39" spans="1:11" ht="21" customHeight="1" thickBot="1" x14ac:dyDescent="0.25">
      <c r="A39" s="2554" t="str">
        <f>F!A237</f>
        <v>F50</v>
      </c>
      <c r="B39" s="2327" t="str">
        <f>F!B237</f>
        <v>Groundwater Strength of Evidence</v>
      </c>
      <c r="C39" s="103" t="str">
        <f>F!C237</f>
        <v>Select first applicable choice:</v>
      </c>
      <c r="D39" s="427"/>
      <c r="E39" s="330"/>
      <c r="F39" s="321"/>
      <c r="G39" s="434">
        <f>MAX(F40:F42)/MAX(E40:E42)</f>
        <v>0</v>
      </c>
      <c r="H39" s="2404" t="s">
        <v>1362</v>
      </c>
      <c r="I39" s="2574" t="s">
        <v>336</v>
      </c>
    </row>
    <row r="40" spans="1:11" ht="42" customHeight="1" x14ac:dyDescent="0.2">
      <c r="A40" s="2554"/>
      <c r="B40" s="2327"/>
      <c r="C40" s="418"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40" s="336">
        <f>F!D238</f>
        <v>0</v>
      </c>
      <c r="E40" s="324">
        <v>3</v>
      </c>
      <c r="F40" s="324">
        <f>D40*E40</f>
        <v>0</v>
      </c>
      <c r="G40" s="429"/>
      <c r="H40" s="2404"/>
      <c r="I40" s="2575"/>
    </row>
    <row r="41" spans="1:11" ht="27" customHeight="1" x14ac:dyDescent="0.2">
      <c r="A41" s="2554"/>
      <c r="B41" s="2327"/>
      <c r="C41" s="375" t="str">
        <f>F!C239</f>
        <v>Most of the AA has a slope of &gt;5%, or is very close to the base of a natural slope longer than 100 and much steeper than the slope of the AA,  AND the pH of surface water, if known, is &gt;5.5.</v>
      </c>
      <c r="D41" s="337">
        <f>F!D239</f>
        <v>0</v>
      </c>
      <c r="E41" s="324">
        <v>2</v>
      </c>
      <c r="F41" s="324">
        <f>D41*E41</f>
        <v>0</v>
      </c>
      <c r="G41" s="430"/>
      <c r="H41" s="2404"/>
      <c r="I41" s="2575"/>
    </row>
    <row r="42" spans="1:11" ht="27" customHeight="1" thickBot="1" x14ac:dyDescent="0.25">
      <c r="A42" s="2590"/>
      <c r="B42" s="2496"/>
      <c r="C42" s="375" t="str">
        <f>F!C240</f>
        <v>Neither of above is true, although some groundwater may discharge to or flow through the AA. Or groundwater influx is unknown.</v>
      </c>
      <c r="D42" s="337">
        <f>F!D240</f>
        <v>1</v>
      </c>
      <c r="E42" s="324">
        <v>0</v>
      </c>
      <c r="F42" s="324">
        <f>D42*E42</f>
        <v>0</v>
      </c>
      <c r="G42" s="430"/>
      <c r="H42" s="2408"/>
      <c r="I42" s="2576"/>
    </row>
    <row r="43" spans="1:11" s="378" customFormat="1" ht="36" customHeight="1" thickBot="1" x14ac:dyDescent="0.25">
      <c r="A43" s="1197" t="s">
        <v>88</v>
      </c>
      <c r="B43" s="1198" t="s">
        <v>1908</v>
      </c>
      <c r="C43" s="1199" t="s">
        <v>1165</v>
      </c>
      <c r="D43" s="1200" t="s">
        <v>45</v>
      </c>
      <c r="E43" s="1201" t="s">
        <v>1189</v>
      </c>
      <c r="F43" s="1202" t="s">
        <v>1190</v>
      </c>
      <c r="G43" s="1203" t="s">
        <v>2555</v>
      </c>
      <c r="H43" s="1197" t="s">
        <v>1118</v>
      </c>
      <c r="I43" s="1184" t="s">
        <v>2424</v>
      </c>
    </row>
    <row r="44" spans="1:11" s="101" customFormat="1" ht="60" customHeight="1" thickBot="1" x14ac:dyDescent="0.25">
      <c r="A44" s="1861" t="str">
        <f>OF!A97</f>
        <v>OF18</v>
      </c>
      <c r="B44" s="1847" t="str">
        <f>OF!B97</f>
        <v>Relative Elevation in Watershed</v>
      </c>
      <c r="C44" s="2053" t="str">
        <f>OF!C97</f>
        <v>In Google Earth, enable the Terrain layer (lower left menu) and open the NB_Watersheds KMZ file that accompanies this calculator. Then determine the AA's approximate elevation (bottom right, NOT the "eye alt").  Then move cursor around to determine the watershed's maximum and minimum elevation.  Divide the AA's elevation by the (max-min).</v>
      </c>
      <c r="D44" s="2054"/>
      <c r="E44" s="2054"/>
      <c r="F44" s="2054"/>
      <c r="G44" s="447">
        <f>ShedPos</f>
        <v>0.01</v>
      </c>
      <c r="H44" s="907" t="s">
        <v>1538</v>
      </c>
      <c r="I44" s="1843" t="s">
        <v>1537</v>
      </c>
      <c r="K44" s="378"/>
    </row>
    <row r="45" spans="1:11" s="10" customFormat="1" ht="45" customHeight="1" thickBot="1" x14ac:dyDescent="0.25">
      <c r="A45" s="2586" t="str">
        <f>OF!A114</f>
        <v>OF23</v>
      </c>
      <c r="B45" s="2323" t="str">
        <f>OF!B114</f>
        <v>Unvegetated Surface in the Contributing Area</v>
      </c>
      <c r="C45" s="1982" t="str">
        <f>OF!C114</f>
        <v>The proportion of the AA's contributing area (measured to no more than 1000 m upslope) that is comprised of buildings, roads, parking lots, other pavement, exposed bedrock, landslides, and other mostly-bare surface is about :</v>
      </c>
      <c r="D45" s="330"/>
      <c r="E45" s="433"/>
      <c r="F45" s="440"/>
      <c r="G45" s="2052">
        <f>MAX(F46:F48)/MAX(E46:E48)</f>
        <v>0</v>
      </c>
      <c r="H45" s="2327" t="s">
        <v>491</v>
      </c>
      <c r="I45" s="2574" t="s">
        <v>333</v>
      </c>
      <c r="K45" s="127"/>
    </row>
    <row r="46" spans="1:11" s="10" customFormat="1" ht="15" customHeight="1" x14ac:dyDescent="0.2">
      <c r="A46" s="2399"/>
      <c r="B46" s="2324"/>
      <c r="C46" s="1894" t="str">
        <f>OF!C115</f>
        <v>&lt;10%.</v>
      </c>
      <c r="D46" s="213">
        <f>OF!D115</f>
        <v>1</v>
      </c>
      <c r="E46" s="442">
        <v>0</v>
      </c>
      <c r="F46" s="442">
        <f>D46*E46</f>
        <v>0</v>
      </c>
      <c r="G46" s="443"/>
      <c r="H46" s="2327"/>
      <c r="I46" s="2575"/>
      <c r="K46" s="127"/>
    </row>
    <row r="47" spans="1:11" s="10" customFormat="1" ht="15" customHeight="1" x14ac:dyDescent="0.2">
      <c r="A47" s="2399"/>
      <c r="B47" s="2324"/>
      <c r="C47" s="1471" t="str">
        <f>OF!C116</f>
        <v>10 to 25%.</v>
      </c>
      <c r="D47" s="205">
        <f>OF!D116</f>
        <v>0</v>
      </c>
      <c r="E47" s="442">
        <v>2</v>
      </c>
      <c r="F47" s="442">
        <f>D47*E47</f>
        <v>0</v>
      </c>
      <c r="G47" s="437"/>
      <c r="H47" s="2327"/>
      <c r="I47" s="2575"/>
      <c r="K47" s="127"/>
    </row>
    <row r="48" spans="1:11" s="10" customFormat="1" ht="15.6" customHeight="1" thickBot="1" x14ac:dyDescent="0.25">
      <c r="A48" s="2553"/>
      <c r="B48" s="2325"/>
      <c r="C48" s="1479" t="str">
        <f>OF!C117</f>
        <v>&gt;25%.</v>
      </c>
      <c r="D48" s="206">
        <f>OF!D117</f>
        <v>0</v>
      </c>
      <c r="E48" s="448">
        <v>3</v>
      </c>
      <c r="F48" s="448">
        <f>D48*E48</f>
        <v>0</v>
      </c>
      <c r="G48" s="449"/>
      <c r="H48" s="2328"/>
      <c r="I48" s="2576"/>
      <c r="K48" s="127"/>
    </row>
    <row r="49" spans="1:11" ht="21" customHeight="1" thickBot="1" x14ac:dyDescent="0.25">
      <c r="A49" s="2368" t="str">
        <f>OF!A$122</f>
        <v>OF25</v>
      </c>
      <c r="B49" s="2326" t="str">
        <f>OF!B$122</f>
        <v>Aspect</v>
      </c>
      <c r="C49" s="368" t="str">
        <f>OF!C122</f>
        <v>The overland flow direction of most surface water (in streams, rivers, or runoff) that enters the AA is:</v>
      </c>
      <c r="D49" s="427"/>
      <c r="E49" s="450"/>
      <c r="F49" s="450"/>
      <c r="G49" s="447">
        <f>IF((NoCA=1),"", MAX(F50:F52)/MAX(E50:E52))</f>
        <v>0.5</v>
      </c>
      <c r="H49" s="2326" t="s">
        <v>1804</v>
      </c>
      <c r="I49" s="2574" t="s">
        <v>332</v>
      </c>
    </row>
    <row r="50" spans="1:11" ht="15" customHeight="1" x14ac:dyDescent="0.2">
      <c r="A50" s="2369"/>
      <c r="B50" s="2327"/>
      <c r="C50" s="1884" t="str">
        <f>OF!C123</f>
        <v>Northward (N, NE). north-facing contributing area.</v>
      </c>
      <c r="D50" s="336">
        <f>OF!D123</f>
        <v>0</v>
      </c>
      <c r="E50" s="436">
        <v>0</v>
      </c>
      <c r="F50" s="436">
        <f>D50*E50</f>
        <v>0</v>
      </c>
      <c r="G50" s="451"/>
      <c r="H50" s="2327"/>
      <c r="I50" s="2575"/>
    </row>
    <row r="51" spans="1:11" ht="15" customHeight="1" x14ac:dyDescent="0.2">
      <c r="A51" s="2369"/>
      <c r="B51" s="2327"/>
      <c r="C51" s="1896" t="str">
        <f>OF!C124</f>
        <v>Southward (S, SW). south-facing contributing area.</v>
      </c>
      <c r="D51" s="337">
        <f>OF!D124</f>
        <v>0</v>
      </c>
      <c r="E51" s="436">
        <v>2</v>
      </c>
      <c r="F51" s="436">
        <f>D51*E51</f>
        <v>0</v>
      </c>
      <c r="G51" s="452"/>
      <c r="H51" s="2327"/>
      <c r="I51" s="2575"/>
    </row>
    <row r="52" spans="1:11" ht="15.6" customHeight="1" thickBot="1" x14ac:dyDescent="0.25">
      <c r="A52" s="2370"/>
      <c r="B52" s="2328"/>
      <c r="C52" s="1896" t="str">
        <f>OF!C125</f>
        <v>Other (E, SE, W, NW), or no detectable uphill slope or input channel (flat).</v>
      </c>
      <c r="D52" s="474">
        <f>OF!D125</f>
        <v>1</v>
      </c>
      <c r="E52" s="2055">
        <v>1</v>
      </c>
      <c r="F52" s="2055">
        <f>D52*E52</f>
        <v>1</v>
      </c>
      <c r="G52" s="959"/>
      <c r="H52" s="2328"/>
      <c r="I52" s="2576"/>
    </row>
    <row r="53" spans="1:11" s="10" customFormat="1" ht="45" customHeight="1" thickBot="1" x14ac:dyDescent="0.25">
      <c r="A53" s="1569" t="str">
        <f>OF!A133</f>
        <v>OF27</v>
      </c>
      <c r="B53" s="1567" t="str">
        <f>OF!B133</f>
        <v>Growing Degree Days</v>
      </c>
      <c r="C53" s="1170" t="str">
        <f>OF!C133</f>
        <v>In Google Earth, open the KMZ file that accompanies this calculator, called NB-PEI_GrowingDegreeDays. Place your cursor over the AA and left-click. From the pop-up, enter the GRIDCODE in the next column.</v>
      </c>
      <c r="D53" s="243">
        <f>OF!D133</f>
        <v>2135</v>
      </c>
      <c r="E53" s="2057"/>
      <c r="F53" s="454"/>
      <c r="G53" s="426">
        <f>IF((GrowD&lt;1),"",(GrowD-1305)/1328)</f>
        <v>0.625</v>
      </c>
      <c r="H53" s="1567" t="s">
        <v>962</v>
      </c>
      <c r="I53" s="1578" t="s">
        <v>1094</v>
      </c>
      <c r="K53" s="127"/>
    </row>
    <row r="54" spans="1:11" s="11" customFormat="1" ht="30" customHeight="1" thickBot="1" x14ac:dyDescent="0.25">
      <c r="A54" s="1170" t="str">
        <f>F!A119</f>
        <v>F22</v>
      </c>
      <c r="B54" s="73" t="str">
        <f>F!B119</f>
        <v>Fringe Wetland</v>
      </c>
      <c r="C54" s="1077" t="str">
        <f>F!C119</f>
        <v>During most of the year, open water within or adjacent to the vegetated part of the wetland is much wider than the maximum width of the vegetated zone within the wetland. Enter "1" if true, "0" if false.</v>
      </c>
      <c r="D54" s="1293">
        <f>F!D119</f>
        <v>1</v>
      </c>
      <c r="E54" s="2056"/>
      <c r="F54" s="2056"/>
      <c r="G54" s="470">
        <f>IF((D54=1),0,"")</f>
        <v>0</v>
      </c>
      <c r="H54" s="4" t="s">
        <v>0</v>
      </c>
      <c r="I54" s="1231" t="s">
        <v>329</v>
      </c>
      <c r="K54" s="110"/>
    </row>
    <row r="55" spans="1:11" s="11" customFormat="1" ht="60" customHeight="1" thickBot="1" x14ac:dyDescent="0.25">
      <c r="A55" s="2583" t="str">
        <f>F!A206</f>
        <v>F42</v>
      </c>
      <c r="B55" s="2340" t="str">
        <f>F!B206</f>
        <v>Channel Connection &amp; Outflow Duration</v>
      </c>
      <c r="C55" s="421"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55" s="427"/>
      <c r="E55" s="456"/>
      <c r="F55" s="456"/>
      <c r="G55" s="441">
        <f>MAX(F56:F60)/MAX(E56:E60)</f>
        <v>0.4</v>
      </c>
      <c r="H55" s="2324" t="s">
        <v>492</v>
      </c>
      <c r="I55" s="2574" t="s">
        <v>331</v>
      </c>
      <c r="K55" s="110"/>
    </row>
    <row r="56" spans="1:11" s="11" customFormat="1" ht="16.149999999999999" customHeight="1" x14ac:dyDescent="0.2">
      <c r="A56" s="2583"/>
      <c r="B56" s="2340"/>
      <c r="C56" s="422" t="str">
        <f>F!C207</f>
        <v>Persistent (surface water flows out for &gt;9 months/year).</v>
      </c>
      <c r="D56" s="215">
        <f>F!D207</f>
        <v>0</v>
      </c>
      <c r="E56" s="316">
        <v>5</v>
      </c>
      <c r="F56" s="442">
        <f>D56*E56</f>
        <v>0</v>
      </c>
      <c r="G56" s="457"/>
      <c r="H56" s="2324"/>
      <c r="I56" s="2575"/>
      <c r="K56" s="110"/>
    </row>
    <row r="57" spans="1:11" s="11" customFormat="1" ht="15" customHeight="1" x14ac:dyDescent="0.2">
      <c r="A57" s="2583"/>
      <c r="B57" s="2340"/>
      <c r="C57" s="423" t="str">
        <f>F!C208</f>
        <v>Seasonal (surface water flows out for 14 days to 9 months/year, not necessarily consecutive).</v>
      </c>
      <c r="D57" s="216">
        <f>F!D208</f>
        <v>1</v>
      </c>
      <c r="E57" s="316">
        <v>2</v>
      </c>
      <c r="F57" s="442">
        <f>D57*E57</f>
        <v>2</v>
      </c>
      <c r="G57" s="438"/>
      <c r="H57" s="2324"/>
      <c r="I57" s="2575"/>
      <c r="K57" s="110"/>
    </row>
    <row r="58" spans="1:11" s="11" customFormat="1" ht="18.75" customHeight="1" x14ac:dyDescent="0.2">
      <c r="A58" s="2583"/>
      <c r="B58" s="2340"/>
      <c r="C58" s="423" t="str">
        <f>F!C209</f>
        <v>Temporary (surface water flows out for &lt;14 days, not necessarily consecutive).</v>
      </c>
      <c r="D58" s="216">
        <f>F!D209</f>
        <v>0</v>
      </c>
      <c r="E58" s="316">
        <v>1</v>
      </c>
      <c r="F58" s="442">
        <f>D58*E58</f>
        <v>0</v>
      </c>
      <c r="G58" s="438"/>
      <c r="H58" s="2324"/>
      <c r="I58" s="2575"/>
      <c r="K58" s="110"/>
    </row>
    <row r="59" spans="1:11" s="11" customFormat="1" ht="27" customHeight="1" x14ac:dyDescent="0.2">
      <c r="A59" s="2583"/>
      <c r="B59" s="2340"/>
      <c r="C59" s="423" t="str">
        <f>F!C210</f>
        <v>None -- but maps show a stream network downslope from the AA and within a distance that is less than the AA's length. SKIP to F47 (pH Measurement).</v>
      </c>
      <c r="D59" s="216">
        <f>F!D210</f>
        <v>0</v>
      </c>
      <c r="E59" s="316">
        <v>0</v>
      </c>
      <c r="F59" s="442">
        <f>D59*E59</f>
        <v>0</v>
      </c>
      <c r="G59" s="438"/>
      <c r="H59" s="2324"/>
      <c r="I59" s="2575"/>
      <c r="K59" s="110"/>
    </row>
    <row r="60" spans="1:11" s="11" customFormat="1" ht="27" customHeight="1" thickBot="1" x14ac:dyDescent="0.25">
      <c r="A60" s="2583"/>
      <c r="B60" s="2340"/>
      <c r="C60" s="424" t="str">
        <f>F!C211</f>
        <v>No surface water flows out of the wetland except possibly during extreme events (&lt;once per 10 years). Or, water flows only into a wetland, ditch, or lake that lacks an outlet. SKIP to F47 (pH Measurement).</v>
      </c>
      <c r="D60" s="217">
        <f>F!D211</f>
        <v>0</v>
      </c>
      <c r="E60" s="458">
        <v>0</v>
      </c>
      <c r="F60" s="444">
        <f>D60*E60</f>
        <v>0</v>
      </c>
      <c r="G60" s="438"/>
      <c r="H60" s="2324"/>
      <c r="I60" s="2576"/>
      <c r="K60" s="110"/>
    </row>
    <row r="61" spans="1:11" s="11" customFormat="1" ht="195" customHeight="1" thickBot="1" x14ac:dyDescent="0.25">
      <c r="A61" s="416" t="str">
        <f>F!A217</f>
        <v>F45</v>
      </c>
      <c r="B61" s="73" t="str">
        <f>F!B217</f>
        <v>Input Water Temperature</v>
      </c>
      <c r="C61" s="162" t="str">
        <f>F!C217</f>
        <v>Based on lack of shade, water source characteristics, or actual temperature measurements, the inflow is likely to be warmer than surface water in the AA during part of most years. Enter 1= yes, 0= no.</v>
      </c>
      <c r="D61" s="243">
        <f>F!D217</f>
        <v>0</v>
      </c>
      <c r="E61" s="454"/>
      <c r="F61" s="454"/>
      <c r="G61" s="455">
        <f>IF((Inflows=0),"",1)</f>
        <v>1</v>
      </c>
      <c r="H61" s="73" t="s">
        <v>1805</v>
      </c>
      <c r="I61" s="1194" t="s">
        <v>330</v>
      </c>
      <c r="K61" s="110"/>
    </row>
    <row r="62" spans="1:11" s="6" customFormat="1" ht="30" customHeight="1" thickBot="1" x14ac:dyDescent="0.25">
      <c r="A62" s="417"/>
      <c r="B62" s="102" t="str">
        <f>FA!C150</f>
        <v>Function Score for Anadromous Fish Habitat</v>
      </c>
      <c r="C62" s="859"/>
      <c r="D62" s="333"/>
      <c r="E62" s="459"/>
      <c r="F62" s="454"/>
      <c r="G62" s="455">
        <f>FA!G150/10</f>
        <v>0</v>
      </c>
      <c r="H62" s="124" t="s">
        <v>1536</v>
      </c>
      <c r="I62" s="124" t="s">
        <v>328</v>
      </c>
      <c r="K62" s="106"/>
    </row>
    <row r="63" spans="1:11" ht="21" customHeight="1" thickBot="1" x14ac:dyDescent="0.25">
      <c r="A63" s="2581"/>
      <c r="B63" s="2581"/>
      <c r="C63" s="2581"/>
      <c r="D63" s="2581"/>
      <c r="E63" s="2581"/>
      <c r="F63" s="2581"/>
      <c r="G63" s="2581"/>
      <c r="H63" s="2581"/>
    </row>
    <row r="64" spans="1:11" ht="30" customHeight="1" thickBot="1" x14ac:dyDescent="0.25">
      <c r="A64" s="2560"/>
      <c r="B64" s="2582"/>
      <c r="C64" s="2557" t="s">
        <v>489</v>
      </c>
      <c r="D64" s="2558"/>
      <c r="E64" s="2559"/>
      <c r="F64" s="1193" t="s">
        <v>52</v>
      </c>
      <c r="G64" s="1278">
        <f>10*(IF((AllSat1=1),Gwater7, AVERAGE(Gwater7, Shade7,OpenPonded7, Depth7,ISOdry7,SatPct7)))</f>
        <v>3.1666666666666665</v>
      </c>
      <c r="H64" s="2525" t="s">
        <v>2088</v>
      </c>
      <c r="I64" s="2526"/>
    </row>
    <row r="65" spans="1:11" ht="30" customHeight="1" thickBot="1" x14ac:dyDescent="0.25">
      <c r="A65" s="2560"/>
      <c r="B65" s="2582"/>
      <c r="C65" s="2557" t="s">
        <v>1903</v>
      </c>
      <c r="D65" s="2558"/>
      <c r="E65" s="2559"/>
      <c r="F65" s="1453" t="s">
        <v>2219</v>
      </c>
      <c r="G65" s="1279">
        <f>10*(IF((Fringe7b=1),0, OutDur7 * ((AVERAGE(ShadeIn7,ShedPos7,Aspect7v,Imperv7, Warmth7)+AnadFish7) /2)))</f>
        <v>0.85399999999999987</v>
      </c>
      <c r="H65" s="2525" t="s">
        <v>2089</v>
      </c>
      <c r="I65" s="2526"/>
    </row>
    <row r="66" spans="1:11" ht="21" customHeight="1" thickBot="1" x14ac:dyDescent="0.25">
      <c r="A66" s="3"/>
      <c r="B66" s="3"/>
      <c r="C66" s="3"/>
      <c r="D66" s="3"/>
      <c r="E66" s="3"/>
      <c r="F66" s="3"/>
      <c r="G66" s="3"/>
      <c r="H66" s="3"/>
    </row>
    <row r="67" spans="1:11" ht="21" customHeight="1" thickBot="1" x14ac:dyDescent="0.25">
      <c r="A67" s="3"/>
      <c r="B67" s="3"/>
      <c r="C67" s="3"/>
      <c r="D67" s="3"/>
      <c r="E67" s="3"/>
      <c r="F67" s="3"/>
      <c r="G67" s="3"/>
      <c r="H67" s="2579" t="s">
        <v>669</v>
      </c>
      <c r="I67" s="2580"/>
    </row>
    <row r="68" spans="1:11" ht="21" customHeight="1" x14ac:dyDescent="0.2">
      <c r="A68" s="3"/>
      <c r="B68" s="3"/>
      <c r="C68" s="3"/>
      <c r="D68" s="3"/>
      <c r="E68" s="3"/>
      <c r="F68" s="3"/>
      <c r="G68" s="3"/>
      <c r="H68" s="2572" t="s">
        <v>2036</v>
      </c>
      <c r="I68" s="2573"/>
    </row>
    <row r="69" spans="1:11" s="14" customFormat="1" ht="27" customHeight="1" x14ac:dyDescent="0.2">
      <c r="A69" s="3"/>
      <c r="B69" s="3"/>
      <c r="C69" s="3"/>
      <c r="D69" s="3"/>
      <c r="E69" s="3"/>
      <c r="F69" s="3"/>
      <c r="G69" s="3"/>
      <c r="H69" s="2537" t="s">
        <v>679</v>
      </c>
      <c r="I69" s="2538"/>
      <c r="K69" s="128"/>
    </row>
    <row r="70" spans="1:11" s="14" customFormat="1" ht="42" customHeight="1" x14ac:dyDescent="0.2">
      <c r="A70" s="3"/>
      <c r="B70" s="3"/>
      <c r="C70" s="3"/>
      <c r="D70" s="3"/>
      <c r="E70" s="3"/>
      <c r="F70" s="3"/>
      <c r="G70" s="3"/>
      <c r="H70" s="2537" t="s">
        <v>680</v>
      </c>
      <c r="I70" s="2538"/>
      <c r="K70" s="128"/>
    </row>
    <row r="71" spans="1:11" s="14" customFormat="1" ht="42" customHeight="1" x14ac:dyDescent="0.2">
      <c r="A71" s="3"/>
      <c r="B71" s="3"/>
      <c r="C71" s="3"/>
      <c r="D71" s="3"/>
      <c r="E71" s="3"/>
      <c r="F71" s="3"/>
      <c r="G71" s="3"/>
      <c r="H71" s="2537" t="s">
        <v>681</v>
      </c>
      <c r="I71" s="2538"/>
      <c r="K71" s="128"/>
    </row>
    <row r="72" spans="1:11" s="14" customFormat="1" ht="42" customHeight="1" x14ac:dyDescent="0.2">
      <c r="A72" s="3"/>
      <c r="B72" s="3"/>
      <c r="C72" s="3"/>
      <c r="D72" s="3"/>
      <c r="E72" s="3"/>
      <c r="F72" s="3"/>
      <c r="G72" s="3"/>
      <c r="H72" s="2531" t="s">
        <v>682</v>
      </c>
      <c r="I72" s="2532"/>
      <c r="K72" s="128"/>
    </row>
    <row r="73" spans="1:11" s="14" customFormat="1" ht="27" customHeight="1" x14ac:dyDescent="0.2">
      <c r="A73" s="3"/>
      <c r="B73" s="3"/>
      <c r="C73" s="3"/>
      <c r="D73" s="3"/>
      <c r="E73" s="3"/>
      <c r="F73" s="3"/>
      <c r="G73" s="3"/>
      <c r="H73" s="2535" t="s">
        <v>1363</v>
      </c>
      <c r="I73" s="2536"/>
      <c r="K73" s="128"/>
    </row>
    <row r="74" spans="1:11" s="14" customFormat="1" ht="42" customHeight="1" x14ac:dyDescent="0.2">
      <c r="A74" s="3"/>
      <c r="B74" s="3"/>
      <c r="C74" s="3"/>
      <c r="D74" s="3"/>
      <c r="E74" s="3"/>
      <c r="F74" s="3"/>
      <c r="G74" s="3"/>
      <c r="H74" s="2537" t="s">
        <v>683</v>
      </c>
      <c r="I74" s="2538"/>
      <c r="K74" s="128"/>
    </row>
    <row r="75" spans="1:11" s="14" customFormat="1" ht="27" customHeight="1" x14ac:dyDescent="0.2">
      <c r="A75" s="3"/>
      <c r="B75" s="3"/>
      <c r="C75" s="3"/>
      <c r="D75" s="3"/>
      <c r="E75" s="3"/>
      <c r="F75" s="3"/>
      <c r="G75" s="3"/>
      <c r="H75" s="2537" t="s">
        <v>684</v>
      </c>
      <c r="I75" s="2538"/>
      <c r="K75" s="128"/>
    </row>
    <row r="76" spans="1:11" s="14" customFormat="1" ht="42" customHeight="1" x14ac:dyDescent="0.2">
      <c r="A76" s="3"/>
      <c r="B76" s="3"/>
      <c r="C76" s="3"/>
      <c r="D76" s="3"/>
      <c r="E76" s="3"/>
      <c r="F76" s="3"/>
      <c r="G76" s="3"/>
      <c r="H76" s="2537" t="s">
        <v>1164</v>
      </c>
      <c r="I76" s="2538"/>
      <c r="K76" s="128"/>
    </row>
    <row r="77" spans="1:11" s="14" customFormat="1" ht="27" customHeight="1" x14ac:dyDescent="0.2">
      <c r="A77" s="3"/>
      <c r="B77" s="3"/>
      <c r="C77" s="3"/>
      <c r="D77" s="3"/>
      <c r="E77" s="3"/>
      <c r="F77" s="3"/>
      <c r="G77" s="3"/>
      <c r="H77" s="2537" t="s">
        <v>685</v>
      </c>
      <c r="I77" s="2538"/>
      <c r="K77" s="128"/>
    </row>
    <row r="78" spans="1:11" s="14" customFormat="1" ht="27" customHeight="1" thickBot="1" x14ac:dyDescent="0.25">
      <c r="A78" s="3"/>
      <c r="B78" s="3"/>
      <c r="C78" s="3"/>
      <c r="D78" s="3"/>
      <c r="E78" s="3"/>
      <c r="F78" s="3"/>
      <c r="G78" s="3"/>
      <c r="H78" s="2570" t="s">
        <v>686</v>
      </c>
      <c r="I78" s="2571"/>
      <c r="K78" s="128"/>
    </row>
  </sheetData>
  <sheetProtection algorithmName="SHA-512" hashValue="GNlJAs3PV036cb/FzxJKdo5neVSLviHfzbTV9F7Cw2fF8/sgAKiJTC6oX9y0j/8y9FomynVhGTDQ3/hZMXfqPQ==" saltValue="tQFd7iZ00N2OWh2KSAaXEw==" spinCount="100000" sheet="1" formatCells="0" formatColumns="0" formatRows="0"/>
  <customSheetViews>
    <customSheetView guid="{B8E02330-2419-4DE6-AD01-7ACC7A5D18DD}" scale="75" topLeftCell="A35">
      <selection activeCell="A2" sqref="A2:H47"/>
      <pageMargins left="0.75" right="0.75" top="1" bottom="1" header="0.5" footer="0.5"/>
      <pageSetup orientation="portrait" r:id="rId1"/>
      <headerFooter alignWithMargins="0"/>
    </customSheetView>
  </customSheetViews>
  <mergeCells count="60">
    <mergeCell ref="H20:H25"/>
    <mergeCell ref="B26:B31"/>
    <mergeCell ref="A45:A48"/>
    <mergeCell ref="H45:H48"/>
    <mergeCell ref="B45:B48"/>
    <mergeCell ref="H26:H31"/>
    <mergeCell ref="B39:B42"/>
    <mergeCell ref="A26:A31"/>
    <mergeCell ref="H39:H42"/>
    <mergeCell ref="A32:A38"/>
    <mergeCell ref="B32:B38"/>
    <mergeCell ref="A39:A42"/>
    <mergeCell ref="I7:I13"/>
    <mergeCell ref="I14:I19"/>
    <mergeCell ref="I20:I25"/>
    <mergeCell ref="I26:I31"/>
    <mergeCell ref="A1:B1"/>
    <mergeCell ref="A3:A6"/>
    <mergeCell ref="B20:B25"/>
    <mergeCell ref="B3:B6"/>
    <mergeCell ref="H3:H6"/>
    <mergeCell ref="H14:H19"/>
    <mergeCell ref="A14:A19"/>
    <mergeCell ref="B7:B13"/>
    <mergeCell ref="A7:A13"/>
    <mergeCell ref="H7:H13"/>
    <mergeCell ref="B14:B19"/>
    <mergeCell ref="A20:A25"/>
    <mergeCell ref="H64:I64"/>
    <mergeCell ref="H65:I65"/>
    <mergeCell ref="I32:I38"/>
    <mergeCell ref="I39:I42"/>
    <mergeCell ref="I45:I48"/>
    <mergeCell ref="A63:H63"/>
    <mergeCell ref="A64:B65"/>
    <mergeCell ref="C64:E64"/>
    <mergeCell ref="C65:E65"/>
    <mergeCell ref="H55:H60"/>
    <mergeCell ref="A55:A60"/>
    <mergeCell ref="B55:B60"/>
    <mergeCell ref="H32:H38"/>
    <mergeCell ref="B49:B52"/>
    <mergeCell ref="H49:H52"/>
    <mergeCell ref="A49:A52"/>
    <mergeCell ref="H78:I78"/>
    <mergeCell ref="H68:I68"/>
    <mergeCell ref="I3:I6"/>
    <mergeCell ref="E1:I1"/>
    <mergeCell ref="H73:I73"/>
    <mergeCell ref="H74:I74"/>
    <mergeCell ref="H75:I75"/>
    <mergeCell ref="H76:I76"/>
    <mergeCell ref="H77:I77"/>
    <mergeCell ref="H67:I67"/>
    <mergeCell ref="H69:I69"/>
    <mergeCell ref="H70:I70"/>
    <mergeCell ref="H71:I71"/>
    <mergeCell ref="H72:I72"/>
    <mergeCell ref="I49:I52"/>
    <mergeCell ref="I55:I60"/>
  </mergeCells>
  <phoneticPr fontId="3" type="noConversion"/>
  <pageMargins left="0.75" right="0.75" top="1" bottom="1" header="0.5" footer="0.5"/>
  <pageSetup orientation="portrait"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dimension ref="A1:XFD578"/>
  <sheetViews>
    <sheetView topLeftCell="A101" zoomScaleNormal="100" workbookViewId="0">
      <selection activeCell="C100" sqref="C100"/>
    </sheetView>
  </sheetViews>
  <sheetFormatPr defaultColWidth="9.33203125" defaultRowHeight="16.5" x14ac:dyDescent="0.2"/>
  <cols>
    <col min="1" max="1" width="5.83203125" style="64" customWidth="1"/>
    <col min="2" max="2" width="18.83203125" style="63" customWidth="1"/>
    <col min="3" max="3" width="75.83203125" style="63" customWidth="1"/>
    <col min="4" max="6" width="7.83203125" style="132" customWidth="1"/>
    <col min="7" max="7" width="9.6640625" style="134" customWidth="1"/>
    <col min="8" max="8" width="64.83203125" style="21" customWidth="1"/>
    <col min="9" max="9" width="12.6640625" style="6" customWidth="1"/>
    <col min="10" max="10" width="9.33203125" style="107"/>
    <col min="11" max="16384" width="9.33203125" style="59"/>
  </cols>
  <sheetData>
    <row r="1" spans="1:16384" s="104" customFormat="1" ht="69" customHeight="1" thickBot="1" x14ac:dyDescent="0.25">
      <c r="A1" s="2584" t="s">
        <v>2428</v>
      </c>
      <c r="B1" s="2585"/>
      <c r="C1" s="2058" t="s">
        <v>2250</v>
      </c>
      <c r="D1" s="2059" t="s">
        <v>1061</v>
      </c>
      <c r="E1" s="2616"/>
      <c r="F1" s="2617"/>
      <c r="G1" s="2617"/>
      <c r="H1" s="2617"/>
      <c r="I1" s="2617"/>
      <c r="J1" s="107"/>
    </row>
    <row r="2" spans="1:16384" s="106" customFormat="1" ht="36" customHeight="1" thickBot="1" x14ac:dyDescent="0.25">
      <c r="A2" s="1158" t="s">
        <v>88</v>
      </c>
      <c r="B2" s="1158" t="s">
        <v>1168</v>
      </c>
      <c r="C2" s="1196" t="s">
        <v>1165</v>
      </c>
      <c r="D2" s="1204" t="s">
        <v>45</v>
      </c>
      <c r="E2" s="1179" t="s">
        <v>1189</v>
      </c>
      <c r="F2" s="1180" t="s">
        <v>1190</v>
      </c>
      <c r="G2" s="1181" t="s">
        <v>2555</v>
      </c>
      <c r="H2" s="1182" t="s">
        <v>1118</v>
      </c>
      <c r="I2" s="1232" t="s">
        <v>2424</v>
      </c>
    </row>
    <row r="3" spans="1:16384" ht="30" customHeight="1" thickBot="1" x14ac:dyDescent="0.25">
      <c r="A3" s="2495" t="str">
        <f>OF!A109</f>
        <v>OF22</v>
      </c>
      <c r="B3" s="2486" t="str">
        <f>OF!B109</f>
        <v>Wetland as a % of Its Contributing Area (Catchment)</v>
      </c>
      <c r="C3" s="348" t="str">
        <f>OF!C106</f>
        <v>The condition is present within 5 km downslope and connected to the AA by a channel, or within 1 km but not connected to the AA by a channel.</v>
      </c>
      <c r="D3" s="501"/>
      <c r="E3" s="510"/>
      <c r="F3" s="507"/>
      <c r="G3" s="414">
        <f>MAX(F4:F7)/MAX(E4:E7)</f>
        <v>0</v>
      </c>
      <c r="H3" s="2326" t="s">
        <v>2337</v>
      </c>
      <c r="I3" s="2326" t="s">
        <v>1157</v>
      </c>
    </row>
    <row r="4" spans="1:16384" ht="27" customHeight="1" x14ac:dyDescent="0.2">
      <c r="A4" s="2484"/>
      <c r="B4" s="2487"/>
      <c r="C4" s="349" t="str">
        <f>OF!C107</f>
        <v>Sampling during both low water periods and times with high runoff (storms, snowmelt) indicates no problems in either the AA or inflowing waters.</v>
      </c>
      <c r="D4" s="218">
        <f>OF!D110</f>
        <v>0</v>
      </c>
      <c r="E4" s="72">
        <v>0</v>
      </c>
      <c r="F4" s="309">
        <f>D4*E4</f>
        <v>0</v>
      </c>
      <c r="G4" s="503"/>
      <c r="H4" s="2327"/>
      <c r="I4" s="2327"/>
    </row>
    <row r="5" spans="1:16384" ht="15" customHeight="1" x14ac:dyDescent="0.2">
      <c r="A5" s="2484"/>
      <c r="B5" s="2487"/>
      <c r="C5" s="351" t="str">
        <f>OF!C108</f>
        <v>Data are insufficient (no or inadequate sampling within 1 km, or condition exists only at &gt;1 km upstream). This is the situation for nearly all wetlands in this region.</v>
      </c>
      <c r="D5" s="203">
        <f>OF!D111</f>
        <v>0</v>
      </c>
      <c r="E5" s="72">
        <v>1</v>
      </c>
      <c r="F5" s="309">
        <f>D5*E5</f>
        <v>0</v>
      </c>
      <c r="G5" s="504"/>
      <c r="H5" s="2327"/>
      <c r="I5" s="2327"/>
    </row>
    <row r="6" spans="1:16384" ht="84" customHeight="1" x14ac:dyDescent="0.2">
      <c r="A6" s="2484"/>
      <c r="B6" s="2487"/>
      <c r="C6" s="351" t="str">
        <f>OF!C109</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6" s="203">
        <f>OF!D112</f>
        <v>0</v>
      </c>
      <c r="E6" s="72">
        <v>2</v>
      </c>
      <c r="F6" s="309">
        <f>D6*E6</f>
        <v>0</v>
      </c>
      <c r="G6" s="504"/>
      <c r="H6" s="2327"/>
      <c r="I6" s="2327"/>
    </row>
    <row r="7" spans="1:16384" ht="15" customHeight="1" thickBot="1" x14ac:dyDescent="0.25">
      <c r="A7" s="2485"/>
      <c r="B7" s="2488"/>
      <c r="C7" s="352" t="str">
        <f>OF!C110</f>
        <v>&lt;0.01, or catchment size unknown due to stormwater pipes that collect water from an indeterminate area.</v>
      </c>
      <c r="D7" s="204">
        <f>OF!D113</f>
        <v>0</v>
      </c>
      <c r="E7" s="192">
        <v>3</v>
      </c>
      <c r="F7" s="505">
        <f>D7*E7</f>
        <v>0</v>
      </c>
      <c r="G7" s="506"/>
      <c r="H7" s="2328"/>
      <c r="I7" s="2328"/>
    </row>
    <row r="8" spans="1:16384" ht="21" customHeight="1" thickBot="1" x14ac:dyDescent="0.25">
      <c r="A8" s="2495" t="str">
        <f>OF!A126</f>
        <v>OF26</v>
      </c>
      <c r="B8" s="2505" t="str">
        <f>OF!B126</f>
        <v>Internal Flow Distance (Path Length)</v>
      </c>
      <c r="C8" s="536" t="str">
        <f>OF!C123</f>
        <v>Northward (N, NE). north-facing contributing area.</v>
      </c>
      <c r="D8" s="306"/>
      <c r="E8" s="501"/>
      <c r="F8" s="507"/>
      <c r="G8" s="502">
        <f>MAX(F9:F14)/MAX(E9:E14)</f>
        <v>1</v>
      </c>
      <c r="H8" s="2323" t="s">
        <v>1002</v>
      </c>
      <c r="I8" s="2326" t="s">
        <v>1007</v>
      </c>
    </row>
    <row r="9" spans="1:16384" ht="15" customHeight="1" x14ac:dyDescent="0.2">
      <c r="A9" s="2484"/>
      <c r="B9" s="2515"/>
      <c r="C9" s="349" t="str">
        <f>OF!C124</f>
        <v>Southward (S, SW). south-facing contributing area.</v>
      </c>
      <c r="D9" s="218">
        <f>OF!D127</f>
        <v>0</v>
      </c>
      <c r="E9" s="308">
        <v>0</v>
      </c>
      <c r="F9" s="309">
        <f t="shared" ref="F9:F14" si="0">D9*E9</f>
        <v>0</v>
      </c>
      <c r="G9" s="504"/>
      <c r="H9" s="2324"/>
      <c r="I9" s="2327"/>
    </row>
    <row r="10" spans="1:16384" ht="15" customHeight="1" x14ac:dyDescent="0.2">
      <c r="A10" s="2484"/>
      <c r="B10" s="2515"/>
      <c r="C10" s="351" t="str">
        <f>OF!C125</f>
        <v>Other (E, SE, W, NW), or no detectable uphill slope or input channel (flat).</v>
      </c>
      <c r="D10" s="203">
        <f>OF!D128</f>
        <v>0</v>
      </c>
      <c r="E10" s="308">
        <v>1</v>
      </c>
      <c r="F10" s="309">
        <f t="shared" si="0"/>
        <v>0</v>
      </c>
      <c r="G10" s="504"/>
      <c r="H10" s="2324"/>
      <c r="I10" s="2327"/>
    </row>
    <row r="11" spans="1:16384" ht="15" customHeight="1" x14ac:dyDescent="0.2">
      <c r="A11" s="2484"/>
      <c r="B11" s="2515"/>
      <c r="C11" s="351" t="str">
        <f>OF!C126</f>
        <v xml:space="preserve">The horizontal flow distance from the wetland's inlet to outlet is: </v>
      </c>
      <c r="D11" s="203">
        <f>OF!D129</f>
        <v>0</v>
      </c>
      <c r="E11" s="308">
        <v>2</v>
      </c>
      <c r="F11" s="309">
        <f t="shared" si="0"/>
        <v>0</v>
      </c>
      <c r="G11" s="504"/>
      <c r="H11" s="2324"/>
      <c r="I11" s="2327"/>
    </row>
    <row r="12" spans="1:16384" ht="15" customHeight="1" x14ac:dyDescent="0.2">
      <c r="A12" s="2484"/>
      <c r="B12" s="2515"/>
      <c r="C12" s="351" t="str">
        <f>OF!C127</f>
        <v>&lt;10 m.</v>
      </c>
      <c r="D12" s="203">
        <f>OF!D130</f>
        <v>0</v>
      </c>
      <c r="E12" s="308">
        <v>3</v>
      </c>
      <c r="F12" s="309">
        <f t="shared" si="0"/>
        <v>0</v>
      </c>
      <c r="G12" s="504"/>
      <c r="H12" s="2324"/>
      <c r="I12" s="2327"/>
    </row>
    <row r="13" spans="1:16384" ht="15" customHeight="1" x14ac:dyDescent="0.2">
      <c r="A13" s="2484"/>
      <c r="B13" s="2515"/>
      <c r="C13" s="351" t="str">
        <f>OF!C128</f>
        <v>10 - 50 m.</v>
      </c>
      <c r="D13" s="203">
        <f>OF!D131</f>
        <v>0</v>
      </c>
      <c r="E13" s="308">
        <v>4</v>
      </c>
      <c r="F13" s="309">
        <f t="shared" si="0"/>
        <v>0</v>
      </c>
      <c r="G13" s="504"/>
      <c r="H13" s="2324"/>
      <c r="I13" s="2327"/>
    </row>
    <row r="14" spans="1:16384" ht="15" customHeight="1" thickBot="1" x14ac:dyDescent="0.25">
      <c r="A14" s="2485"/>
      <c r="B14" s="2516"/>
      <c r="C14" s="537" t="str">
        <f>OF!C129</f>
        <v>50 - 100 m.</v>
      </c>
      <c r="D14" s="232">
        <f>OF!D132</f>
        <v>1</v>
      </c>
      <c r="E14" s="310">
        <v>6</v>
      </c>
      <c r="F14" s="311">
        <f t="shared" si="0"/>
        <v>6</v>
      </c>
      <c r="G14" s="509"/>
      <c r="H14" s="2325"/>
      <c r="I14" s="2328"/>
    </row>
    <row r="15" spans="1:16384" s="84" customFormat="1" ht="72" customHeight="1" thickBot="1" x14ac:dyDescent="0.25">
      <c r="A15" s="1584" t="str">
        <f>OF!A133</f>
        <v>OF27</v>
      </c>
      <c r="B15" s="113" t="str">
        <f>OF!B133</f>
        <v>Growing Degree Days</v>
      </c>
      <c r="C15" s="1584" t="str">
        <f>OF!C133</f>
        <v>In Google Earth, open the KMZ file that accompanies this calculator, called NB-PEI_GrowingDegreeDays. Place your cursor over the AA and left-click. From the pop-up, enter the GRIDCODE in the next column.</v>
      </c>
      <c r="D15" s="2044">
        <f>OF!D133</f>
        <v>2135</v>
      </c>
      <c r="E15" s="2063"/>
      <c r="F15" s="521"/>
      <c r="G15" s="414">
        <f>IF((GrowD&lt;1),"",(GrowD-1305)/1328)</f>
        <v>0.625</v>
      </c>
      <c r="H15" s="73" t="s">
        <v>1057</v>
      </c>
      <c r="I15" s="1577" t="s">
        <v>352</v>
      </c>
      <c r="J15" s="108"/>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c r="DQ15" s="60"/>
      <c r="DR15" s="60"/>
      <c r="DS15" s="60"/>
      <c r="DT15" s="60"/>
      <c r="DU15" s="60"/>
      <c r="DV15" s="60"/>
      <c r="DW15" s="60"/>
      <c r="DX15" s="60"/>
      <c r="DY15" s="60"/>
      <c r="DZ15" s="60"/>
      <c r="EA15" s="60"/>
      <c r="EB15" s="60"/>
      <c r="EC15" s="60"/>
      <c r="ED15" s="60"/>
      <c r="EE15" s="60"/>
      <c r="EF15" s="60"/>
      <c r="EG15" s="60"/>
      <c r="EH15" s="60"/>
      <c r="EI15" s="60"/>
      <c r="EJ15" s="60"/>
      <c r="EK15" s="60"/>
      <c r="EL15" s="60"/>
      <c r="EM15" s="60"/>
      <c r="EN15" s="60"/>
      <c r="EO15" s="60"/>
      <c r="EP15" s="60"/>
      <c r="EQ15" s="60"/>
      <c r="ER15" s="60"/>
      <c r="ES15" s="60"/>
      <c r="ET15" s="60"/>
      <c r="EU15" s="60"/>
      <c r="EV15" s="60"/>
      <c r="EW15" s="60"/>
      <c r="EX15" s="60"/>
      <c r="EY15" s="60"/>
      <c r="EZ15" s="60"/>
      <c r="FA15" s="60"/>
      <c r="FB15" s="60"/>
      <c r="FC15" s="60"/>
      <c r="FD15" s="60"/>
      <c r="FE15" s="60"/>
      <c r="FF15" s="60"/>
      <c r="FG15" s="60"/>
      <c r="FH15" s="60"/>
      <c r="FI15" s="60"/>
      <c r="FJ15" s="60"/>
      <c r="FK15" s="60"/>
      <c r="FL15" s="60"/>
      <c r="FM15" s="60"/>
      <c r="FN15" s="60"/>
      <c r="FO15" s="60"/>
      <c r="FP15" s="60"/>
      <c r="FQ15" s="60"/>
      <c r="FR15" s="60"/>
      <c r="FS15" s="60"/>
      <c r="FT15" s="60"/>
      <c r="FU15" s="60"/>
      <c r="FV15" s="60"/>
      <c r="FW15" s="60"/>
      <c r="FX15" s="60"/>
      <c r="FY15" s="60"/>
      <c r="FZ15" s="60"/>
      <c r="GA15" s="60"/>
      <c r="GB15" s="60"/>
      <c r="GC15" s="60"/>
      <c r="GD15" s="60"/>
      <c r="GE15" s="60"/>
      <c r="GF15" s="60"/>
      <c r="GG15" s="60"/>
      <c r="GH15" s="60"/>
      <c r="GI15" s="60"/>
      <c r="GJ15" s="60"/>
      <c r="GK15" s="60"/>
      <c r="GL15" s="60"/>
      <c r="GM15" s="60"/>
      <c r="GN15" s="60"/>
      <c r="GO15" s="60"/>
      <c r="GP15" s="60"/>
      <c r="GQ15" s="60"/>
      <c r="GR15" s="60"/>
      <c r="GS15" s="60"/>
      <c r="GT15" s="60"/>
      <c r="GU15" s="60"/>
      <c r="GV15" s="60"/>
      <c r="GW15" s="60"/>
      <c r="GX15" s="60"/>
      <c r="GY15" s="60"/>
      <c r="GZ15" s="60"/>
      <c r="HA15" s="60"/>
      <c r="HB15" s="60"/>
      <c r="HC15" s="60"/>
      <c r="HD15" s="60"/>
      <c r="HE15" s="60"/>
      <c r="HF15" s="60"/>
      <c r="HG15" s="60"/>
      <c r="HH15" s="60"/>
      <c r="HI15" s="60"/>
      <c r="HJ15" s="60"/>
      <c r="HK15" s="60"/>
      <c r="HL15" s="60"/>
      <c r="HM15" s="60"/>
      <c r="HN15" s="60"/>
      <c r="HO15" s="60"/>
      <c r="HP15" s="60"/>
      <c r="HQ15" s="60"/>
      <c r="HR15" s="60"/>
      <c r="HS15" s="60"/>
      <c r="HT15" s="60"/>
      <c r="HU15" s="60"/>
      <c r="HV15" s="60"/>
      <c r="HW15" s="60"/>
      <c r="HX15" s="60"/>
      <c r="HY15" s="60"/>
      <c r="HZ15" s="60"/>
      <c r="IA15" s="60"/>
      <c r="IB15" s="60"/>
      <c r="IC15" s="60"/>
      <c r="ID15" s="60"/>
      <c r="IE15" s="60"/>
      <c r="IF15" s="60"/>
      <c r="IG15" s="60"/>
      <c r="IH15" s="60"/>
      <c r="II15" s="60"/>
      <c r="IJ15" s="60"/>
      <c r="IK15" s="60"/>
      <c r="IL15" s="60"/>
      <c r="IM15" s="60"/>
      <c r="IN15" s="60"/>
      <c r="IO15" s="60"/>
      <c r="IP15" s="60"/>
      <c r="IQ15" s="60"/>
      <c r="IR15" s="60"/>
      <c r="IS15" s="60"/>
      <c r="IT15" s="60"/>
      <c r="IU15" s="60"/>
      <c r="IV15" s="60"/>
      <c r="IW15" s="60"/>
      <c r="IX15" s="60"/>
      <c r="IY15" s="60"/>
      <c r="IZ15" s="60"/>
      <c r="JA15" s="60"/>
      <c r="JB15" s="60"/>
      <c r="JC15" s="60"/>
      <c r="JD15" s="60"/>
      <c r="JE15" s="60"/>
      <c r="JF15" s="60"/>
      <c r="JG15" s="60"/>
      <c r="JH15" s="60"/>
      <c r="JI15" s="60"/>
      <c r="JJ15" s="60"/>
      <c r="JK15" s="60"/>
      <c r="JL15" s="60"/>
      <c r="JM15" s="60"/>
      <c r="JN15" s="60"/>
      <c r="JO15" s="60"/>
      <c r="JP15" s="60"/>
      <c r="JQ15" s="60"/>
      <c r="JR15" s="60"/>
      <c r="JS15" s="60"/>
      <c r="JT15" s="60"/>
      <c r="JU15" s="60"/>
      <c r="JV15" s="60"/>
      <c r="JW15" s="60"/>
      <c r="JX15" s="60"/>
      <c r="JY15" s="60"/>
      <c r="JZ15" s="60"/>
      <c r="KA15" s="60"/>
      <c r="KB15" s="60"/>
      <c r="KC15" s="60"/>
      <c r="KD15" s="60"/>
      <c r="KE15" s="60"/>
      <c r="KF15" s="60"/>
      <c r="KG15" s="60"/>
      <c r="KH15" s="60"/>
      <c r="KI15" s="60"/>
      <c r="KJ15" s="60"/>
      <c r="KK15" s="60"/>
      <c r="KL15" s="60"/>
      <c r="KM15" s="60"/>
      <c r="KN15" s="60"/>
      <c r="KO15" s="60"/>
      <c r="KP15" s="60"/>
      <c r="KQ15" s="60"/>
      <c r="KR15" s="60"/>
      <c r="KS15" s="60"/>
      <c r="KT15" s="60"/>
      <c r="KU15" s="60"/>
      <c r="KV15" s="60"/>
      <c r="KW15" s="60"/>
      <c r="KX15" s="60"/>
      <c r="KY15" s="60"/>
      <c r="KZ15" s="60"/>
      <c r="LA15" s="60"/>
      <c r="LB15" s="60"/>
      <c r="LC15" s="60"/>
      <c r="LD15" s="60"/>
      <c r="LE15" s="60"/>
      <c r="LF15" s="60"/>
      <c r="LG15" s="60"/>
      <c r="LH15" s="60"/>
      <c r="LI15" s="60"/>
      <c r="LJ15" s="60"/>
      <c r="LK15" s="60"/>
      <c r="LL15" s="60"/>
      <c r="LM15" s="60"/>
      <c r="LN15" s="60"/>
      <c r="LO15" s="60"/>
      <c r="LP15" s="60"/>
      <c r="LQ15" s="60"/>
      <c r="LR15" s="60"/>
      <c r="LS15" s="60"/>
      <c r="LT15" s="60"/>
      <c r="LU15" s="60"/>
      <c r="LV15" s="60"/>
      <c r="LW15" s="60"/>
      <c r="LX15" s="60"/>
      <c r="LY15" s="60"/>
      <c r="LZ15" s="60"/>
      <c r="MA15" s="60"/>
      <c r="MB15" s="60"/>
      <c r="MC15" s="60"/>
      <c r="MD15" s="60"/>
      <c r="ME15" s="60"/>
      <c r="MF15" s="60"/>
      <c r="MG15" s="60"/>
      <c r="MH15" s="60"/>
      <c r="MI15" s="60"/>
      <c r="MJ15" s="60"/>
      <c r="MK15" s="60"/>
      <c r="ML15" s="60"/>
      <c r="MM15" s="60"/>
      <c r="MN15" s="60"/>
      <c r="MO15" s="60"/>
      <c r="MP15" s="60"/>
      <c r="MQ15" s="60"/>
      <c r="MR15" s="60"/>
      <c r="MS15" s="60"/>
      <c r="MT15" s="60"/>
      <c r="MU15" s="60"/>
      <c r="MV15" s="60"/>
      <c r="MW15" s="60"/>
      <c r="MX15" s="60"/>
      <c r="MY15" s="60"/>
      <c r="MZ15" s="60"/>
      <c r="NA15" s="60"/>
      <c r="NB15" s="60"/>
      <c r="NC15" s="60"/>
      <c r="ND15" s="60"/>
      <c r="NE15" s="60"/>
      <c r="NF15" s="60"/>
      <c r="NG15" s="60"/>
      <c r="NH15" s="60"/>
      <c r="NI15" s="60"/>
      <c r="NJ15" s="60"/>
      <c r="NK15" s="60"/>
      <c r="NL15" s="60"/>
      <c r="NM15" s="60"/>
      <c r="NN15" s="60"/>
      <c r="NO15" s="60"/>
      <c r="NP15" s="60"/>
      <c r="NQ15" s="60"/>
      <c r="NR15" s="60"/>
      <c r="NS15" s="60"/>
      <c r="NT15" s="60"/>
      <c r="NU15" s="60"/>
      <c r="NV15" s="60"/>
      <c r="NW15" s="60"/>
      <c r="NX15" s="60"/>
      <c r="NY15" s="60"/>
      <c r="NZ15" s="60"/>
      <c r="OA15" s="60"/>
      <c r="OB15" s="60"/>
      <c r="OC15" s="60"/>
      <c r="OD15" s="60"/>
      <c r="OE15" s="60"/>
      <c r="OF15" s="60"/>
      <c r="OG15" s="60"/>
      <c r="OH15" s="60"/>
      <c r="OI15" s="60"/>
      <c r="OJ15" s="60"/>
      <c r="OK15" s="60"/>
      <c r="OL15" s="60"/>
      <c r="OM15" s="60"/>
      <c r="ON15" s="60"/>
      <c r="OO15" s="60"/>
      <c r="OP15" s="60"/>
      <c r="OQ15" s="60"/>
      <c r="OR15" s="60"/>
      <c r="OS15" s="60"/>
      <c r="OT15" s="60"/>
      <c r="OU15" s="60"/>
      <c r="OV15" s="60"/>
      <c r="OW15" s="60"/>
      <c r="OX15" s="60"/>
      <c r="OY15" s="60"/>
      <c r="OZ15" s="60"/>
      <c r="PA15" s="60"/>
      <c r="PB15" s="60"/>
      <c r="PC15" s="60"/>
      <c r="PD15" s="60"/>
      <c r="PE15" s="60"/>
      <c r="PF15" s="60"/>
      <c r="PG15" s="60"/>
      <c r="PH15" s="60"/>
      <c r="PI15" s="60"/>
      <c r="PJ15" s="60"/>
      <c r="PK15" s="60"/>
      <c r="PL15" s="60"/>
      <c r="PM15" s="60"/>
      <c r="PN15" s="60"/>
      <c r="PO15" s="60"/>
      <c r="PP15" s="60"/>
      <c r="PQ15" s="60"/>
      <c r="PR15" s="60"/>
      <c r="PS15" s="60"/>
      <c r="PT15" s="60"/>
      <c r="PU15" s="60"/>
      <c r="PV15" s="60"/>
      <c r="PW15" s="60"/>
      <c r="PX15" s="60"/>
      <c r="PY15" s="60"/>
      <c r="PZ15" s="60"/>
      <c r="QA15" s="60"/>
      <c r="QB15" s="60"/>
      <c r="QC15" s="60"/>
      <c r="QD15" s="60"/>
      <c r="QE15" s="60"/>
      <c r="QF15" s="60"/>
      <c r="QG15" s="60"/>
      <c r="QH15" s="60"/>
      <c r="QI15" s="60"/>
      <c r="QJ15" s="60"/>
      <c r="QK15" s="60"/>
      <c r="QL15" s="60"/>
      <c r="QM15" s="60"/>
      <c r="QN15" s="60"/>
      <c r="QO15" s="60"/>
      <c r="QP15" s="60"/>
      <c r="QQ15" s="60"/>
      <c r="QR15" s="60"/>
      <c r="QS15" s="60"/>
      <c r="QT15" s="60"/>
      <c r="QU15" s="60"/>
      <c r="QV15" s="60"/>
      <c r="QW15" s="60"/>
      <c r="QX15" s="60"/>
      <c r="QY15" s="60"/>
      <c r="QZ15" s="60"/>
      <c r="RA15" s="60"/>
      <c r="RB15" s="60"/>
      <c r="RC15" s="60"/>
      <c r="RD15" s="60"/>
      <c r="RE15" s="60"/>
      <c r="RF15" s="60"/>
      <c r="RG15" s="60"/>
      <c r="RH15" s="60"/>
      <c r="RI15" s="60"/>
      <c r="RJ15" s="60"/>
      <c r="RK15" s="60"/>
      <c r="RL15" s="60"/>
      <c r="RM15" s="60"/>
      <c r="RN15" s="60"/>
      <c r="RO15" s="60"/>
      <c r="RP15" s="60"/>
      <c r="RQ15" s="60"/>
      <c r="RR15" s="60"/>
      <c r="RS15" s="60"/>
      <c r="RT15" s="60"/>
      <c r="RU15" s="60"/>
      <c r="RV15" s="60"/>
      <c r="RW15" s="60"/>
      <c r="RX15" s="60"/>
      <c r="RY15" s="60"/>
      <c r="RZ15" s="60"/>
      <c r="SA15" s="60"/>
      <c r="SB15" s="60"/>
      <c r="SC15" s="60"/>
      <c r="SD15" s="60"/>
      <c r="SE15" s="60"/>
      <c r="SF15" s="60"/>
      <c r="SG15" s="60"/>
      <c r="SH15" s="60"/>
      <c r="SI15" s="60"/>
      <c r="SJ15" s="60"/>
      <c r="SK15" s="60"/>
      <c r="SL15" s="60"/>
      <c r="SM15" s="60"/>
      <c r="SN15" s="60"/>
      <c r="SO15" s="60"/>
      <c r="SP15" s="60"/>
      <c r="SQ15" s="60"/>
      <c r="SR15" s="60"/>
      <c r="SS15" s="60"/>
      <c r="ST15" s="60"/>
      <c r="SU15" s="60"/>
      <c r="SV15" s="60"/>
      <c r="SW15" s="60"/>
      <c r="SX15" s="60"/>
      <c r="SY15" s="60"/>
      <c r="SZ15" s="60"/>
      <c r="TA15" s="60"/>
      <c r="TB15" s="60"/>
      <c r="TC15" s="60"/>
      <c r="TD15" s="60"/>
      <c r="TE15" s="60"/>
      <c r="TF15" s="60"/>
      <c r="TG15" s="60"/>
      <c r="TH15" s="60"/>
      <c r="TI15" s="60"/>
      <c r="TJ15" s="60"/>
      <c r="TK15" s="60"/>
      <c r="TL15" s="60"/>
      <c r="TM15" s="60"/>
      <c r="TN15" s="60"/>
      <c r="TO15" s="60"/>
      <c r="TP15" s="60"/>
      <c r="TQ15" s="60"/>
      <c r="TR15" s="60"/>
      <c r="TS15" s="60"/>
      <c r="TT15" s="60"/>
      <c r="TU15" s="60"/>
      <c r="TV15" s="60"/>
      <c r="TW15" s="60"/>
      <c r="TX15" s="60"/>
      <c r="TY15" s="60"/>
      <c r="TZ15" s="60"/>
      <c r="UA15" s="60"/>
      <c r="UB15" s="60"/>
      <c r="UC15" s="60"/>
      <c r="UD15" s="60"/>
      <c r="UE15" s="60"/>
      <c r="UF15" s="60"/>
      <c r="UG15" s="60"/>
      <c r="UH15" s="60"/>
      <c r="UI15" s="60"/>
      <c r="UJ15" s="60"/>
      <c r="UK15" s="60"/>
      <c r="UL15" s="60"/>
      <c r="UM15" s="60"/>
      <c r="UN15" s="60"/>
      <c r="UO15" s="60"/>
      <c r="UP15" s="60"/>
      <c r="UQ15" s="60"/>
      <c r="UR15" s="60"/>
      <c r="US15" s="60"/>
      <c r="UT15" s="60"/>
      <c r="UU15" s="60"/>
      <c r="UV15" s="60"/>
      <c r="UW15" s="60"/>
      <c r="UX15" s="60"/>
      <c r="UY15" s="60"/>
      <c r="UZ15" s="60"/>
      <c r="VA15" s="60"/>
      <c r="VB15" s="60"/>
      <c r="VC15" s="60"/>
      <c r="VD15" s="60"/>
      <c r="VE15" s="60"/>
      <c r="VF15" s="60"/>
      <c r="VG15" s="60"/>
      <c r="VH15" s="60"/>
      <c r="VI15" s="60"/>
      <c r="VJ15" s="60"/>
      <c r="VK15" s="60"/>
      <c r="VL15" s="60"/>
      <c r="VM15" s="60"/>
      <c r="VN15" s="60"/>
      <c r="VO15" s="60"/>
      <c r="VP15" s="60"/>
      <c r="VQ15" s="60"/>
      <c r="VR15" s="60"/>
      <c r="VS15" s="60"/>
      <c r="VT15" s="60"/>
      <c r="VU15" s="60"/>
      <c r="VV15" s="60"/>
      <c r="VW15" s="60"/>
      <c r="VX15" s="60"/>
      <c r="VY15" s="60"/>
      <c r="VZ15" s="60"/>
      <c r="WA15" s="60"/>
      <c r="WB15" s="60"/>
      <c r="WC15" s="60"/>
      <c r="WD15" s="60"/>
      <c r="WE15" s="60"/>
      <c r="WF15" s="60"/>
      <c r="WG15" s="60"/>
      <c r="WH15" s="60"/>
      <c r="WI15" s="60"/>
      <c r="WJ15" s="60"/>
      <c r="WK15" s="60"/>
      <c r="WL15" s="60"/>
      <c r="WM15" s="60"/>
      <c r="WN15" s="60"/>
      <c r="WO15" s="60"/>
      <c r="WP15" s="60"/>
      <c r="WQ15" s="60"/>
      <c r="WR15" s="60"/>
      <c r="WS15" s="60"/>
      <c r="WT15" s="60"/>
      <c r="WU15" s="60"/>
      <c r="WV15" s="60"/>
      <c r="WW15" s="60"/>
      <c r="WX15" s="60"/>
      <c r="WY15" s="60"/>
      <c r="WZ15" s="60"/>
      <c r="XA15" s="60"/>
      <c r="XB15" s="60"/>
      <c r="XC15" s="60"/>
      <c r="XD15" s="60"/>
      <c r="XE15" s="60"/>
      <c r="XF15" s="60"/>
      <c r="XG15" s="60"/>
      <c r="XH15" s="60"/>
      <c r="XI15" s="60"/>
      <c r="XJ15" s="60"/>
      <c r="XK15" s="60"/>
      <c r="XL15" s="60"/>
      <c r="XM15" s="60"/>
      <c r="XN15" s="60"/>
      <c r="XO15" s="60"/>
      <c r="XP15" s="60"/>
      <c r="XQ15" s="60"/>
      <c r="XR15" s="60"/>
      <c r="XS15" s="60"/>
      <c r="XT15" s="60"/>
      <c r="XU15" s="60"/>
      <c r="XV15" s="60"/>
      <c r="XW15" s="60"/>
      <c r="XX15" s="60"/>
      <c r="XY15" s="60"/>
      <c r="XZ15" s="60"/>
      <c r="YA15" s="60"/>
      <c r="YB15" s="60"/>
      <c r="YC15" s="60"/>
      <c r="YD15" s="60"/>
      <c r="YE15" s="60"/>
      <c r="YF15" s="60"/>
      <c r="YG15" s="60"/>
      <c r="YH15" s="60"/>
      <c r="YI15" s="60"/>
      <c r="YJ15" s="60"/>
      <c r="YK15" s="60"/>
      <c r="YL15" s="60"/>
      <c r="YM15" s="60"/>
      <c r="YN15" s="60"/>
      <c r="YO15" s="60"/>
      <c r="YP15" s="60"/>
      <c r="YQ15" s="60"/>
      <c r="YR15" s="60"/>
      <c r="YS15" s="60"/>
      <c r="YT15" s="60"/>
      <c r="YU15" s="60"/>
      <c r="YV15" s="60"/>
      <c r="YW15" s="60"/>
      <c r="YX15" s="60"/>
      <c r="YY15" s="60"/>
      <c r="YZ15" s="60"/>
      <c r="ZA15" s="60"/>
      <c r="ZB15" s="60"/>
      <c r="ZC15" s="60"/>
      <c r="ZD15" s="60"/>
      <c r="ZE15" s="60"/>
      <c r="ZF15" s="60"/>
      <c r="ZG15" s="60"/>
      <c r="ZH15" s="60"/>
      <c r="ZI15" s="60"/>
      <c r="ZJ15" s="60"/>
      <c r="ZK15" s="60"/>
      <c r="ZL15" s="60"/>
      <c r="ZM15" s="60"/>
      <c r="ZN15" s="60"/>
      <c r="ZO15" s="60"/>
      <c r="ZP15" s="60"/>
      <c r="ZQ15" s="60"/>
      <c r="ZR15" s="60"/>
      <c r="ZS15" s="60"/>
      <c r="ZT15" s="60"/>
      <c r="ZU15" s="60"/>
      <c r="ZV15" s="60"/>
      <c r="ZW15" s="60"/>
      <c r="ZX15" s="60"/>
      <c r="ZY15" s="60"/>
      <c r="ZZ15" s="60"/>
      <c r="AAA15" s="60"/>
      <c r="AAB15" s="60"/>
      <c r="AAC15" s="60"/>
      <c r="AAD15" s="60"/>
      <c r="AAE15" s="60"/>
      <c r="AAF15" s="60"/>
      <c r="AAG15" s="60"/>
      <c r="AAH15" s="60"/>
      <c r="AAI15" s="60"/>
      <c r="AAJ15" s="60"/>
      <c r="AAK15" s="60"/>
      <c r="AAL15" s="60"/>
      <c r="AAM15" s="60"/>
      <c r="AAN15" s="60"/>
      <c r="AAO15" s="60"/>
      <c r="AAP15" s="60"/>
      <c r="AAQ15" s="60"/>
      <c r="AAR15" s="60"/>
      <c r="AAS15" s="60"/>
      <c r="AAT15" s="60"/>
      <c r="AAU15" s="60"/>
      <c r="AAV15" s="60"/>
      <c r="AAW15" s="60"/>
      <c r="AAX15" s="60"/>
      <c r="AAY15" s="60"/>
      <c r="AAZ15" s="60"/>
      <c r="ABA15" s="60"/>
      <c r="ABB15" s="60"/>
      <c r="ABC15" s="60"/>
      <c r="ABD15" s="60"/>
      <c r="ABE15" s="60"/>
      <c r="ABF15" s="60"/>
      <c r="ABG15" s="60"/>
      <c r="ABH15" s="60"/>
      <c r="ABI15" s="60"/>
      <c r="ABJ15" s="60"/>
      <c r="ABK15" s="60"/>
      <c r="ABL15" s="60"/>
      <c r="ABM15" s="60"/>
      <c r="ABN15" s="60"/>
      <c r="ABO15" s="60"/>
      <c r="ABP15" s="60"/>
      <c r="ABQ15" s="60"/>
      <c r="ABR15" s="60"/>
      <c r="ABS15" s="60"/>
      <c r="ABT15" s="60"/>
      <c r="ABU15" s="60"/>
      <c r="ABV15" s="60"/>
      <c r="ABW15" s="60"/>
      <c r="ABX15" s="60"/>
      <c r="ABY15" s="60"/>
      <c r="ABZ15" s="60"/>
      <c r="ACA15" s="60"/>
      <c r="ACB15" s="60"/>
      <c r="ACC15" s="60"/>
      <c r="ACD15" s="60"/>
      <c r="ACE15" s="60"/>
      <c r="ACF15" s="60"/>
      <c r="ACG15" s="60"/>
      <c r="ACH15" s="60"/>
      <c r="ACI15" s="60"/>
      <c r="ACJ15" s="60"/>
      <c r="ACK15" s="60"/>
      <c r="ACL15" s="60"/>
      <c r="ACM15" s="60"/>
      <c r="ACN15" s="60"/>
      <c r="ACO15" s="60"/>
      <c r="ACP15" s="60"/>
      <c r="ACQ15" s="60"/>
      <c r="ACR15" s="60"/>
      <c r="ACS15" s="60"/>
      <c r="ACT15" s="60"/>
      <c r="ACU15" s="60"/>
      <c r="ACV15" s="60"/>
      <c r="ACW15" s="60"/>
      <c r="ACX15" s="60"/>
      <c r="ACY15" s="60"/>
      <c r="ACZ15" s="60"/>
      <c r="ADA15" s="60"/>
      <c r="ADB15" s="60"/>
      <c r="ADC15" s="60"/>
      <c r="ADD15" s="60"/>
      <c r="ADE15" s="60"/>
      <c r="ADF15" s="60"/>
      <c r="ADG15" s="60"/>
      <c r="ADH15" s="60"/>
      <c r="ADI15" s="60"/>
      <c r="ADJ15" s="60"/>
      <c r="ADK15" s="60"/>
      <c r="ADL15" s="60"/>
      <c r="ADM15" s="60"/>
      <c r="ADN15" s="60"/>
      <c r="ADO15" s="60"/>
      <c r="ADP15" s="60"/>
      <c r="ADQ15" s="60"/>
      <c r="ADR15" s="60"/>
      <c r="ADS15" s="60"/>
      <c r="ADT15" s="60"/>
      <c r="ADU15" s="60"/>
      <c r="ADV15" s="60"/>
      <c r="ADW15" s="60"/>
      <c r="ADX15" s="60"/>
      <c r="ADY15" s="60"/>
      <c r="ADZ15" s="60"/>
      <c r="AEA15" s="60"/>
      <c r="AEB15" s="60"/>
      <c r="AEC15" s="60"/>
      <c r="AED15" s="60"/>
      <c r="AEE15" s="60"/>
      <c r="AEF15" s="60"/>
      <c r="AEG15" s="60"/>
      <c r="AEH15" s="60"/>
      <c r="AEI15" s="60"/>
      <c r="AEJ15" s="60"/>
      <c r="AEK15" s="60"/>
      <c r="AEL15" s="60"/>
      <c r="AEM15" s="60"/>
      <c r="AEN15" s="60"/>
      <c r="AEO15" s="60"/>
      <c r="AEP15" s="60"/>
      <c r="AEQ15" s="60"/>
      <c r="AER15" s="60"/>
      <c r="AES15" s="60"/>
      <c r="AET15" s="60"/>
      <c r="AEU15" s="60"/>
      <c r="AEV15" s="60"/>
      <c r="AEW15" s="60"/>
      <c r="AEX15" s="60"/>
      <c r="AEY15" s="60"/>
      <c r="AEZ15" s="60"/>
      <c r="AFA15" s="60"/>
      <c r="AFB15" s="60"/>
      <c r="AFC15" s="60"/>
      <c r="AFD15" s="60"/>
      <c r="AFE15" s="60"/>
      <c r="AFF15" s="60"/>
      <c r="AFG15" s="60"/>
      <c r="AFH15" s="60"/>
      <c r="AFI15" s="60"/>
      <c r="AFJ15" s="60"/>
      <c r="AFK15" s="60"/>
      <c r="AFL15" s="60"/>
      <c r="AFM15" s="60"/>
      <c r="AFN15" s="60"/>
      <c r="AFO15" s="60"/>
      <c r="AFP15" s="60"/>
      <c r="AFQ15" s="60"/>
      <c r="AFR15" s="60"/>
      <c r="AFS15" s="60"/>
      <c r="AFT15" s="60"/>
      <c r="AFU15" s="60"/>
      <c r="AFV15" s="60"/>
      <c r="AFW15" s="60"/>
      <c r="AFX15" s="60"/>
      <c r="AFY15" s="60"/>
      <c r="AFZ15" s="60"/>
      <c r="AGA15" s="60"/>
      <c r="AGB15" s="60"/>
      <c r="AGC15" s="60"/>
      <c r="AGD15" s="60"/>
      <c r="AGE15" s="60"/>
      <c r="AGF15" s="60"/>
      <c r="AGG15" s="60"/>
      <c r="AGH15" s="60"/>
      <c r="AGI15" s="60"/>
      <c r="AGJ15" s="60"/>
      <c r="AGK15" s="60"/>
      <c r="AGL15" s="60"/>
      <c r="AGM15" s="60"/>
      <c r="AGN15" s="60"/>
      <c r="AGO15" s="60"/>
      <c r="AGP15" s="60"/>
      <c r="AGQ15" s="60"/>
      <c r="AGR15" s="60"/>
      <c r="AGS15" s="60"/>
      <c r="AGT15" s="60"/>
      <c r="AGU15" s="60"/>
      <c r="AGV15" s="60"/>
      <c r="AGW15" s="60"/>
      <c r="AGX15" s="60"/>
      <c r="AGY15" s="60"/>
      <c r="AGZ15" s="60"/>
      <c r="AHA15" s="60"/>
      <c r="AHB15" s="60"/>
      <c r="AHC15" s="60"/>
      <c r="AHD15" s="60"/>
      <c r="AHE15" s="60"/>
      <c r="AHF15" s="60"/>
      <c r="AHG15" s="60"/>
      <c r="AHH15" s="60"/>
      <c r="AHI15" s="60"/>
      <c r="AHJ15" s="60"/>
      <c r="AHK15" s="60"/>
      <c r="AHL15" s="60"/>
      <c r="AHM15" s="60"/>
      <c r="AHN15" s="60"/>
      <c r="AHO15" s="60"/>
      <c r="AHP15" s="60"/>
      <c r="AHQ15" s="60"/>
      <c r="AHR15" s="60"/>
      <c r="AHS15" s="60"/>
      <c r="AHT15" s="60"/>
      <c r="AHU15" s="60"/>
      <c r="AHV15" s="60"/>
      <c r="AHW15" s="60"/>
      <c r="AHX15" s="60"/>
      <c r="AHY15" s="60"/>
      <c r="AHZ15" s="60"/>
      <c r="AIA15" s="60"/>
      <c r="AIB15" s="60"/>
      <c r="AIC15" s="60"/>
      <c r="AID15" s="60"/>
      <c r="AIE15" s="60"/>
      <c r="AIF15" s="60"/>
      <c r="AIG15" s="60"/>
      <c r="AIH15" s="60"/>
      <c r="AII15" s="60"/>
      <c r="AIJ15" s="60"/>
      <c r="AIK15" s="60"/>
      <c r="AIL15" s="60"/>
      <c r="AIM15" s="60"/>
      <c r="AIN15" s="60"/>
      <c r="AIO15" s="60"/>
      <c r="AIP15" s="60"/>
      <c r="AIQ15" s="60"/>
      <c r="AIR15" s="60"/>
      <c r="AIS15" s="60"/>
      <c r="AIT15" s="60"/>
      <c r="AIU15" s="60"/>
      <c r="AIV15" s="60"/>
      <c r="AIW15" s="60"/>
      <c r="AIX15" s="60"/>
      <c r="AIY15" s="60"/>
      <c r="AIZ15" s="60"/>
      <c r="AJA15" s="60"/>
      <c r="AJB15" s="60"/>
      <c r="AJC15" s="60"/>
      <c r="AJD15" s="60"/>
      <c r="AJE15" s="60"/>
      <c r="AJF15" s="60"/>
      <c r="AJG15" s="60"/>
      <c r="AJH15" s="60"/>
      <c r="AJI15" s="60"/>
      <c r="AJJ15" s="60"/>
      <c r="AJK15" s="60"/>
      <c r="AJL15" s="60"/>
      <c r="AJM15" s="60"/>
      <c r="AJN15" s="60"/>
      <c r="AJO15" s="60"/>
      <c r="AJP15" s="60"/>
      <c r="AJQ15" s="60"/>
      <c r="AJR15" s="60"/>
      <c r="AJS15" s="60"/>
      <c r="AJT15" s="60"/>
      <c r="AJU15" s="60"/>
      <c r="AJV15" s="60"/>
      <c r="AJW15" s="60"/>
      <c r="AJX15" s="60"/>
      <c r="AJY15" s="60"/>
      <c r="AJZ15" s="60"/>
      <c r="AKA15" s="60"/>
      <c r="AKB15" s="60"/>
      <c r="AKC15" s="60"/>
      <c r="AKD15" s="60"/>
      <c r="AKE15" s="60"/>
      <c r="AKF15" s="60"/>
      <c r="AKG15" s="60"/>
      <c r="AKH15" s="60"/>
      <c r="AKI15" s="60"/>
      <c r="AKJ15" s="60"/>
      <c r="AKK15" s="60"/>
      <c r="AKL15" s="60"/>
      <c r="AKM15" s="60"/>
      <c r="AKN15" s="60"/>
      <c r="AKO15" s="60"/>
      <c r="AKP15" s="60"/>
      <c r="AKQ15" s="60"/>
      <c r="AKR15" s="60"/>
      <c r="AKS15" s="60"/>
      <c r="AKT15" s="60"/>
      <c r="AKU15" s="60"/>
      <c r="AKV15" s="60"/>
      <c r="AKW15" s="60"/>
      <c r="AKX15" s="60"/>
      <c r="AKY15" s="60"/>
      <c r="AKZ15" s="60"/>
      <c r="ALA15" s="60"/>
      <c r="ALB15" s="60"/>
      <c r="ALC15" s="60"/>
      <c r="ALD15" s="60"/>
      <c r="ALE15" s="60"/>
      <c r="ALF15" s="60"/>
      <c r="ALG15" s="60"/>
      <c r="ALH15" s="60"/>
      <c r="ALI15" s="60"/>
      <c r="ALJ15" s="60"/>
      <c r="ALK15" s="60"/>
      <c r="ALL15" s="60"/>
      <c r="ALM15" s="60"/>
      <c r="ALN15" s="60"/>
      <c r="ALO15" s="60"/>
      <c r="ALP15" s="60"/>
      <c r="ALQ15" s="60"/>
      <c r="ALR15" s="60"/>
      <c r="ALS15" s="60"/>
      <c r="ALT15" s="60"/>
      <c r="ALU15" s="60"/>
      <c r="ALV15" s="60"/>
      <c r="ALW15" s="60"/>
      <c r="ALX15" s="60"/>
      <c r="ALY15" s="60"/>
      <c r="ALZ15" s="60"/>
      <c r="AMA15" s="60"/>
      <c r="AMB15" s="60"/>
      <c r="AMC15" s="60"/>
      <c r="AMD15" s="60"/>
      <c r="AME15" s="60"/>
      <c r="AMF15" s="60"/>
      <c r="AMG15" s="60"/>
      <c r="AMH15" s="60"/>
      <c r="AMI15" s="60"/>
      <c r="AMJ15" s="60"/>
      <c r="AMK15" s="60"/>
      <c r="AML15" s="60"/>
      <c r="AMM15" s="60"/>
      <c r="AMN15" s="60"/>
      <c r="AMO15" s="60"/>
      <c r="AMP15" s="60"/>
      <c r="AMQ15" s="60"/>
      <c r="AMR15" s="60"/>
      <c r="AMS15" s="60"/>
      <c r="AMT15" s="60"/>
      <c r="AMU15" s="60"/>
      <c r="AMV15" s="60"/>
      <c r="AMW15" s="60"/>
      <c r="AMX15" s="60"/>
      <c r="AMY15" s="60"/>
      <c r="AMZ15" s="60"/>
      <c r="ANA15" s="60"/>
      <c r="ANB15" s="60"/>
      <c r="ANC15" s="60"/>
      <c r="AND15" s="60"/>
      <c r="ANE15" s="60"/>
      <c r="ANF15" s="60"/>
      <c r="ANG15" s="60"/>
      <c r="ANH15" s="60"/>
      <c r="ANI15" s="60"/>
      <c r="ANJ15" s="60"/>
      <c r="ANK15" s="60"/>
      <c r="ANL15" s="60"/>
      <c r="ANM15" s="60"/>
      <c r="ANN15" s="60"/>
      <c r="ANO15" s="60"/>
      <c r="ANP15" s="60"/>
      <c r="ANQ15" s="60"/>
      <c r="ANR15" s="60"/>
      <c r="ANS15" s="60"/>
      <c r="ANT15" s="60"/>
      <c r="ANU15" s="60"/>
      <c r="ANV15" s="60"/>
      <c r="ANW15" s="60"/>
      <c r="ANX15" s="60"/>
      <c r="ANY15" s="60"/>
      <c r="ANZ15" s="60"/>
      <c r="AOA15" s="60"/>
      <c r="AOB15" s="60"/>
      <c r="AOC15" s="60"/>
      <c r="AOD15" s="60"/>
      <c r="AOE15" s="60"/>
      <c r="AOF15" s="60"/>
      <c r="AOG15" s="60"/>
      <c r="AOH15" s="60"/>
      <c r="AOI15" s="60"/>
      <c r="AOJ15" s="60"/>
      <c r="AOK15" s="60"/>
      <c r="AOL15" s="60"/>
      <c r="AOM15" s="60"/>
      <c r="AON15" s="60"/>
      <c r="AOO15" s="60"/>
      <c r="AOP15" s="60"/>
      <c r="AOQ15" s="60"/>
      <c r="AOR15" s="60"/>
      <c r="AOS15" s="60"/>
      <c r="AOT15" s="60"/>
      <c r="AOU15" s="60"/>
      <c r="AOV15" s="60"/>
      <c r="AOW15" s="60"/>
      <c r="AOX15" s="60"/>
      <c r="AOY15" s="60"/>
      <c r="AOZ15" s="60"/>
      <c r="APA15" s="60"/>
      <c r="APB15" s="60"/>
      <c r="APC15" s="60"/>
      <c r="APD15" s="60"/>
      <c r="APE15" s="60"/>
      <c r="APF15" s="60"/>
      <c r="APG15" s="60"/>
      <c r="APH15" s="60"/>
      <c r="API15" s="60"/>
      <c r="APJ15" s="60"/>
      <c r="APK15" s="60"/>
      <c r="APL15" s="60"/>
      <c r="APM15" s="60"/>
      <c r="APN15" s="60"/>
      <c r="APO15" s="60"/>
      <c r="APP15" s="60"/>
      <c r="APQ15" s="60"/>
      <c r="APR15" s="60"/>
      <c r="APS15" s="60"/>
      <c r="APT15" s="60"/>
      <c r="APU15" s="60"/>
      <c r="APV15" s="60"/>
      <c r="APW15" s="60"/>
      <c r="APX15" s="60"/>
      <c r="APY15" s="60"/>
      <c r="APZ15" s="60"/>
      <c r="AQA15" s="60"/>
      <c r="AQB15" s="60"/>
      <c r="AQC15" s="60"/>
      <c r="AQD15" s="60"/>
      <c r="AQE15" s="60"/>
      <c r="AQF15" s="60"/>
      <c r="AQG15" s="60"/>
      <c r="AQH15" s="60"/>
      <c r="AQI15" s="60"/>
      <c r="AQJ15" s="60"/>
      <c r="AQK15" s="60"/>
      <c r="AQL15" s="60"/>
      <c r="AQM15" s="60"/>
      <c r="AQN15" s="60"/>
      <c r="AQO15" s="60"/>
      <c r="AQP15" s="60"/>
      <c r="AQQ15" s="60"/>
      <c r="AQR15" s="60"/>
      <c r="AQS15" s="60"/>
      <c r="AQT15" s="60"/>
      <c r="AQU15" s="60"/>
      <c r="AQV15" s="60"/>
      <c r="AQW15" s="60"/>
      <c r="AQX15" s="60"/>
      <c r="AQY15" s="60"/>
      <c r="AQZ15" s="60"/>
      <c r="ARA15" s="60"/>
      <c r="ARB15" s="60"/>
      <c r="ARC15" s="60"/>
      <c r="ARD15" s="60"/>
      <c r="ARE15" s="60"/>
      <c r="ARF15" s="60"/>
      <c r="ARG15" s="60"/>
      <c r="ARH15" s="60"/>
      <c r="ARI15" s="60"/>
      <c r="ARJ15" s="60"/>
      <c r="ARK15" s="60"/>
      <c r="ARL15" s="60"/>
      <c r="ARM15" s="60"/>
      <c r="ARN15" s="60"/>
      <c r="ARO15" s="60"/>
      <c r="ARP15" s="60"/>
      <c r="ARQ15" s="60"/>
      <c r="ARR15" s="60"/>
      <c r="ARS15" s="60"/>
      <c r="ART15" s="60"/>
      <c r="ARU15" s="60"/>
      <c r="ARV15" s="60"/>
      <c r="ARW15" s="60"/>
      <c r="ARX15" s="60"/>
      <c r="ARY15" s="60"/>
      <c r="ARZ15" s="60"/>
      <c r="ASA15" s="60"/>
      <c r="ASB15" s="60"/>
      <c r="ASC15" s="60"/>
      <c r="ASD15" s="60"/>
      <c r="ASE15" s="60"/>
      <c r="ASF15" s="60"/>
      <c r="ASG15" s="60"/>
      <c r="ASH15" s="60"/>
      <c r="ASI15" s="60"/>
      <c r="ASJ15" s="60"/>
      <c r="ASK15" s="60"/>
      <c r="ASL15" s="60"/>
      <c r="ASM15" s="60"/>
      <c r="ASN15" s="60"/>
      <c r="ASO15" s="60"/>
      <c r="ASP15" s="60"/>
      <c r="ASQ15" s="60"/>
      <c r="ASR15" s="60"/>
      <c r="ASS15" s="60"/>
      <c r="AST15" s="60"/>
      <c r="ASU15" s="60"/>
      <c r="ASV15" s="60"/>
      <c r="ASW15" s="60"/>
      <c r="ASX15" s="60"/>
      <c r="ASY15" s="60"/>
      <c r="ASZ15" s="60"/>
      <c r="ATA15" s="60"/>
      <c r="ATB15" s="60"/>
      <c r="ATC15" s="60"/>
      <c r="ATD15" s="60"/>
      <c r="ATE15" s="60"/>
      <c r="ATF15" s="60"/>
      <c r="ATG15" s="60"/>
      <c r="ATH15" s="60"/>
      <c r="ATI15" s="60"/>
      <c r="ATJ15" s="60"/>
      <c r="ATK15" s="60"/>
      <c r="ATL15" s="60"/>
      <c r="ATM15" s="60"/>
      <c r="ATN15" s="60"/>
      <c r="ATO15" s="60"/>
      <c r="ATP15" s="60"/>
      <c r="ATQ15" s="60"/>
      <c r="ATR15" s="60"/>
      <c r="ATS15" s="60"/>
      <c r="ATT15" s="60"/>
      <c r="ATU15" s="60"/>
      <c r="ATV15" s="60"/>
      <c r="ATW15" s="60"/>
      <c r="ATX15" s="60"/>
      <c r="ATY15" s="60"/>
      <c r="ATZ15" s="60"/>
      <c r="AUA15" s="60"/>
      <c r="AUB15" s="60"/>
      <c r="AUC15" s="60"/>
      <c r="AUD15" s="60"/>
      <c r="AUE15" s="60"/>
      <c r="AUF15" s="60"/>
      <c r="AUG15" s="60"/>
      <c r="AUH15" s="60"/>
      <c r="AUI15" s="60"/>
      <c r="AUJ15" s="60"/>
      <c r="AUK15" s="60"/>
      <c r="AUL15" s="60"/>
      <c r="AUM15" s="60"/>
      <c r="AUN15" s="60"/>
      <c r="AUO15" s="60"/>
      <c r="AUP15" s="60"/>
      <c r="AUQ15" s="60"/>
      <c r="AUR15" s="60"/>
      <c r="AUS15" s="60"/>
      <c r="AUT15" s="60"/>
      <c r="AUU15" s="60"/>
      <c r="AUV15" s="60"/>
      <c r="AUW15" s="60"/>
      <c r="AUX15" s="60"/>
      <c r="AUY15" s="60"/>
      <c r="AUZ15" s="60"/>
      <c r="AVA15" s="60"/>
      <c r="AVB15" s="60"/>
      <c r="AVC15" s="60"/>
      <c r="AVD15" s="60"/>
      <c r="AVE15" s="60"/>
      <c r="AVF15" s="60"/>
      <c r="AVG15" s="60"/>
      <c r="AVH15" s="60"/>
      <c r="AVI15" s="60"/>
      <c r="AVJ15" s="60"/>
      <c r="AVK15" s="60"/>
      <c r="AVL15" s="60"/>
      <c r="AVM15" s="60"/>
      <c r="AVN15" s="60"/>
      <c r="AVO15" s="60"/>
      <c r="AVP15" s="60"/>
      <c r="AVQ15" s="60"/>
      <c r="AVR15" s="60"/>
      <c r="AVS15" s="60"/>
      <c r="AVT15" s="60"/>
      <c r="AVU15" s="60"/>
      <c r="AVV15" s="60"/>
      <c r="AVW15" s="60"/>
      <c r="AVX15" s="60"/>
      <c r="AVY15" s="60"/>
      <c r="AVZ15" s="60"/>
      <c r="AWA15" s="60"/>
      <c r="AWB15" s="60"/>
      <c r="AWC15" s="60"/>
      <c r="AWD15" s="60"/>
      <c r="AWE15" s="60"/>
      <c r="AWF15" s="60"/>
      <c r="AWG15" s="60"/>
      <c r="AWH15" s="60"/>
      <c r="AWI15" s="60"/>
      <c r="AWJ15" s="60"/>
      <c r="AWK15" s="60"/>
      <c r="AWL15" s="60"/>
      <c r="AWM15" s="60"/>
      <c r="AWN15" s="60"/>
      <c r="AWO15" s="60"/>
      <c r="AWP15" s="60"/>
      <c r="AWQ15" s="60"/>
      <c r="AWR15" s="60"/>
      <c r="AWS15" s="60"/>
      <c r="AWT15" s="60"/>
      <c r="AWU15" s="60"/>
      <c r="AWV15" s="60"/>
      <c r="AWW15" s="60"/>
      <c r="AWX15" s="60"/>
      <c r="AWY15" s="60"/>
      <c r="AWZ15" s="60"/>
      <c r="AXA15" s="60"/>
      <c r="AXB15" s="60"/>
      <c r="AXC15" s="60"/>
      <c r="AXD15" s="60"/>
      <c r="AXE15" s="60"/>
      <c r="AXF15" s="60"/>
      <c r="AXG15" s="60"/>
      <c r="AXH15" s="60"/>
      <c r="AXI15" s="60"/>
      <c r="AXJ15" s="60"/>
      <c r="AXK15" s="60"/>
      <c r="AXL15" s="60"/>
      <c r="AXM15" s="60"/>
      <c r="AXN15" s="60"/>
      <c r="AXO15" s="60"/>
      <c r="AXP15" s="60"/>
      <c r="AXQ15" s="60"/>
      <c r="AXR15" s="60"/>
      <c r="AXS15" s="60"/>
      <c r="AXT15" s="60"/>
      <c r="AXU15" s="60"/>
      <c r="AXV15" s="60"/>
      <c r="AXW15" s="60"/>
      <c r="AXX15" s="60"/>
      <c r="AXY15" s="60"/>
      <c r="AXZ15" s="60"/>
      <c r="AYA15" s="60"/>
      <c r="AYB15" s="60"/>
      <c r="AYC15" s="60"/>
      <c r="AYD15" s="60"/>
      <c r="AYE15" s="60"/>
      <c r="AYF15" s="60"/>
      <c r="AYG15" s="60"/>
      <c r="AYH15" s="60"/>
      <c r="AYI15" s="60"/>
      <c r="AYJ15" s="60"/>
      <c r="AYK15" s="60"/>
      <c r="AYL15" s="60"/>
      <c r="AYM15" s="60"/>
      <c r="AYN15" s="60"/>
      <c r="AYO15" s="60"/>
      <c r="AYP15" s="60"/>
      <c r="AYQ15" s="60"/>
      <c r="AYR15" s="60"/>
      <c r="AYS15" s="60"/>
      <c r="AYT15" s="60"/>
      <c r="AYU15" s="60"/>
      <c r="AYV15" s="60"/>
      <c r="AYW15" s="60"/>
      <c r="AYX15" s="60"/>
      <c r="AYY15" s="60"/>
      <c r="AYZ15" s="60"/>
      <c r="AZA15" s="60"/>
      <c r="AZB15" s="60"/>
      <c r="AZC15" s="60"/>
      <c r="AZD15" s="60"/>
      <c r="AZE15" s="60"/>
      <c r="AZF15" s="60"/>
      <c r="AZG15" s="60"/>
      <c r="AZH15" s="60"/>
      <c r="AZI15" s="60"/>
      <c r="AZJ15" s="60"/>
      <c r="AZK15" s="60"/>
      <c r="AZL15" s="60"/>
      <c r="AZM15" s="60"/>
      <c r="AZN15" s="60"/>
      <c r="AZO15" s="60"/>
      <c r="AZP15" s="60"/>
      <c r="AZQ15" s="60"/>
      <c r="AZR15" s="60"/>
      <c r="AZS15" s="60"/>
      <c r="AZT15" s="60"/>
      <c r="AZU15" s="60"/>
      <c r="AZV15" s="60"/>
      <c r="AZW15" s="60"/>
      <c r="AZX15" s="60"/>
      <c r="AZY15" s="60"/>
      <c r="AZZ15" s="60"/>
      <c r="BAA15" s="60"/>
      <c r="BAB15" s="60"/>
      <c r="BAC15" s="60"/>
      <c r="BAD15" s="60"/>
      <c r="BAE15" s="60"/>
      <c r="BAF15" s="60"/>
      <c r="BAG15" s="60"/>
      <c r="BAH15" s="60"/>
      <c r="BAI15" s="60"/>
      <c r="BAJ15" s="60"/>
      <c r="BAK15" s="60"/>
      <c r="BAL15" s="60"/>
      <c r="BAM15" s="60"/>
      <c r="BAN15" s="60"/>
      <c r="BAO15" s="60"/>
      <c r="BAP15" s="60"/>
      <c r="BAQ15" s="60"/>
      <c r="BAR15" s="60"/>
      <c r="BAS15" s="60"/>
      <c r="BAT15" s="60"/>
      <c r="BAU15" s="60"/>
      <c r="BAV15" s="60"/>
      <c r="BAW15" s="60"/>
      <c r="BAX15" s="60"/>
      <c r="BAY15" s="60"/>
      <c r="BAZ15" s="60"/>
      <c r="BBA15" s="60"/>
      <c r="BBB15" s="60"/>
      <c r="BBC15" s="60"/>
      <c r="BBD15" s="60"/>
      <c r="BBE15" s="60"/>
      <c r="BBF15" s="60"/>
      <c r="BBG15" s="60"/>
      <c r="BBH15" s="60"/>
      <c r="BBI15" s="60"/>
      <c r="BBJ15" s="60"/>
      <c r="BBK15" s="60"/>
      <c r="BBL15" s="60"/>
      <c r="BBM15" s="60"/>
      <c r="BBN15" s="60"/>
      <c r="BBO15" s="60"/>
      <c r="BBP15" s="60"/>
      <c r="BBQ15" s="60"/>
      <c r="BBR15" s="60"/>
      <c r="BBS15" s="60"/>
      <c r="BBT15" s="60"/>
      <c r="BBU15" s="60"/>
      <c r="BBV15" s="60"/>
      <c r="BBW15" s="60"/>
      <c r="BBX15" s="60"/>
      <c r="BBY15" s="60"/>
      <c r="BBZ15" s="60"/>
      <c r="BCA15" s="60"/>
      <c r="BCB15" s="60"/>
      <c r="BCC15" s="60"/>
      <c r="BCD15" s="60"/>
      <c r="BCE15" s="60"/>
      <c r="BCF15" s="60"/>
      <c r="BCG15" s="60"/>
      <c r="BCH15" s="60"/>
      <c r="BCI15" s="60"/>
      <c r="BCJ15" s="60"/>
      <c r="BCK15" s="60"/>
      <c r="BCL15" s="60"/>
      <c r="BCM15" s="60"/>
      <c r="BCN15" s="60"/>
      <c r="BCO15" s="60"/>
      <c r="BCP15" s="60"/>
      <c r="BCQ15" s="60"/>
      <c r="BCR15" s="60"/>
      <c r="BCS15" s="60"/>
      <c r="BCT15" s="60"/>
      <c r="BCU15" s="60"/>
      <c r="BCV15" s="60"/>
      <c r="BCW15" s="60"/>
      <c r="BCX15" s="60"/>
      <c r="BCY15" s="60"/>
      <c r="BCZ15" s="60"/>
      <c r="BDA15" s="60"/>
      <c r="BDB15" s="60"/>
      <c r="BDC15" s="60"/>
      <c r="BDD15" s="60"/>
      <c r="BDE15" s="60"/>
      <c r="BDF15" s="60"/>
      <c r="BDG15" s="60"/>
      <c r="BDH15" s="60"/>
      <c r="BDI15" s="60"/>
      <c r="BDJ15" s="60"/>
      <c r="BDK15" s="60"/>
      <c r="BDL15" s="60"/>
      <c r="BDM15" s="60"/>
      <c r="BDN15" s="60"/>
      <c r="BDO15" s="60"/>
      <c r="BDP15" s="60"/>
      <c r="BDQ15" s="60"/>
      <c r="BDR15" s="60"/>
      <c r="BDS15" s="60"/>
      <c r="BDT15" s="60"/>
      <c r="BDU15" s="60"/>
      <c r="BDV15" s="60"/>
      <c r="BDW15" s="60"/>
      <c r="BDX15" s="60"/>
      <c r="BDY15" s="60"/>
      <c r="BDZ15" s="60"/>
      <c r="BEA15" s="60"/>
      <c r="BEB15" s="60"/>
      <c r="BEC15" s="60"/>
      <c r="BED15" s="60"/>
      <c r="BEE15" s="60"/>
      <c r="BEF15" s="60"/>
      <c r="BEG15" s="60"/>
      <c r="BEH15" s="60"/>
      <c r="BEI15" s="60"/>
      <c r="BEJ15" s="60"/>
      <c r="BEK15" s="60"/>
      <c r="BEL15" s="60"/>
      <c r="BEM15" s="60"/>
      <c r="BEN15" s="60"/>
      <c r="BEO15" s="60"/>
      <c r="BEP15" s="60"/>
      <c r="BEQ15" s="60"/>
      <c r="BER15" s="60"/>
      <c r="BES15" s="60"/>
      <c r="BET15" s="60"/>
      <c r="BEU15" s="60"/>
      <c r="BEV15" s="60"/>
      <c r="BEW15" s="60"/>
      <c r="BEX15" s="60"/>
      <c r="BEY15" s="60"/>
      <c r="BEZ15" s="60"/>
      <c r="BFA15" s="60"/>
      <c r="BFB15" s="60"/>
      <c r="BFC15" s="60"/>
      <c r="BFD15" s="60"/>
      <c r="BFE15" s="60"/>
      <c r="BFF15" s="60"/>
      <c r="BFG15" s="60"/>
      <c r="BFH15" s="60"/>
      <c r="BFI15" s="60"/>
      <c r="BFJ15" s="60"/>
      <c r="BFK15" s="60"/>
      <c r="BFL15" s="60"/>
      <c r="BFM15" s="60"/>
      <c r="BFN15" s="60"/>
      <c r="BFO15" s="60"/>
      <c r="BFP15" s="60"/>
      <c r="BFQ15" s="60"/>
      <c r="BFR15" s="60"/>
      <c r="BFS15" s="60"/>
      <c r="BFT15" s="60"/>
      <c r="BFU15" s="60"/>
      <c r="BFV15" s="60"/>
      <c r="BFW15" s="60"/>
      <c r="BFX15" s="60"/>
      <c r="BFY15" s="60"/>
      <c r="BFZ15" s="60"/>
      <c r="BGA15" s="60"/>
      <c r="BGB15" s="60"/>
      <c r="BGC15" s="60"/>
      <c r="BGD15" s="60"/>
      <c r="BGE15" s="60"/>
      <c r="BGF15" s="60"/>
      <c r="BGG15" s="60"/>
      <c r="BGH15" s="60"/>
      <c r="BGI15" s="60"/>
      <c r="BGJ15" s="60"/>
      <c r="BGK15" s="60"/>
      <c r="BGL15" s="60"/>
      <c r="BGM15" s="60"/>
      <c r="BGN15" s="60"/>
      <c r="BGO15" s="60"/>
      <c r="BGP15" s="60"/>
      <c r="BGQ15" s="60"/>
      <c r="BGR15" s="60"/>
      <c r="BGS15" s="60"/>
      <c r="BGT15" s="60"/>
      <c r="BGU15" s="60"/>
      <c r="BGV15" s="60"/>
      <c r="BGW15" s="60"/>
      <c r="BGX15" s="60"/>
      <c r="BGY15" s="60"/>
      <c r="BGZ15" s="60"/>
      <c r="BHA15" s="60"/>
      <c r="BHB15" s="60"/>
      <c r="BHC15" s="60"/>
      <c r="BHD15" s="60"/>
      <c r="BHE15" s="60"/>
      <c r="BHF15" s="60"/>
      <c r="BHG15" s="60"/>
      <c r="BHH15" s="60"/>
      <c r="BHI15" s="60"/>
      <c r="BHJ15" s="60"/>
      <c r="BHK15" s="60"/>
      <c r="BHL15" s="60"/>
      <c r="BHM15" s="60"/>
      <c r="BHN15" s="60"/>
      <c r="BHO15" s="60"/>
      <c r="BHP15" s="60"/>
      <c r="BHQ15" s="60"/>
      <c r="BHR15" s="60"/>
      <c r="BHS15" s="60"/>
      <c r="BHT15" s="60"/>
      <c r="BHU15" s="60"/>
      <c r="BHV15" s="60"/>
      <c r="BHW15" s="60"/>
      <c r="BHX15" s="60"/>
      <c r="BHY15" s="60"/>
      <c r="BHZ15" s="60"/>
      <c r="BIA15" s="60"/>
      <c r="BIB15" s="60"/>
      <c r="BIC15" s="60"/>
      <c r="BID15" s="60"/>
      <c r="BIE15" s="60"/>
      <c r="BIF15" s="60"/>
      <c r="BIG15" s="60"/>
      <c r="BIH15" s="60"/>
      <c r="BII15" s="60"/>
      <c r="BIJ15" s="60"/>
      <c r="BIK15" s="60"/>
      <c r="BIL15" s="60"/>
      <c r="BIM15" s="60"/>
      <c r="BIN15" s="60"/>
      <c r="BIO15" s="60"/>
      <c r="BIP15" s="60"/>
      <c r="BIQ15" s="60"/>
      <c r="BIR15" s="60"/>
      <c r="BIS15" s="60"/>
      <c r="BIT15" s="60"/>
      <c r="BIU15" s="60"/>
      <c r="BIV15" s="60"/>
      <c r="BIW15" s="60"/>
      <c r="BIX15" s="60"/>
      <c r="BIY15" s="60"/>
      <c r="BIZ15" s="60"/>
      <c r="BJA15" s="60"/>
      <c r="BJB15" s="60"/>
      <c r="BJC15" s="60"/>
      <c r="BJD15" s="60"/>
      <c r="BJE15" s="60"/>
      <c r="BJF15" s="60"/>
      <c r="BJG15" s="60"/>
      <c r="BJH15" s="60"/>
      <c r="BJI15" s="60"/>
      <c r="BJJ15" s="60"/>
      <c r="BJK15" s="60"/>
      <c r="BJL15" s="60"/>
      <c r="BJM15" s="60"/>
      <c r="BJN15" s="60"/>
      <c r="BJO15" s="60"/>
      <c r="BJP15" s="60"/>
      <c r="BJQ15" s="60"/>
      <c r="BJR15" s="60"/>
      <c r="BJS15" s="60"/>
      <c r="BJT15" s="60"/>
      <c r="BJU15" s="60"/>
      <c r="BJV15" s="60"/>
      <c r="BJW15" s="60"/>
      <c r="BJX15" s="60"/>
      <c r="BJY15" s="60"/>
      <c r="BJZ15" s="60"/>
      <c r="BKA15" s="60"/>
      <c r="BKB15" s="60"/>
      <c r="BKC15" s="60"/>
      <c r="BKD15" s="60"/>
      <c r="BKE15" s="60"/>
      <c r="BKF15" s="60"/>
      <c r="BKG15" s="60"/>
      <c r="BKH15" s="60"/>
      <c r="BKI15" s="60"/>
      <c r="BKJ15" s="60"/>
      <c r="BKK15" s="60"/>
      <c r="BKL15" s="60"/>
      <c r="BKM15" s="60"/>
      <c r="BKN15" s="60"/>
      <c r="BKO15" s="60"/>
      <c r="BKP15" s="60"/>
      <c r="BKQ15" s="60"/>
      <c r="BKR15" s="60"/>
      <c r="BKS15" s="60"/>
      <c r="BKT15" s="60"/>
      <c r="BKU15" s="60"/>
      <c r="BKV15" s="60"/>
      <c r="BKW15" s="60"/>
      <c r="BKX15" s="60"/>
      <c r="BKY15" s="60"/>
      <c r="BKZ15" s="60"/>
      <c r="BLA15" s="60"/>
      <c r="BLB15" s="60"/>
      <c r="BLC15" s="60"/>
      <c r="BLD15" s="60"/>
      <c r="BLE15" s="60"/>
      <c r="BLF15" s="60"/>
      <c r="BLG15" s="60"/>
      <c r="BLH15" s="60"/>
      <c r="BLI15" s="60"/>
      <c r="BLJ15" s="60"/>
      <c r="BLK15" s="60"/>
      <c r="BLL15" s="60"/>
      <c r="BLM15" s="60"/>
      <c r="BLN15" s="60"/>
      <c r="BLO15" s="60"/>
      <c r="BLP15" s="60"/>
      <c r="BLQ15" s="60"/>
      <c r="BLR15" s="60"/>
      <c r="BLS15" s="60"/>
      <c r="BLT15" s="60"/>
      <c r="BLU15" s="60"/>
      <c r="BLV15" s="60"/>
      <c r="BLW15" s="60"/>
      <c r="BLX15" s="60"/>
      <c r="BLY15" s="60"/>
      <c r="BLZ15" s="60"/>
      <c r="BMA15" s="60"/>
      <c r="BMB15" s="60"/>
      <c r="BMC15" s="60"/>
      <c r="BMD15" s="60"/>
      <c r="BME15" s="60"/>
      <c r="BMF15" s="60"/>
      <c r="BMG15" s="60"/>
      <c r="BMH15" s="60"/>
      <c r="BMI15" s="60"/>
      <c r="BMJ15" s="60"/>
      <c r="BMK15" s="60"/>
      <c r="BML15" s="60"/>
      <c r="BMM15" s="60"/>
      <c r="BMN15" s="60"/>
      <c r="BMO15" s="60"/>
      <c r="BMP15" s="60"/>
      <c r="BMQ15" s="60"/>
      <c r="BMR15" s="60"/>
      <c r="BMS15" s="60"/>
      <c r="BMT15" s="60"/>
      <c r="BMU15" s="60"/>
      <c r="BMV15" s="60"/>
      <c r="BMW15" s="60"/>
      <c r="BMX15" s="60"/>
      <c r="BMY15" s="60"/>
      <c r="BMZ15" s="60"/>
      <c r="BNA15" s="60"/>
      <c r="BNB15" s="60"/>
      <c r="BNC15" s="60"/>
      <c r="BND15" s="60"/>
      <c r="BNE15" s="60"/>
      <c r="BNF15" s="60"/>
      <c r="BNG15" s="60"/>
      <c r="BNH15" s="60"/>
      <c r="BNI15" s="60"/>
      <c r="BNJ15" s="60"/>
      <c r="BNK15" s="60"/>
      <c r="BNL15" s="60"/>
      <c r="BNM15" s="60"/>
      <c r="BNN15" s="60"/>
      <c r="BNO15" s="60"/>
      <c r="BNP15" s="60"/>
      <c r="BNQ15" s="60"/>
      <c r="BNR15" s="60"/>
      <c r="BNS15" s="60"/>
      <c r="BNT15" s="60"/>
      <c r="BNU15" s="60"/>
      <c r="BNV15" s="60"/>
      <c r="BNW15" s="60"/>
      <c r="BNX15" s="60"/>
      <c r="BNY15" s="60"/>
      <c r="BNZ15" s="60"/>
      <c r="BOA15" s="60"/>
      <c r="BOB15" s="60"/>
      <c r="BOC15" s="60"/>
      <c r="BOD15" s="60"/>
      <c r="BOE15" s="60"/>
      <c r="BOF15" s="60"/>
      <c r="BOG15" s="60"/>
      <c r="BOH15" s="60"/>
      <c r="BOI15" s="60"/>
      <c r="BOJ15" s="60"/>
      <c r="BOK15" s="60"/>
      <c r="BOL15" s="60"/>
      <c r="BOM15" s="60"/>
      <c r="BON15" s="60"/>
      <c r="BOO15" s="60"/>
      <c r="BOP15" s="60"/>
      <c r="BOQ15" s="60"/>
      <c r="BOR15" s="60"/>
      <c r="BOS15" s="60"/>
      <c r="BOT15" s="60"/>
      <c r="BOU15" s="60"/>
      <c r="BOV15" s="60"/>
      <c r="BOW15" s="60"/>
      <c r="BOX15" s="60"/>
      <c r="BOY15" s="60"/>
      <c r="BOZ15" s="60"/>
      <c r="BPA15" s="60"/>
      <c r="BPB15" s="60"/>
      <c r="BPC15" s="60"/>
      <c r="BPD15" s="60"/>
      <c r="BPE15" s="60"/>
      <c r="BPF15" s="60"/>
      <c r="BPG15" s="60"/>
      <c r="BPH15" s="60"/>
      <c r="BPI15" s="60"/>
      <c r="BPJ15" s="60"/>
      <c r="BPK15" s="60"/>
      <c r="BPL15" s="60"/>
      <c r="BPM15" s="60"/>
      <c r="BPN15" s="60"/>
      <c r="BPO15" s="60"/>
      <c r="BPP15" s="60"/>
      <c r="BPQ15" s="60"/>
      <c r="BPR15" s="60"/>
      <c r="BPS15" s="60"/>
      <c r="BPT15" s="60"/>
      <c r="BPU15" s="60"/>
      <c r="BPV15" s="60"/>
      <c r="BPW15" s="60"/>
      <c r="BPX15" s="60"/>
      <c r="BPY15" s="60"/>
      <c r="BPZ15" s="60"/>
      <c r="BQA15" s="60"/>
      <c r="BQB15" s="60"/>
      <c r="BQC15" s="60"/>
      <c r="BQD15" s="60"/>
      <c r="BQE15" s="60"/>
      <c r="BQF15" s="60"/>
      <c r="BQG15" s="60"/>
      <c r="BQH15" s="60"/>
      <c r="BQI15" s="60"/>
      <c r="BQJ15" s="60"/>
      <c r="BQK15" s="60"/>
      <c r="BQL15" s="60"/>
      <c r="BQM15" s="60"/>
      <c r="BQN15" s="60"/>
      <c r="BQO15" s="60"/>
      <c r="BQP15" s="60"/>
      <c r="BQQ15" s="60"/>
      <c r="BQR15" s="60"/>
      <c r="BQS15" s="60"/>
      <c r="BQT15" s="60"/>
      <c r="BQU15" s="60"/>
      <c r="BQV15" s="60"/>
      <c r="BQW15" s="60"/>
      <c r="BQX15" s="60"/>
      <c r="BQY15" s="60"/>
      <c r="BQZ15" s="60"/>
      <c r="BRA15" s="60"/>
      <c r="BRB15" s="60"/>
      <c r="BRC15" s="60"/>
      <c r="BRD15" s="60"/>
      <c r="BRE15" s="60"/>
      <c r="BRF15" s="60"/>
      <c r="BRG15" s="60"/>
      <c r="BRH15" s="60"/>
      <c r="BRI15" s="60"/>
      <c r="BRJ15" s="60"/>
      <c r="BRK15" s="60"/>
      <c r="BRL15" s="60"/>
      <c r="BRM15" s="60"/>
      <c r="BRN15" s="60"/>
      <c r="BRO15" s="60"/>
      <c r="BRP15" s="60"/>
      <c r="BRQ15" s="60"/>
      <c r="BRR15" s="60"/>
      <c r="BRS15" s="60"/>
      <c r="BRT15" s="60"/>
      <c r="BRU15" s="60"/>
      <c r="BRV15" s="60"/>
      <c r="BRW15" s="60"/>
      <c r="BRX15" s="60"/>
      <c r="BRY15" s="60"/>
      <c r="BRZ15" s="60"/>
      <c r="BSA15" s="60"/>
      <c r="BSB15" s="60"/>
      <c r="BSC15" s="60"/>
      <c r="BSD15" s="60"/>
      <c r="BSE15" s="60"/>
      <c r="BSF15" s="60"/>
      <c r="BSG15" s="60"/>
      <c r="BSH15" s="60"/>
      <c r="BSI15" s="60"/>
      <c r="BSJ15" s="60"/>
      <c r="BSK15" s="60"/>
      <c r="BSL15" s="60"/>
      <c r="BSM15" s="60"/>
      <c r="BSN15" s="60"/>
      <c r="BSO15" s="60"/>
      <c r="BSP15" s="60"/>
      <c r="BSQ15" s="60"/>
      <c r="BSR15" s="60"/>
      <c r="BSS15" s="60"/>
      <c r="BST15" s="60"/>
      <c r="BSU15" s="60"/>
      <c r="BSV15" s="60"/>
      <c r="BSW15" s="60"/>
      <c r="BSX15" s="60"/>
      <c r="BSY15" s="60"/>
      <c r="BSZ15" s="60"/>
      <c r="BTA15" s="60"/>
      <c r="BTB15" s="60"/>
      <c r="BTC15" s="60"/>
      <c r="BTD15" s="60"/>
      <c r="BTE15" s="60"/>
      <c r="BTF15" s="60"/>
      <c r="BTG15" s="60"/>
      <c r="BTH15" s="60"/>
      <c r="BTI15" s="60"/>
      <c r="BTJ15" s="60"/>
      <c r="BTK15" s="60"/>
      <c r="BTL15" s="60"/>
      <c r="BTM15" s="60"/>
      <c r="BTN15" s="60"/>
      <c r="BTO15" s="60"/>
      <c r="BTP15" s="60"/>
      <c r="BTQ15" s="60"/>
      <c r="BTR15" s="60"/>
      <c r="BTS15" s="60"/>
      <c r="BTT15" s="60"/>
      <c r="BTU15" s="60"/>
      <c r="BTV15" s="60"/>
      <c r="BTW15" s="60"/>
      <c r="BTX15" s="60"/>
      <c r="BTY15" s="60"/>
      <c r="BTZ15" s="60"/>
      <c r="BUA15" s="60"/>
      <c r="BUB15" s="60"/>
      <c r="BUC15" s="60"/>
      <c r="BUD15" s="60"/>
      <c r="BUE15" s="60"/>
      <c r="BUF15" s="60"/>
      <c r="BUG15" s="60"/>
      <c r="BUH15" s="60"/>
      <c r="BUI15" s="60"/>
      <c r="BUJ15" s="60"/>
      <c r="BUK15" s="60"/>
      <c r="BUL15" s="60"/>
      <c r="BUM15" s="60"/>
      <c r="BUN15" s="60"/>
      <c r="BUO15" s="60"/>
      <c r="BUP15" s="60"/>
      <c r="BUQ15" s="60"/>
      <c r="BUR15" s="60"/>
      <c r="BUS15" s="60"/>
      <c r="BUT15" s="60"/>
      <c r="BUU15" s="60"/>
      <c r="BUV15" s="60"/>
      <c r="BUW15" s="60"/>
      <c r="BUX15" s="60"/>
      <c r="BUY15" s="60"/>
      <c r="BUZ15" s="60"/>
      <c r="BVA15" s="60"/>
      <c r="BVB15" s="60"/>
      <c r="BVC15" s="60"/>
      <c r="BVD15" s="60"/>
      <c r="BVE15" s="60"/>
      <c r="BVF15" s="60"/>
      <c r="BVG15" s="60"/>
      <c r="BVH15" s="60"/>
      <c r="BVI15" s="60"/>
      <c r="BVJ15" s="60"/>
      <c r="BVK15" s="60"/>
      <c r="BVL15" s="60"/>
      <c r="BVM15" s="60"/>
      <c r="BVN15" s="60"/>
      <c r="BVO15" s="60"/>
      <c r="BVP15" s="60"/>
      <c r="BVQ15" s="60"/>
      <c r="BVR15" s="60"/>
      <c r="BVS15" s="60"/>
      <c r="BVT15" s="60"/>
      <c r="BVU15" s="60"/>
      <c r="BVV15" s="60"/>
      <c r="BVW15" s="60"/>
      <c r="BVX15" s="60"/>
      <c r="BVY15" s="60"/>
      <c r="BVZ15" s="60"/>
      <c r="BWA15" s="60"/>
      <c r="BWB15" s="60"/>
      <c r="BWC15" s="60"/>
      <c r="BWD15" s="60"/>
      <c r="BWE15" s="60"/>
      <c r="BWF15" s="60"/>
      <c r="BWG15" s="60"/>
      <c r="BWH15" s="60"/>
      <c r="BWI15" s="60"/>
      <c r="BWJ15" s="60"/>
      <c r="BWK15" s="60"/>
      <c r="BWL15" s="60"/>
      <c r="BWM15" s="60"/>
      <c r="BWN15" s="60"/>
      <c r="BWO15" s="60"/>
      <c r="BWP15" s="60"/>
      <c r="BWQ15" s="60"/>
      <c r="BWR15" s="60"/>
      <c r="BWS15" s="60"/>
      <c r="BWT15" s="60"/>
      <c r="BWU15" s="60"/>
      <c r="BWV15" s="60"/>
      <c r="BWW15" s="60"/>
      <c r="BWX15" s="60"/>
      <c r="BWY15" s="60"/>
      <c r="BWZ15" s="60"/>
      <c r="BXA15" s="60"/>
      <c r="BXB15" s="60"/>
      <c r="BXC15" s="60"/>
      <c r="BXD15" s="60"/>
      <c r="BXE15" s="60"/>
      <c r="BXF15" s="60"/>
      <c r="BXG15" s="60"/>
      <c r="BXH15" s="60"/>
      <c r="BXI15" s="60"/>
      <c r="BXJ15" s="60"/>
      <c r="BXK15" s="60"/>
      <c r="BXL15" s="60"/>
      <c r="BXM15" s="60"/>
      <c r="BXN15" s="60"/>
      <c r="BXO15" s="60"/>
      <c r="BXP15" s="60"/>
      <c r="BXQ15" s="60"/>
      <c r="BXR15" s="60"/>
      <c r="BXS15" s="60"/>
      <c r="BXT15" s="60"/>
      <c r="BXU15" s="60"/>
      <c r="BXV15" s="60"/>
      <c r="BXW15" s="60"/>
      <c r="BXX15" s="60"/>
      <c r="BXY15" s="60"/>
      <c r="BXZ15" s="60"/>
      <c r="BYA15" s="60"/>
      <c r="BYB15" s="60"/>
      <c r="BYC15" s="60"/>
      <c r="BYD15" s="60"/>
      <c r="BYE15" s="60"/>
      <c r="BYF15" s="60"/>
      <c r="BYG15" s="60"/>
      <c r="BYH15" s="60"/>
      <c r="BYI15" s="60"/>
      <c r="BYJ15" s="60"/>
      <c r="BYK15" s="60"/>
      <c r="BYL15" s="60"/>
      <c r="BYM15" s="60"/>
      <c r="BYN15" s="60"/>
      <c r="BYO15" s="60"/>
      <c r="BYP15" s="60"/>
      <c r="BYQ15" s="60"/>
      <c r="BYR15" s="60"/>
      <c r="BYS15" s="60"/>
      <c r="BYT15" s="60"/>
      <c r="BYU15" s="60"/>
      <c r="BYV15" s="60"/>
      <c r="BYW15" s="60"/>
      <c r="BYX15" s="60"/>
      <c r="BYY15" s="60"/>
      <c r="BYZ15" s="60"/>
      <c r="BZA15" s="60"/>
      <c r="BZB15" s="60"/>
      <c r="BZC15" s="60"/>
      <c r="BZD15" s="60"/>
      <c r="BZE15" s="60"/>
      <c r="BZF15" s="60"/>
      <c r="BZG15" s="60"/>
      <c r="BZH15" s="60"/>
      <c r="BZI15" s="60"/>
      <c r="BZJ15" s="60"/>
      <c r="BZK15" s="60"/>
      <c r="BZL15" s="60"/>
      <c r="BZM15" s="60"/>
      <c r="BZN15" s="60"/>
      <c r="BZO15" s="60"/>
      <c r="BZP15" s="60"/>
      <c r="BZQ15" s="60"/>
      <c r="BZR15" s="60"/>
      <c r="BZS15" s="60"/>
      <c r="BZT15" s="60"/>
      <c r="BZU15" s="60"/>
      <c r="BZV15" s="60"/>
      <c r="BZW15" s="60"/>
      <c r="BZX15" s="60"/>
      <c r="BZY15" s="60"/>
      <c r="BZZ15" s="60"/>
      <c r="CAA15" s="60"/>
      <c r="CAB15" s="60"/>
      <c r="CAC15" s="60"/>
      <c r="CAD15" s="60"/>
      <c r="CAE15" s="60"/>
      <c r="CAF15" s="60"/>
      <c r="CAG15" s="60"/>
      <c r="CAH15" s="60"/>
      <c r="CAI15" s="60"/>
      <c r="CAJ15" s="60"/>
      <c r="CAK15" s="60"/>
      <c r="CAL15" s="60"/>
      <c r="CAM15" s="60"/>
      <c r="CAN15" s="60"/>
      <c r="CAO15" s="60"/>
      <c r="CAP15" s="60"/>
      <c r="CAQ15" s="60"/>
      <c r="CAR15" s="60"/>
      <c r="CAS15" s="60"/>
      <c r="CAT15" s="60"/>
      <c r="CAU15" s="60"/>
      <c r="CAV15" s="60"/>
      <c r="CAW15" s="60"/>
      <c r="CAX15" s="60"/>
      <c r="CAY15" s="60"/>
      <c r="CAZ15" s="60"/>
      <c r="CBA15" s="60"/>
      <c r="CBB15" s="60"/>
      <c r="CBC15" s="60"/>
      <c r="CBD15" s="60"/>
      <c r="CBE15" s="60"/>
      <c r="CBF15" s="60"/>
      <c r="CBG15" s="60"/>
      <c r="CBH15" s="60"/>
      <c r="CBI15" s="60"/>
      <c r="CBJ15" s="60"/>
      <c r="CBK15" s="60"/>
      <c r="CBL15" s="60"/>
      <c r="CBM15" s="60"/>
      <c r="CBN15" s="60"/>
      <c r="CBO15" s="60"/>
      <c r="CBP15" s="60"/>
      <c r="CBQ15" s="60"/>
      <c r="CBR15" s="60"/>
      <c r="CBS15" s="60"/>
      <c r="CBT15" s="60"/>
      <c r="CBU15" s="60"/>
      <c r="CBV15" s="60"/>
      <c r="CBW15" s="60"/>
      <c r="CBX15" s="60"/>
      <c r="CBY15" s="60"/>
      <c r="CBZ15" s="60"/>
      <c r="CCA15" s="60"/>
      <c r="CCB15" s="60"/>
      <c r="CCC15" s="60"/>
      <c r="CCD15" s="60"/>
      <c r="CCE15" s="60"/>
      <c r="CCF15" s="60"/>
      <c r="CCG15" s="60"/>
      <c r="CCH15" s="60"/>
      <c r="CCI15" s="60"/>
      <c r="CCJ15" s="60"/>
      <c r="CCK15" s="60"/>
      <c r="CCL15" s="60"/>
      <c r="CCM15" s="60"/>
      <c r="CCN15" s="60"/>
      <c r="CCO15" s="60"/>
      <c r="CCP15" s="60"/>
      <c r="CCQ15" s="60"/>
      <c r="CCR15" s="60"/>
      <c r="CCS15" s="60"/>
      <c r="CCT15" s="60"/>
      <c r="CCU15" s="60"/>
      <c r="CCV15" s="60"/>
      <c r="CCW15" s="60"/>
      <c r="CCX15" s="60"/>
      <c r="CCY15" s="60"/>
      <c r="CCZ15" s="60"/>
      <c r="CDA15" s="60"/>
      <c r="CDB15" s="60"/>
      <c r="CDC15" s="60"/>
      <c r="CDD15" s="60"/>
      <c r="CDE15" s="60"/>
      <c r="CDF15" s="60"/>
      <c r="CDG15" s="60"/>
      <c r="CDH15" s="60"/>
      <c r="CDI15" s="60"/>
      <c r="CDJ15" s="60"/>
      <c r="CDK15" s="60"/>
      <c r="CDL15" s="60"/>
      <c r="CDM15" s="60"/>
      <c r="CDN15" s="60"/>
      <c r="CDO15" s="60"/>
      <c r="CDP15" s="60"/>
      <c r="CDQ15" s="60"/>
      <c r="CDR15" s="60"/>
      <c r="CDS15" s="60"/>
      <c r="CDT15" s="60"/>
      <c r="CDU15" s="60"/>
      <c r="CDV15" s="60"/>
      <c r="CDW15" s="60"/>
      <c r="CDX15" s="60"/>
      <c r="CDY15" s="60"/>
      <c r="CDZ15" s="60"/>
      <c r="CEA15" s="60"/>
      <c r="CEB15" s="60"/>
      <c r="CEC15" s="60"/>
      <c r="CED15" s="60"/>
      <c r="CEE15" s="60"/>
      <c r="CEF15" s="60"/>
      <c r="CEG15" s="60"/>
      <c r="CEH15" s="60"/>
      <c r="CEI15" s="60"/>
      <c r="CEJ15" s="60"/>
      <c r="CEK15" s="60"/>
      <c r="CEL15" s="60"/>
      <c r="CEM15" s="60"/>
      <c r="CEN15" s="60"/>
      <c r="CEO15" s="60"/>
      <c r="CEP15" s="60"/>
      <c r="CEQ15" s="60"/>
      <c r="CER15" s="60"/>
      <c r="CES15" s="60"/>
      <c r="CET15" s="60"/>
      <c r="CEU15" s="60"/>
      <c r="CEV15" s="60"/>
      <c r="CEW15" s="60"/>
      <c r="CEX15" s="60"/>
      <c r="CEY15" s="60"/>
      <c r="CEZ15" s="60"/>
      <c r="CFA15" s="60"/>
      <c r="CFB15" s="60"/>
      <c r="CFC15" s="60"/>
      <c r="CFD15" s="60"/>
      <c r="CFE15" s="60"/>
      <c r="CFF15" s="60"/>
      <c r="CFG15" s="60"/>
      <c r="CFH15" s="60"/>
      <c r="CFI15" s="60"/>
      <c r="CFJ15" s="60"/>
      <c r="CFK15" s="60"/>
      <c r="CFL15" s="60"/>
      <c r="CFM15" s="60"/>
      <c r="CFN15" s="60"/>
      <c r="CFO15" s="60"/>
      <c r="CFP15" s="60"/>
      <c r="CFQ15" s="60"/>
      <c r="CFR15" s="60"/>
      <c r="CFS15" s="60"/>
      <c r="CFT15" s="60"/>
      <c r="CFU15" s="60"/>
      <c r="CFV15" s="60"/>
      <c r="CFW15" s="60"/>
      <c r="CFX15" s="60"/>
      <c r="CFY15" s="60"/>
      <c r="CFZ15" s="60"/>
      <c r="CGA15" s="60"/>
      <c r="CGB15" s="60"/>
      <c r="CGC15" s="60"/>
      <c r="CGD15" s="60"/>
      <c r="CGE15" s="60"/>
      <c r="CGF15" s="60"/>
      <c r="CGG15" s="60"/>
      <c r="CGH15" s="60"/>
      <c r="CGI15" s="60"/>
      <c r="CGJ15" s="60"/>
      <c r="CGK15" s="60"/>
      <c r="CGL15" s="60"/>
      <c r="CGM15" s="60"/>
      <c r="CGN15" s="60"/>
      <c r="CGO15" s="60"/>
      <c r="CGP15" s="60"/>
      <c r="CGQ15" s="60"/>
      <c r="CGR15" s="60"/>
      <c r="CGS15" s="60"/>
      <c r="CGT15" s="60"/>
      <c r="CGU15" s="60"/>
      <c r="CGV15" s="60"/>
      <c r="CGW15" s="60"/>
      <c r="CGX15" s="60"/>
      <c r="CGY15" s="60"/>
      <c r="CGZ15" s="60"/>
      <c r="CHA15" s="60"/>
      <c r="CHB15" s="60"/>
      <c r="CHC15" s="60"/>
      <c r="CHD15" s="60"/>
      <c r="CHE15" s="60"/>
      <c r="CHF15" s="60"/>
      <c r="CHG15" s="60"/>
      <c r="CHH15" s="60"/>
      <c r="CHI15" s="60"/>
      <c r="CHJ15" s="60"/>
      <c r="CHK15" s="60"/>
      <c r="CHL15" s="60"/>
      <c r="CHM15" s="60"/>
      <c r="CHN15" s="60"/>
      <c r="CHO15" s="60"/>
      <c r="CHP15" s="60"/>
      <c r="CHQ15" s="60"/>
      <c r="CHR15" s="60"/>
      <c r="CHS15" s="60"/>
      <c r="CHT15" s="60"/>
      <c r="CHU15" s="60"/>
      <c r="CHV15" s="60"/>
      <c r="CHW15" s="60"/>
      <c r="CHX15" s="60"/>
      <c r="CHY15" s="60"/>
      <c r="CHZ15" s="60"/>
      <c r="CIA15" s="60"/>
      <c r="CIB15" s="60"/>
      <c r="CIC15" s="60"/>
      <c r="CID15" s="60"/>
      <c r="CIE15" s="60"/>
      <c r="CIF15" s="60"/>
      <c r="CIG15" s="60"/>
      <c r="CIH15" s="60"/>
      <c r="CII15" s="60"/>
      <c r="CIJ15" s="60"/>
      <c r="CIK15" s="60"/>
      <c r="CIL15" s="60"/>
      <c r="CIM15" s="60"/>
      <c r="CIN15" s="60"/>
      <c r="CIO15" s="60"/>
      <c r="CIP15" s="60"/>
      <c r="CIQ15" s="60"/>
      <c r="CIR15" s="60"/>
      <c r="CIS15" s="60"/>
      <c r="CIT15" s="60"/>
      <c r="CIU15" s="60"/>
      <c r="CIV15" s="60"/>
      <c r="CIW15" s="60"/>
      <c r="CIX15" s="60"/>
      <c r="CIY15" s="60"/>
      <c r="CIZ15" s="60"/>
      <c r="CJA15" s="60"/>
      <c r="CJB15" s="60"/>
      <c r="CJC15" s="60"/>
      <c r="CJD15" s="60"/>
      <c r="CJE15" s="60"/>
      <c r="CJF15" s="60"/>
      <c r="CJG15" s="60"/>
      <c r="CJH15" s="60"/>
      <c r="CJI15" s="60"/>
      <c r="CJJ15" s="60"/>
      <c r="CJK15" s="60"/>
      <c r="CJL15" s="60"/>
      <c r="CJM15" s="60"/>
      <c r="CJN15" s="60"/>
      <c r="CJO15" s="60"/>
      <c r="CJP15" s="60"/>
      <c r="CJQ15" s="60"/>
      <c r="CJR15" s="60"/>
      <c r="CJS15" s="60"/>
      <c r="CJT15" s="60"/>
      <c r="CJU15" s="60"/>
      <c r="CJV15" s="60"/>
      <c r="CJW15" s="60"/>
      <c r="CJX15" s="60"/>
      <c r="CJY15" s="60"/>
      <c r="CJZ15" s="60"/>
      <c r="CKA15" s="60"/>
      <c r="CKB15" s="60"/>
      <c r="CKC15" s="60"/>
      <c r="CKD15" s="60"/>
      <c r="CKE15" s="60"/>
      <c r="CKF15" s="60"/>
      <c r="CKG15" s="60"/>
      <c r="CKH15" s="60"/>
      <c r="CKI15" s="60"/>
      <c r="CKJ15" s="60"/>
      <c r="CKK15" s="60"/>
      <c r="CKL15" s="60"/>
      <c r="CKM15" s="60"/>
      <c r="CKN15" s="60"/>
      <c r="CKO15" s="60"/>
      <c r="CKP15" s="60"/>
      <c r="CKQ15" s="60"/>
      <c r="CKR15" s="60"/>
      <c r="CKS15" s="60"/>
      <c r="CKT15" s="60"/>
      <c r="CKU15" s="60"/>
      <c r="CKV15" s="60"/>
      <c r="CKW15" s="60"/>
      <c r="CKX15" s="60"/>
      <c r="CKY15" s="60"/>
      <c r="CKZ15" s="60"/>
      <c r="CLA15" s="60"/>
      <c r="CLB15" s="60"/>
      <c r="CLC15" s="60"/>
      <c r="CLD15" s="60"/>
      <c r="CLE15" s="60"/>
      <c r="CLF15" s="60"/>
      <c r="CLG15" s="60"/>
      <c r="CLH15" s="60"/>
      <c r="CLI15" s="60"/>
      <c r="CLJ15" s="60"/>
      <c r="CLK15" s="60"/>
      <c r="CLL15" s="60"/>
      <c r="CLM15" s="60"/>
      <c r="CLN15" s="60"/>
      <c r="CLO15" s="60"/>
      <c r="CLP15" s="60"/>
      <c r="CLQ15" s="60"/>
      <c r="CLR15" s="60"/>
      <c r="CLS15" s="60"/>
      <c r="CLT15" s="60"/>
      <c r="CLU15" s="60"/>
      <c r="CLV15" s="60"/>
      <c r="CLW15" s="60"/>
      <c r="CLX15" s="60"/>
      <c r="CLY15" s="60"/>
      <c r="CLZ15" s="60"/>
      <c r="CMA15" s="60"/>
      <c r="CMB15" s="60"/>
      <c r="CMC15" s="60"/>
      <c r="CMD15" s="60"/>
      <c r="CME15" s="60"/>
      <c r="CMF15" s="60"/>
      <c r="CMG15" s="60"/>
      <c r="CMH15" s="60"/>
      <c r="CMI15" s="60"/>
      <c r="CMJ15" s="60"/>
      <c r="CMK15" s="60"/>
      <c r="CML15" s="60"/>
      <c r="CMM15" s="60"/>
      <c r="CMN15" s="60"/>
      <c r="CMO15" s="60"/>
      <c r="CMP15" s="60"/>
      <c r="CMQ15" s="60"/>
      <c r="CMR15" s="60"/>
      <c r="CMS15" s="60"/>
      <c r="CMT15" s="60"/>
      <c r="CMU15" s="60"/>
      <c r="CMV15" s="60"/>
      <c r="CMW15" s="60"/>
      <c r="CMX15" s="60"/>
      <c r="CMY15" s="60"/>
      <c r="CMZ15" s="60"/>
      <c r="CNA15" s="60"/>
      <c r="CNB15" s="60"/>
      <c r="CNC15" s="60"/>
      <c r="CND15" s="60"/>
      <c r="CNE15" s="60"/>
      <c r="CNF15" s="60"/>
      <c r="CNG15" s="60"/>
      <c r="CNH15" s="60"/>
      <c r="CNI15" s="60"/>
      <c r="CNJ15" s="60"/>
      <c r="CNK15" s="60"/>
      <c r="CNL15" s="60"/>
      <c r="CNM15" s="60"/>
      <c r="CNN15" s="60"/>
      <c r="CNO15" s="60"/>
      <c r="CNP15" s="60"/>
      <c r="CNQ15" s="60"/>
      <c r="CNR15" s="60"/>
      <c r="CNS15" s="60"/>
      <c r="CNT15" s="60"/>
      <c r="CNU15" s="60"/>
      <c r="CNV15" s="60"/>
      <c r="CNW15" s="60"/>
      <c r="CNX15" s="60"/>
      <c r="CNY15" s="60"/>
      <c r="CNZ15" s="60"/>
      <c r="COA15" s="60"/>
      <c r="COB15" s="60"/>
      <c r="COC15" s="60"/>
      <c r="COD15" s="60"/>
      <c r="COE15" s="60"/>
      <c r="COF15" s="60"/>
      <c r="COG15" s="60"/>
      <c r="COH15" s="60"/>
      <c r="COI15" s="60"/>
      <c r="COJ15" s="60"/>
      <c r="COK15" s="60"/>
      <c r="COL15" s="60"/>
      <c r="COM15" s="60"/>
      <c r="CON15" s="60"/>
      <c r="COO15" s="60"/>
      <c r="COP15" s="60"/>
      <c r="COQ15" s="60"/>
      <c r="COR15" s="60"/>
      <c r="COS15" s="60"/>
      <c r="COT15" s="60"/>
      <c r="COU15" s="60"/>
      <c r="COV15" s="60"/>
      <c r="COW15" s="60"/>
      <c r="COX15" s="60"/>
      <c r="COY15" s="60"/>
      <c r="COZ15" s="60"/>
      <c r="CPA15" s="60"/>
      <c r="CPB15" s="60"/>
      <c r="CPC15" s="60"/>
      <c r="CPD15" s="60"/>
      <c r="CPE15" s="60"/>
      <c r="CPF15" s="60"/>
      <c r="CPG15" s="60"/>
      <c r="CPH15" s="60"/>
      <c r="CPI15" s="60"/>
      <c r="CPJ15" s="60"/>
      <c r="CPK15" s="60"/>
      <c r="CPL15" s="60"/>
      <c r="CPM15" s="60"/>
      <c r="CPN15" s="60"/>
      <c r="CPO15" s="60"/>
      <c r="CPP15" s="60"/>
      <c r="CPQ15" s="60"/>
      <c r="CPR15" s="60"/>
      <c r="CPS15" s="60"/>
      <c r="CPT15" s="60"/>
      <c r="CPU15" s="60"/>
      <c r="CPV15" s="60"/>
      <c r="CPW15" s="60"/>
      <c r="CPX15" s="60"/>
      <c r="CPY15" s="60"/>
      <c r="CPZ15" s="60"/>
      <c r="CQA15" s="60"/>
      <c r="CQB15" s="60"/>
      <c r="CQC15" s="60"/>
      <c r="CQD15" s="60"/>
      <c r="CQE15" s="60"/>
      <c r="CQF15" s="60"/>
      <c r="CQG15" s="60"/>
      <c r="CQH15" s="60"/>
      <c r="CQI15" s="60"/>
      <c r="CQJ15" s="60"/>
      <c r="CQK15" s="60"/>
      <c r="CQL15" s="60"/>
      <c r="CQM15" s="60"/>
      <c r="CQN15" s="60"/>
      <c r="CQO15" s="60"/>
      <c r="CQP15" s="60"/>
      <c r="CQQ15" s="60"/>
      <c r="CQR15" s="60"/>
      <c r="CQS15" s="60"/>
      <c r="CQT15" s="60"/>
      <c r="CQU15" s="60"/>
      <c r="CQV15" s="60"/>
      <c r="CQW15" s="60"/>
      <c r="CQX15" s="60"/>
      <c r="CQY15" s="60"/>
      <c r="CQZ15" s="60"/>
      <c r="CRA15" s="60"/>
      <c r="CRB15" s="60"/>
      <c r="CRC15" s="60"/>
      <c r="CRD15" s="60"/>
      <c r="CRE15" s="60"/>
      <c r="CRF15" s="60"/>
      <c r="CRG15" s="60"/>
      <c r="CRH15" s="60"/>
      <c r="CRI15" s="60"/>
      <c r="CRJ15" s="60"/>
      <c r="CRK15" s="60"/>
      <c r="CRL15" s="60"/>
      <c r="CRM15" s="60"/>
      <c r="CRN15" s="60"/>
      <c r="CRO15" s="60"/>
      <c r="CRP15" s="60"/>
      <c r="CRQ15" s="60"/>
      <c r="CRR15" s="60"/>
      <c r="CRS15" s="60"/>
      <c r="CRT15" s="60"/>
      <c r="CRU15" s="60"/>
      <c r="CRV15" s="60"/>
      <c r="CRW15" s="60"/>
      <c r="CRX15" s="60"/>
      <c r="CRY15" s="60"/>
      <c r="CRZ15" s="60"/>
      <c r="CSA15" s="60"/>
      <c r="CSB15" s="60"/>
      <c r="CSC15" s="60"/>
      <c r="CSD15" s="60"/>
      <c r="CSE15" s="60"/>
      <c r="CSF15" s="60"/>
      <c r="CSG15" s="60"/>
      <c r="CSH15" s="60"/>
      <c r="CSI15" s="60"/>
      <c r="CSJ15" s="60"/>
      <c r="CSK15" s="60"/>
      <c r="CSL15" s="60"/>
      <c r="CSM15" s="60"/>
      <c r="CSN15" s="60"/>
      <c r="CSO15" s="60"/>
      <c r="CSP15" s="60"/>
      <c r="CSQ15" s="60"/>
      <c r="CSR15" s="60"/>
      <c r="CSS15" s="60"/>
      <c r="CST15" s="60"/>
      <c r="CSU15" s="60"/>
      <c r="CSV15" s="60"/>
      <c r="CSW15" s="60"/>
      <c r="CSX15" s="60"/>
      <c r="CSY15" s="60"/>
      <c r="CSZ15" s="60"/>
      <c r="CTA15" s="60"/>
      <c r="CTB15" s="60"/>
      <c r="CTC15" s="60"/>
      <c r="CTD15" s="60"/>
      <c r="CTE15" s="60"/>
      <c r="CTF15" s="60"/>
      <c r="CTG15" s="60"/>
      <c r="CTH15" s="60"/>
      <c r="CTI15" s="60"/>
      <c r="CTJ15" s="60"/>
      <c r="CTK15" s="60"/>
      <c r="CTL15" s="60"/>
      <c r="CTM15" s="60"/>
      <c r="CTN15" s="60"/>
      <c r="CTO15" s="60"/>
      <c r="CTP15" s="60"/>
      <c r="CTQ15" s="60"/>
      <c r="CTR15" s="60"/>
      <c r="CTS15" s="60"/>
      <c r="CTT15" s="60"/>
      <c r="CTU15" s="60"/>
      <c r="CTV15" s="60"/>
      <c r="CTW15" s="60"/>
      <c r="CTX15" s="60"/>
      <c r="CTY15" s="60"/>
      <c r="CTZ15" s="60"/>
      <c r="CUA15" s="60"/>
      <c r="CUB15" s="60"/>
      <c r="CUC15" s="60"/>
      <c r="CUD15" s="60"/>
      <c r="CUE15" s="60"/>
      <c r="CUF15" s="60"/>
      <c r="CUG15" s="60"/>
      <c r="CUH15" s="60"/>
      <c r="CUI15" s="60"/>
      <c r="CUJ15" s="60"/>
      <c r="CUK15" s="60"/>
      <c r="CUL15" s="60"/>
      <c r="CUM15" s="60"/>
      <c r="CUN15" s="60"/>
      <c r="CUO15" s="60"/>
      <c r="CUP15" s="60"/>
      <c r="CUQ15" s="60"/>
      <c r="CUR15" s="60"/>
      <c r="CUS15" s="60"/>
      <c r="CUT15" s="60"/>
      <c r="CUU15" s="60"/>
      <c r="CUV15" s="60"/>
      <c r="CUW15" s="60"/>
      <c r="CUX15" s="60"/>
      <c r="CUY15" s="60"/>
      <c r="CUZ15" s="60"/>
      <c r="CVA15" s="60"/>
      <c r="CVB15" s="60"/>
      <c r="CVC15" s="60"/>
      <c r="CVD15" s="60"/>
      <c r="CVE15" s="60"/>
      <c r="CVF15" s="60"/>
      <c r="CVG15" s="60"/>
      <c r="CVH15" s="60"/>
      <c r="CVI15" s="60"/>
      <c r="CVJ15" s="60"/>
      <c r="CVK15" s="60"/>
      <c r="CVL15" s="60"/>
      <c r="CVM15" s="60"/>
      <c r="CVN15" s="60"/>
      <c r="CVO15" s="60"/>
      <c r="CVP15" s="60"/>
      <c r="CVQ15" s="60"/>
      <c r="CVR15" s="60"/>
      <c r="CVS15" s="60"/>
      <c r="CVT15" s="60"/>
      <c r="CVU15" s="60"/>
      <c r="CVV15" s="60"/>
      <c r="CVW15" s="60"/>
      <c r="CVX15" s="60"/>
      <c r="CVY15" s="60"/>
      <c r="CVZ15" s="60"/>
      <c r="CWA15" s="60"/>
      <c r="CWB15" s="60"/>
      <c r="CWC15" s="60"/>
      <c r="CWD15" s="60"/>
      <c r="CWE15" s="60"/>
      <c r="CWF15" s="60"/>
      <c r="CWG15" s="60"/>
      <c r="CWH15" s="60"/>
      <c r="CWI15" s="60"/>
      <c r="CWJ15" s="60"/>
      <c r="CWK15" s="60"/>
      <c r="CWL15" s="60"/>
      <c r="CWM15" s="60"/>
      <c r="CWN15" s="60"/>
      <c r="CWO15" s="60"/>
      <c r="CWP15" s="60"/>
      <c r="CWQ15" s="60"/>
      <c r="CWR15" s="60"/>
      <c r="CWS15" s="60"/>
      <c r="CWT15" s="60"/>
      <c r="CWU15" s="60"/>
      <c r="CWV15" s="60"/>
      <c r="CWW15" s="60"/>
      <c r="CWX15" s="60"/>
      <c r="CWY15" s="60"/>
      <c r="CWZ15" s="60"/>
      <c r="CXA15" s="60"/>
      <c r="CXB15" s="60"/>
      <c r="CXC15" s="60"/>
      <c r="CXD15" s="60"/>
      <c r="CXE15" s="60"/>
      <c r="CXF15" s="60"/>
      <c r="CXG15" s="60"/>
      <c r="CXH15" s="60"/>
      <c r="CXI15" s="60"/>
      <c r="CXJ15" s="60"/>
      <c r="CXK15" s="60"/>
      <c r="CXL15" s="60"/>
      <c r="CXM15" s="60"/>
      <c r="CXN15" s="60"/>
      <c r="CXO15" s="60"/>
      <c r="CXP15" s="60"/>
      <c r="CXQ15" s="60"/>
      <c r="CXR15" s="60"/>
      <c r="CXS15" s="60"/>
      <c r="CXT15" s="60"/>
      <c r="CXU15" s="60"/>
      <c r="CXV15" s="60"/>
      <c r="CXW15" s="60"/>
      <c r="CXX15" s="60"/>
      <c r="CXY15" s="60"/>
      <c r="CXZ15" s="60"/>
      <c r="CYA15" s="60"/>
      <c r="CYB15" s="60"/>
      <c r="CYC15" s="60"/>
      <c r="CYD15" s="60"/>
      <c r="CYE15" s="60"/>
      <c r="CYF15" s="60"/>
      <c r="CYG15" s="60"/>
      <c r="CYH15" s="60"/>
      <c r="CYI15" s="60"/>
      <c r="CYJ15" s="60"/>
      <c r="CYK15" s="60"/>
      <c r="CYL15" s="60"/>
      <c r="CYM15" s="60"/>
      <c r="CYN15" s="60"/>
      <c r="CYO15" s="60"/>
      <c r="CYP15" s="60"/>
      <c r="CYQ15" s="60"/>
      <c r="CYR15" s="60"/>
      <c r="CYS15" s="60"/>
      <c r="CYT15" s="60"/>
      <c r="CYU15" s="60"/>
      <c r="CYV15" s="60"/>
      <c r="CYW15" s="60"/>
      <c r="CYX15" s="60"/>
      <c r="CYY15" s="60"/>
      <c r="CYZ15" s="60"/>
      <c r="CZA15" s="60"/>
      <c r="CZB15" s="60"/>
      <c r="CZC15" s="60"/>
      <c r="CZD15" s="60"/>
      <c r="CZE15" s="60"/>
      <c r="CZF15" s="60"/>
      <c r="CZG15" s="60"/>
      <c r="CZH15" s="60"/>
      <c r="CZI15" s="60"/>
      <c r="CZJ15" s="60"/>
      <c r="CZK15" s="60"/>
      <c r="CZL15" s="60"/>
      <c r="CZM15" s="60"/>
      <c r="CZN15" s="60"/>
      <c r="CZO15" s="60"/>
      <c r="CZP15" s="60"/>
      <c r="CZQ15" s="60"/>
      <c r="CZR15" s="60"/>
      <c r="CZS15" s="60"/>
      <c r="CZT15" s="60"/>
      <c r="CZU15" s="60"/>
      <c r="CZV15" s="60"/>
      <c r="CZW15" s="60"/>
      <c r="CZX15" s="60"/>
      <c r="CZY15" s="60"/>
      <c r="CZZ15" s="60"/>
      <c r="DAA15" s="60"/>
      <c r="DAB15" s="60"/>
      <c r="DAC15" s="60"/>
      <c r="DAD15" s="60"/>
      <c r="DAE15" s="60"/>
      <c r="DAF15" s="60"/>
      <c r="DAG15" s="60"/>
      <c r="DAH15" s="60"/>
      <c r="DAI15" s="60"/>
      <c r="DAJ15" s="60"/>
      <c r="DAK15" s="60"/>
      <c r="DAL15" s="60"/>
      <c r="DAM15" s="60"/>
      <c r="DAN15" s="60"/>
      <c r="DAO15" s="60"/>
      <c r="DAP15" s="60"/>
      <c r="DAQ15" s="60"/>
      <c r="DAR15" s="60"/>
      <c r="DAS15" s="60"/>
      <c r="DAT15" s="60"/>
      <c r="DAU15" s="60"/>
      <c r="DAV15" s="60"/>
      <c r="DAW15" s="60"/>
      <c r="DAX15" s="60"/>
      <c r="DAY15" s="60"/>
      <c r="DAZ15" s="60"/>
      <c r="DBA15" s="60"/>
      <c r="DBB15" s="60"/>
      <c r="DBC15" s="60"/>
      <c r="DBD15" s="60"/>
      <c r="DBE15" s="60"/>
      <c r="DBF15" s="60"/>
      <c r="DBG15" s="60"/>
      <c r="DBH15" s="60"/>
      <c r="DBI15" s="60"/>
      <c r="DBJ15" s="60"/>
      <c r="DBK15" s="60"/>
      <c r="DBL15" s="60"/>
      <c r="DBM15" s="60"/>
      <c r="DBN15" s="60"/>
      <c r="DBO15" s="60"/>
      <c r="DBP15" s="60"/>
      <c r="DBQ15" s="60"/>
      <c r="DBR15" s="60"/>
      <c r="DBS15" s="60"/>
      <c r="DBT15" s="60"/>
      <c r="DBU15" s="60"/>
      <c r="DBV15" s="60"/>
      <c r="DBW15" s="60"/>
      <c r="DBX15" s="60"/>
      <c r="DBY15" s="60"/>
      <c r="DBZ15" s="60"/>
      <c r="DCA15" s="60"/>
      <c r="DCB15" s="60"/>
      <c r="DCC15" s="60"/>
      <c r="DCD15" s="60"/>
      <c r="DCE15" s="60"/>
      <c r="DCF15" s="60"/>
      <c r="DCG15" s="60"/>
      <c r="DCH15" s="60"/>
      <c r="DCI15" s="60"/>
      <c r="DCJ15" s="60"/>
      <c r="DCK15" s="60"/>
      <c r="DCL15" s="60"/>
      <c r="DCM15" s="60"/>
      <c r="DCN15" s="60"/>
      <c r="DCO15" s="60"/>
      <c r="DCP15" s="60"/>
      <c r="DCQ15" s="60"/>
      <c r="DCR15" s="60"/>
      <c r="DCS15" s="60"/>
      <c r="DCT15" s="60"/>
      <c r="DCU15" s="60"/>
      <c r="DCV15" s="60"/>
      <c r="DCW15" s="60"/>
      <c r="DCX15" s="60"/>
      <c r="DCY15" s="60"/>
      <c r="DCZ15" s="60"/>
      <c r="DDA15" s="60"/>
      <c r="DDB15" s="60"/>
      <c r="DDC15" s="60"/>
      <c r="DDD15" s="60"/>
      <c r="DDE15" s="60"/>
      <c r="DDF15" s="60"/>
      <c r="DDG15" s="60"/>
      <c r="DDH15" s="60"/>
      <c r="DDI15" s="60"/>
      <c r="DDJ15" s="60"/>
      <c r="DDK15" s="60"/>
      <c r="DDL15" s="60"/>
      <c r="DDM15" s="60"/>
      <c r="DDN15" s="60"/>
      <c r="DDO15" s="60"/>
      <c r="DDP15" s="60"/>
      <c r="DDQ15" s="60"/>
      <c r="DDR15" s="60"/>
      <c r="DDS15" s="60"/>
      <c r="DDT15" s="60"/>
      <c r="DDU15" s="60"/>
      <c r="DDV15" s="60"/>
      <c r="DDW15" s="60"/>
      <c r="DDX15" s="60"/>
      <c r="DDY15" s="60"/>
      <c r="DDZ15" s="60"/>
      <c r="DEA15" s="60"/>
      <c r="DEB15" s="60"/>
      <c r="DEC15" s="60"/>
      <c r="DED15" s="60"/>
      <c r="DEE15" s="60"/>
      <c r="DEF15" s="60"/>
      <c r="DEG15" s="60"/>
      <c r="DEH15" s="60"/>
      <c r="DEI15" s="60"/>
      <c r="DEJ15" s="60"/>
      <c r="DEK15" s="60"/>
      <c r="DEL15" s="60"/>
      <c r="DEM15" s="60"/>
      <c r="DEN15" s="60"/>
      <c r="DEO15" s="60"/>
      <c r="DEP15" s="60"/>
      <c r="DEQ15" s="60"/>
      <c r="DER15" s="60"/>
      <c r="DES15" s="60"/>
      <c r="DET15" s="60"/>
      <c r="DEU15" s="60"/>
      <c r="DEV15" s="60"/>
      <c r="DEW15" s="60"/>
      <c r="DEX15" s="60"/>
      <c r="DEY15" s="60"/>
      <c r="DEZ15" s="60"/>
      <c r="DFA15" s="60"/>
      <c r="DFB15" s="60"/>
      <c r="DFC15" s="60"/>
      <c r="DFD15" s="60"/>
      <c r="DFE15" s="60"/>
      <c r="DFF15" s="60"/>
      <c r="DFG15" s="60"/>
      <c r="DFH15" s="60"/>
      <c r="DFI15" s="60"/>
      <c r="DFJ15" s="60"/>
      <c r="DFK15" s="60"/>
      <c r="DFL15" s="60"/>
      <c r="DFM15" s="60"/>
      <c r="DFN15" s="60"/>
      <c r="DFO15" s="60"/>
      <c r="DFP15" s="60"/>
      <c r="DFQ15" s="60"/>
      <c r="DFR15" s="60"/>
      <c r="DFS15" s="60"/>
      <c r="DFT15" s="60"/>
      <c r="DFU15" s="60"/>
      <c r="DFV15" s="60"/>
      <c r="DFW15" s="60"/>
      <c r="DFX15" s="60"/>
      <c r="DFY15" s="60"/>
      <c r="DFZ15" s="60"/>
      <c r="DGA15" s="60"/>
      <c r="DGB15" s="60"/>
      <c r="DGC15" s="60"/>
      <c r="DGD15" s="60"/>
      <c r="DGE15" s="60"/>
      <c r="DGF15" s="60"/>
      <c r="DGG15" s="60"/>
      <c r="DGH15" s="60"/>
      <c r="DGI15" s="60"/>
      <c r="DGJ15" s="60"/>
      <c r="DGK15" s="60"/>
      <c r="DGL15" s="60"/>
      <c r="DGM15" s="60"/>
      <c r="DGN15" s="60"/>
      <c r="DGO15" s="60"/>
      <c r="DGP15" s="60"/>
      <c r="DGQ15" s="60"/>
      <c r="DGR15" s="60"/>
      <c r="DGS15" s="60"/>
      <c r="DGT15" s="60"/>
      <c r="DGU15" s="60"/>
      <c r="DGV15" s="60"/>
      <c r="DGW15" s="60"/>
      <c r="DGX15" s="60"/>
      <c r="DGY15" s="60"/>
      <c r="DGZ15" s="60"/>
      <c r="DHA15" s="60"/>
      <c r="DHB15" s="60"/>
      <c r="DHC15" s="60"/>
      <c r="DHD15" s="60"/>
      <c r="DHE15" s="60"/>
      <c r="DHF15" s="60"/>
      <c r="DHG15" s="60"/>
      <c r="DHH15" s="60"/>
      <c r="DHI15" s="60"/>
      <c r="DHJ15" s="60"/>
      <c r="DHK15" s="60"/>
      <c r="DHL15" s="60"/>
      <c r="DHM15" s="60"/>
      <c r="DHN15" s="60"/>
      <c r="DHO15" s="60"/>
      <c r="DHP15" s="60"/>
      <c r="DHQ15" s="60"/>
      <c r="DHR15" s="60"/>
      <c r="DHS15" s="60"/>
      <c r="DHT15" s="60"/>
      <c r="DHU15" s="60"/>
      <c r="DHV15" s="60"/>
      <c r="DHW15" s="60"/>
      <c r="DHX15" s="60"/>
      <c r="DHY15" s="60"/>
      <c r="DHZ15" s="60"/>
      <c r="DIA15" s="60"/>
      <c r="DIB15" s="60"/>
      <c r="DIC15" s="60"/>
      <c r="DID15" s="60"/>
      <c r="DIE15" s="60"/>
      <c r="DIF15" s="60"/>
      <c r="DIG15" s="60"/>
      <c r="DIH15" s="60"/>
      <c r="DII15" s="60"/>
      <c r="DIJ15" s="60"/>
      <c r="DIK15" s="60"/>
      <c r="DIL15" s="60"/>
      <c r="DIM15" s="60"/>
      <c r="DIN15" s="60"/>
      <c r="DIO15" s="60"/>
      <c r="DIP15" s="60"/>
      <c r="DIQ15" s="60"/>
      <c r="DIR15" s="60"/>
      <c r="DIS15" s="60"/>
      <c r="DIT15" s="60"/>
      <c r="DIU15" s="60"/>
      <c r="DIV15" s="60"/>
      <c r="DIW15" s="60"/>
      <c r="DIX15" s="60"/>
      <c r="DIY15" s="60"/>
      <c r="DIZ15" s="60"/>
      <c r="DJA15" s="60"/>
      <c r="DJB15" s="60"/>
      <c r="DJC15" s="60"/>
      <c r="DJD15" s="60"/>
      <c r="DJE15" s="60"/>
      <c r="DJF15" s="60"/>
      <c r="DJG15" s="60"/>
      <c r="DJH15" s="60"/>
      <c r="DJI15" s="60"/>
      <c r="DJJ15" s="60"/>
      <c r="DJK15" s="60"/>
      <c r="DJL15" s="60"/>
      <c r="DJM15" s="60"/>
      <c r="DJN15" s="60"/>
      <c r="DJO15" s="60"/>
      <c r="DJP15" s="60"/>
      <c r="DJQ15" s="60"/>
      <c r="DJR15" s="60"/>
      <c r="DJS15" s="60"/>
      <c r="DJT15" s="60"/>
      <c r="DJU15" s="60"/>
      <c r="DJV15" s="60"/>
      <c r="DJW15" s="60"/>
      <c r="DJX15" s="60"/>
      <c r="DJY15" s="60"/>
      <c r="DJZ15" s="60"/>
      <c r="DKA15" s="60"/>
      <c r="DKB15" s="60"/>
      <c r="DKC15" s="60"/>
      <c r="DKD15" s="60"/>
      <c r="DKE15" s="60"/>
      <c r="DKF15" s="60"/>
      <c r="DKG15" s="60"/>
      <c r="DKH15" s="60"/>
      <c r="DKI15" s="60"/>
      <c r="DKJ15" s="60"/>
      <c r="DKK15" s="60"/>
      <c r="DKL15" s="60"/>
      <c r="DKM15" s="60"/>
      <c r="DKN15" s="60"/>
      <c r="DKO15" s="60"/>
      <c r="DKP15" s="60"/>
      <c r="DKQ15" s="60"/>
      <c r="DKR15" s="60"/>
      <c r="DKS15" s="60"/>
      <c r="DKT15" s="60"/>
      <c r="DKU15" s="60"/>
      <c r="DKV15" s="60"/>
      <c r="DKW15" s="60"/>
      <c r="DKX15" s="60"/>
      <c r="DKY15" s="60"/>
      <c r="DKZ15" s="60"/>
      <c r="DLA15" s="60"/>
      <c r="DLB15" s="60"/>
      <c r="DLC15" s="60"/>
      <c r="DLD15" s="60"/>
      <c r="DLE15" s="60"/>
      <c r="DLF15" s="60"/>
      <c r="DLG15" s="60"/>
      <c r="DLH15" s="60"/>
      <c r="DLI15" s="60"/>
      <c r="DLJ15" s="60"/>
      <c r="DLK15" s="60"/>
      <c r="DLL15" s="60"/>
      <c r="DLM15" s="60"/>
      <c r="DLN15" s="60"/>
      <c r="DLO15" s="60"/>
      <c r="DLP15" s="60"/>
      <c r="DLQ15" s="60"/>
      <c r="DLR15" s="60"/>
      <c r="DLS15" s="60"/>
      <c r="DLT15" s="60"/>
      <c r="DLU15" s="60"/>
      <c r="DLV15" s="60"/>
      <c r="DLW15" s="60"/>
      <c r="DLX15" s="60"/>
      <c r="DLY15" s="60"/>
      <c r="DLZ15" s="60"/>
      <c r="DMA15" s="60"/>
      <c r="DMB15" s="60"/>
      <c r="DMC15" s="60"/>
      <c r="DMD15" s="60"/>
      <c r="DME15" s="60"/>
      <c r="DMF15" s="60"/>
      <c r="DMG15" s="60"/>
      <c r="DMH15" s="60"/>
      <c r="DMI15" s="60"/>
      <c r="DMJ15" s="60"/>
      <c r="DMK15" s="60"/>
      <c r="DML15" s="60"/>
      <c r="DMM15" s="60"/>
      <c r="DMN15" s="60"/>
      <c r="DMO15" s="60"/>
      <c r="DMP15" s="60"/>
      <c r="DMQ15" s="60"/>
      <c r="DMR15" s="60"/>
      <c r="DMS15" s="60"/>
      <c r="DMT15" s="60"/>
      <c r="DMU15" s="60"/>
      <c r="DMV15" s="60"/>
      <c r="DMW15" s="60"/>
      <c r="DMX15" s="60"/>
      <c r="DMY15" s="60"/>
      <c r="DMZ15" s="60"/>
      <c r="DNA15" s="60"/>
      <c r="DNB15" s="60"/>
      <c r="DNC15" s="60"/>
      <c r="DND15" s="60"/>
      <c r="DNE15" s="60"/>
      <c r="DNF15" s="60"/>
      <c r="DNG15" s="60"/>
      <c r="DNH15" s="60"/>
      <c r="DNI15" s="60"/>
      <c r="DNJ15" s="60"/>
      <c r="DNK15" s="60"/>
      <c r="DNL15" s="60"/>
      <c r="DNM15" s="60"/>
      <c r="DNN15" s="60"/>
      <c r="DNO15" s="60"/>
      <c r="DNP15" s="60"/>
      <c r="DNQ15" s="60"/>
      <c r="DNR15" s="60"/>
      <c r="DNS15" s="60"/>
      <c r="DNT15" s="60"/>
      <c r="DNU15" s="60"/>
      <c r="DNV15" s="60"/>
      <c r="DNW15" s="60"/>
      <c r="DNX15" s="60"/>
      <c r="DNY15" s="60"/>
      <c r="DNZ15" s="60"/>
      <c r="DOA15" s="60"/>
      <c r="DOB15" s="60"/>
      <c r="DOC15" s="60"/>
      <c r="DOD15" s="60"/>
      <c r="DOE15" s="60"/>
      <c r="DOF15" s="60"/>
      <c r="DOG15" s="60"/>
      <c r="DOH15" s="60"/>
      <c r="DOI15" s="60"/>
      <c r="DOJ15" s="60"/>
      <c r="DOK15" s="60"/>
      <c r="DOL15" s="60"/>
      <c r="DOM15" s="60"/>
      <c r="DON15" s="60"/>
      <c r="DOO15" s="60"/>
      <c r="DOP15" s="60"/>
      <c r="DOQ15" s="60"/>
      <c r="DOR15" s="60"/>
      <c r="DOS15" s="60"/>
      <c r="DOT15" s="60"/>
      <c r="DOU15" s="60"/>
      <c r="DOV15" s="60"/>
      <c r="DOW15" s="60"/>
      <c r="DOX15" s="60"/>
      <c r="DOY15" s="60"/>
      <c r="DOZ15" s="60"/>
      <c r="DPA15" s="60"/>
      <c r="DPB15" s="60"/>
      <c r="DPC15" s="60"/>
      <c r="DPD15" s="60"/>
      <c r="DPE15" s="60"/>
      <c r="DPF15" s="60"/>
      <c r="DPG15" s="60"/>
      <c r="DPH15" s="60"/>
      <c r="DPI15" s="60"/>
      <c r="DPJ15" s="60"/>
      <c r="DPK15" s="60"/>
      <c r="DPL15" s="60"/>
      <c r="DPM15" s="60"/>
      <c r="DPN15" s="60"/>
      <c r="DPO15" s="60"/>
      <c r="DPP15" s="60"/>
      <c r="DPQ15" s="60"/>
      <c r="DPR15" s="60"/>
      <c r="DPS15" s="60"/>
      <c r="DPT15" s="60"/>
      <c r="DPU15" s="60"/>
      <c r="DPV15" s="60"/>
      <c r="DPW15" s="60"/>
      <c r="DPX15" s="60"/>
      <c r="DPY15" s="60"/>
      <c r="DPZ15" s="60"/>
      <c r="DQA15" s="60"/>
      <c r="DQB15" s="60"/>
      <c r="DQC15" s="60"/>
      <c r="DQD15" s="60"/>
      <c r="DQE15" s="60"/>
      <c r="DQF15" s="60"/>
      <c r="DQG15" s="60"/>
      <c r="DQH15" s="60"/>
      <c r="DQI15" s="60"/>
      <c r="DQJ15" s="60"/>
      <c r="DQK15" s="60"/>
      <c r="DQL15" s="60"/>
      <c r="DQM15" s="60"/>
      <c r="DQN15" s="60"/>
      <c r="DQO15" s="60"/>
      <c r="DQP15" s="60"/>
      <c r="DQQ15" s="60"/>
      <c r="DQR15" s="60"/>
      <c r="DQS15" s="60"/>
      <c r="DQT15" s="60"/>
      <c r="DQU15" s="60"/>
      <c r="DQV15" s="60"/>
      <c r="DQW15" s="60"/>
      <c r="DQX15" s="60"/>
      <c r="DQY15" s="60"/>
      <c r="DQZ15" s="60"/>
      <c r="DRA15" s="60"/>
      <c r="DRB15" s="60"/>
      <c r="DRC15" s="60"/>
      <c r="DRD15" s="60"/>
      <c r="DRE15" s="60"/>
      <c r="DRF15" s="60"/>
      <c r="DRG15" s="60"/>
      <c r="DRH15" s="60"/>
      <c r="DRI15" s="60"/>
      <c r="DRJ15" s="60"/>
      <c r="DRK15" s="60"/>
      <c r="DRL15" s="60"/>
      <c r="DRM15" s="60"/>
      <c r="DRN15" s="60"/>
      <c r="DRO15" s="60"/>
      <c r="DRP15" s="60"/>
      <c r="DRQ15" s="60"/>
      <c r="DRR15" s="60"/>
      <c r="DRS15" s="60"/>
      <c r="DRT15" s="60"/>
      <c r="DRU15" s="60"/>
      <c r="DRV15" s="60"/>
      <c r="DRW15" s="60"/>
      <c r="DRX15" s="60"/>
      <c r="DRY15" s="60"/>
      <c r="DRZ15" s="60"/>
      <c r="DSA15" s="60"/>
      <c r="DSB15" s="60"/>
      <c r="DSC15" s="60"/>
      <c r="DSD15" s="60"/>
      <c r="DSE15" s="60"/>
      <c r="DSF15" s="60"/>
      <c r="DSG15" s="60"/>
      <c r="DSH15" s="60"/>
      <c r="DSI15" s="60"/>
      <c r="DSJ15" s="60"/>
      <c r="DSK15" s="60"/>
      <c r="DSL15" s="60"/>
      <c r="DSM15" s="60"/>
      <c r="DSN15" s="60"/>
      <c r="DSO15" s="60"/>
      <c r="DSP15" s="60"/>
      <c r="DSQ15" s="60"/>
      <c r="DSR15" s="60"/>
      <c r="DSS15" s="60"/>
      <c r="DST15" s="60"/>
      <c r="DSU15" s="60"/>
      <c r="DSV15" s="60"/>
      <c r="DSW15" s="60"/>
      <c r="DSX15" s="60"/>
      <c r="DSY15" s="60"/>
      <c r="DSZ15" s="60"/>
      <c r="DTA15" s="60"/>
      <c r="DTB15" s="60"/>
      <c r="DTC15" s="60"/>
      <c r="DTD15" s="60"/>
      <c r="DTE15" s="60"/>
      <c r="DTF15" s="60"/>
      <c r="DTG15" s="60"/>
      <c r="DTH15" s="60"/>
      <c r="DTI15" s="60"/>
      <c r="DTJ15" s="60"/>
      <c r="DTK15" s="60"/>
      <c r="DTL15" s="60"/>
      <c r="DTM15" s="60"/>
      <c r="DTN15" s="60"/>
      <c r="DTO15" s="60"/>
      <c r="DTP15" s="60"/>
      <c r="DTQ15" s="60"/>
      <c r="DTR15" s="60"/>
      <c r="DTS15" s="60"/>
      <c r="DTT15" s="60"/>
      <c r="DTU15" s="60"/>
      <c r="DTV15" s="60"/>
      <c r="DTW15" s="60"/>
      <c r="DTX15" s="60"/>
      <c r="DTY15" s="60"/>
      <c r="DTZ15" s="60"/>
      <c r="DUA15" s="60"/>
      <c r="DUB15" s="60"/>
      <c r="DUC15" s="60"/>
      <c r="DUD15" s="60"/>
      <c r="DUE15" s="60"/>
      <c r="DUF15" s="60"/>
      <c r="DUG15" s="60"/>
      <c r="DUH15" s="60"/>
      <c r="DUI15" s="60"/>
      <c r="DUJ15" s="60"/>
      <c r="DUK15" s="60"/>
      <c r="DUL15" s="60"/>
      <c r="DUM15" s="60"/>
      <c r="DUN15" s="60"/>
      <c r="DUO15" s="60"/>
      <c r="DUP15" s="60"/>
      <c r="DUQ15" s="60"/>
      <c r="DUR15" s="60"/>
      <c r="DUS15" s="60"/>
      <c r="DUT15" s="60"/>
      <c r="DUU15" s="60"/>
      <c r="DUV15" s="60"/>
      <c r="DUW15" s="60"/>
      <c r="DUX15" s="60"/>
      <c r="DUY15" s="60"/>
      <c r="DUZ15" s="60"/>
      <c r="DVA15" s="60"/>
      <c r="DVB15" s="60"/>
      <c r="DVC15" s="60"/>
      <c r="DVD15" s="60"/>
      <c r="DVE15" s="60"/>
      <c r="DVF15" s="60"/>
      <c r="DVG15" s="60"/>
      <c r="DVH15" s="60"/>
      <c r="DVI15" s="60"/>
      <c r="DVJ15" s="60"/>
      <c r="DVK15" s="60"/>
      <c r="DVL15" s="60"/>
      <c r="DVM15" s="60"/>
      <c r="DVN15" s="60"/>
      <c r="DVO15" s="60"/>
      <c r="DVP15" s="60"/>
      <c r="DVQ15" s="60"/>
      <c r="DVR15" s="60"/>
      <c r="DVS15" s="60"/>
      <c r="DVT15" s="60"/>
      <c r="DVU15" s="60"/>
      <c r="DVV15" s="60"/>
      <c r="DVW15" s="60"/>
      <c r="DVX15" s="60"/>
      <c r="DVY15" s="60"/>
      <c r="DVZ15" s="60"/>
      <c r="DWA15" s="60"/>
      <c r="DWB15" s="60"/>
      <c r="DWC15" s="60"/>
      <c r="DWD15" s="60"/>
      <c r="DWE15" s="60"/>
      <c r="DWF15" s="60"/>
      <c r="DWG15" s="60"/>
      <c r="DWH15" s="60"/>
      <c r="DWI15" s="60"/>
      <c r="DWJ15" s="60"/>
      <c r="DWK15" s="60"/>
      <c r="DWL15" s="60"/>
      <c r="DWM15" s="60"/>
      <c r="DWN15" s="60"/>
      <c r="DWO15" s="60"/>
      <c r="DWP15" s="60"/>
      <c r="DWQ15" s="60"/>
      <c r="DWR15" s="60"/>
      <c r="DWS15" s="60"/>
      <c r="DWT15" s="60"/>
      <c r="DWU15" s="60"/>
      <c r="DWV15" s="60"/>
      <c r="DWW15" s="60"/>
      <c r="DWX15" s="60"/>
      <c r="DWY15" s="60"/>
      <c r="DWZ15" s="60"/>
      <c r="DXA15" s="60"/>
      <c r="DXB15" s="60"/>
      <c r="DXC15" s="60"/>
      <c r="DXD15" s="60"/>
      <c r="DXE15" s="60"/>
      <c r="DXF15" s="60"/>
      <c r="DXG15" s="60"/>
      <c r="DXH15" s="60"/>
      <c r="DXI15" s="60"/>
      <c r="DXJ15" s="60"/>
      <c r="DXK15" s="60"/>
      <c r="DXL15" s="60"/>
      <c r="DXM15" s="60"/>
      <c r="DXN15" s="60"/>
      <c r="DXO15" s="60"/>
      <c r="DXP15" s="60"/>
      <c r="DXQ15" s="60"/>
      <c r="DXR15" s="60"/>
      <c r="DXS15" s="60"/>
      <c r="DXT15" s="60"/>
      <c r="DXU15" s="60"/>
      <c r="DXV15" s="60"/>
      <c r="DXW15" s="60"/>
      <c r="DXX15" s="60"/>
      <c r="DXY15" s="60"/>
      <c r="DXZ15" s="60"/>
      <c r="DYA15" s="60"/>
      <c r="DYB15" s="60"/>
      <c r="DYC15" s="60"/>
      <c r="DYD15" s="60"/>
      <c r="DYE15" s="60"/>
      <c r="DYF15" s="60"/>
      <c r="DYG15" s="60"/>
      <c r="DYH15" s="60"/>
      <c r="DYI15" s="60"/>
      <c r="DYJ15" s="60"/>
      <c r="DYK15" s="60"/>
      <c r="DYL15" s="60"/>
      <c r="DYM15" s="60"/>
      <c r="DYN15" s="60"/>
      <c r="DYO15" s="60"/>
      <c r="DYP15" s="60"/>
      <c r="DYQ15" s="60"/>
      <c r="DYR15" s="60"/>
      <c r="DYS15" s="60"/>
      <c r="DYT15" s="60"/>
      <c r="DYU15" s="60"/>
      <c r="DYV15" s="60"/>
      <c r="DYW15" s="60"/>
      <c r="DYX15" s="60"/>
      <c r="DYY15" s="60"/>
      <c r="DYZ15" s="60"/>
      <c r="DZA15" s="60"/>
      <c r="DZB15" s="60"/>
      <c r="DZC15" s="60"/>
      <c r="DZD15" s="60"/>
      <c r="DZE15" s="60"/>
      <c r="DZF15" s="60"/>
      <c r="DZG15" s="60"/>
      <c r="DZH15" s="60"/>
      <c r="DZI15" s="60"/>
      <c r="DZJ15" s="60"/>
      <c r="DZK15" s="60"/>
      <c r="DZL15" s="60"/>
      <c r="DZM15" s="60"/>
      <c r="DZN15" s="60"/>
      <c r="DZO15" s="60"/>
      <c r="DZP15" s="60"/>
      <c r="DZQ15" s="60"/>
      <c r="DZR15" s="60"/>
      <c r="DZS15" s="60"/>
      <c r="DZT15" s="60"/>
      <c r="DZU15" s="60"/>
      <c r="DZV15" s="60"/>
      <c r="DZW15" s="60"/>
      <c r="DZX15" s="60"/>
      <c r="DZY15" s="60"/>
      <c r="DZZ15" s="60"/>
      <c r="EAA15" s="60"/>
      <c r="EAB15" s="60"/>
      <c r="EAC15" s="60"/>
      <c r="EAD15" s="60"/>
      <c r="EAE15" s="60"/>
      <c r="EAF15" s="60"/>
      <c r="EAG15" s="60"/>
      <c r="EAH15" s="60"/>
      <c r="EAI15" s="60"/>
      <c r="EAJ15" s="60"/>
      <c r="EAK15" s="60"/>
      <c r="EAL15" s="60"/>
      <c r="EAM15" s="60"/>
      <c r="EAN15" s="60"/>
      <c r="EAO15" s="60"/>
      <c r="EAP15" s="60"/>
      <c r="EAQ15" s="60"/>
      <c r="EAR15" s="60"/>
      <c r="EAS15" s="60"/>
      <c r="EAT15" s="60"/>
      <c r="EAU15" s="60"/>
      <c r="EAV15" s="60"/>
      <c r="EAW15" s="60"/>
      <c r="EAX15" s="60"/>
      <c r="EAY15" s="60"/>
      <c r="EAZ15" s="60"/>
      <c r="EBA15" s="60"/>
      <c r="EBB15" s="60"/>
      <c r="EBC15" s="60"/>
      <c r="EBD15" s="60"/>
      <c r="EBE15" s="60"/>
      <c r="EBF15" s="60"/>
      <c r="EBG15" s="60"/>
      <c r="EBH15" s="60"/>
      <c r="EBI15" s="60"/>
      <c r="EBJ15" s="60"/>
      <c r="EBK15" s="60"/>
      <c r="EBL15" s="60"/>
      <c r="EBM15" s="60"/>
      <c r="EBN15" s="60"/>
      <c r="EBO15" s="60"/>
      <c r="EBP15" s="60"/>
      <c r="EBQ15" s="60"/>
      <c r="EBR15" s="60"/>
      <c r="EBS15" s="60"/>
      <c r="EBT15" s="60"/>
      <c r="EBU15" s="60"/>
      <c r="EBV15" s="60"/>
      <c r="EBW15" s="60"/>
      <c r="EBX15" s="60"/>
      <c r="EBY15" s="60"/>
      <c r="EBZ15" s="60"/>
      <c r="ECA15" s="60"/>
      <c r="ECB15" s="60"/>
      <c r="ECC15" s="60"/>
      <c r="ECD15" s="60"/>
      <c r="ECE15" s="60"/>
      <c r="ECF15" s="60"/>
      <c r="ECG15" s="60"/>
      <c r="ECH15" s="60"/>
      <c r="ECI15" s="60"/>
      <c r="ECJ15" s="60"/>
      <c r="ECK15" s="60"/>
      <c r="ECL15" s="60"/>
      <c r="ECM15" s="60"/>
      <c r="ECN15" s="60"/>
      <c r="ECO15" s="60"/>
      <c r="ECP15" s="60"/>
      <c r="ECQ15" s="60"/>
      <c r="ECR15" s="60"/>
      <c r="ECS15" s="60"/>
      <c r="ECT15" s="60"/>
      <c r="ECU15" s="60"/>
      <c r="ECV15" s="60"/>
      <c r="ECW15" s="60"/>
      <c r="ECX15" s="60"/>
      <c r="ECY15" s="60"/>
      <c r="ECZ15" s="60"/>
      <c r="EDA15" s="60"/>
      <c r="EDB15" s="60"/>
      <c r="EDC15" s="60"/>
      <c r="EDD15" s="60"/>
      <c r="EDE15" s="60"/>
      <c r="EDF15" s="60"/>
      <c r="EDG15" s="60"/>
      <c r="EDH15" s="60"/>
      <c r="EDI15" s="60"/>
      <c r="EDJ15" s="60"/>
      <c r="EDK15" s="60"/>
      <c r="EDL15" s="60"/>
      <c r="EDM15" s="60"/>
      <c r="EDN15" s="60"/>
      <c r="EDO15" s="60"/>
      <c r="EDP15" s="60"/>
      <c r="EDQ15" s="60"/>
      <c r="EDR15" s="60"/>
      <c r="EDS15" s="60"/>
      <c r="EDT15" s="60"/>
      <c r="EDU15" s="60"/>
      <c r="EDV15" s="60"/>
      <c r="EDW15" s="60"/>
      <c r="EDX15" s="60"/>
      <c r="EDY15" s="60"/>
      <c r="EDZ15" s="60"/>
      <c r="EEA15" s="60"/>
      <c r="EEB15" s="60"/>
      <c r="EEC15" s="60"/>
      <c r="EED15" s="60"/>
      <c r="EEE15" s="60"/>
      <c r="EEF15" s="60"/>
      <c r="EEG15" s="60"/>
      <c r="EEH15" s="60"/>
      <c r="EEI15" s="60"/>
      <c r="EEJ15" s="60"/>
      <c r="EEK15" s="60"/>
      <c r="EEL15" s="60"/>
      <c r="EEM15" s="60"/>
      <c r="EEN15" s="60"/>
      <c r="EEO15" s="60"/>
      <c r="EEP15" s="60"/>
      <c r="EEQ15" s="60"/>
      <c r="EER15" s="60"/>
      <c r="EES15" s="60"/>
      <c r="EET15" s="60"/>
      <c r="EEU15" s="60"/>
      <c r="EEV15" s="60"/>
      <c r="EEW15" s="60"/>
      <c r="EEX15" s="60"/>
      <c r="EEY15" s="60"/>
      <c r="EEZ15" s="60"/>
      <c r="EFA15" s="60"/>
      <c r="EFB15" s="60"/>
      <c r="EFC15" s="60"/>
      <c r="EFD15" s="60"/>
      <c r="EFE15" s="60"/>
      <c r="EFF15" s="60"/>
      <c r="EFG15" s="60"/>
      <c r="EFH15" s="60"/>
      <c r="EFI15" s="60"/>
      <c r="EFJ15" s="60"/>
      <c r="EFK15" s="60"/>
      <c r="EFL15" s="60"/>
      <c r="EFM15" s="60"/>
      <c r="EFN15" s="60"/>
      <c r="EFO15" s="60"/>
      <c r="EFP15" s="60"/>
      <c r="EFQ15" s="60"/>
      <c r="EFR15" s="60"/>
      <c r="EFS15" s="60"/>
      <c r="EFT15" s="60"/>
      <c r="EFU15" s="60"/>
      <c r="EFV15" s="60"/>
      <c r="EFW15" s="60"/>
      <c r="EFX15" s="60"/>
      <c r="EFY15" s="60"/>
      <c r="EFZ15" s="60"/>
      <c r="EGA15" s="60"/>
      <c r="EGB15" s="60"/>
      <c r="EGC15" s="60"/>
      <c r="EGD15" s="60"/>
      <c r="EGE15" s="60"/>
      <c r="EGF15" s="60"/>
      <c r="EGG15" s="60"/>
      <c r="EGH15" s="60"/>
      <c r="EGI15" s="60"/>
      <c r="EGJ15" s="60"/>
      <c r="EGK15" s="60"/>
      <c r="EGL15" s="60"/>
      <c r="EGM15" s="60"/>
      <c r="EGN15" s="60"/>
      <c r="EGO15" s="60"/>
      <c r="EGP15" s="60"/>
      <c r="EGQ15" s="60"/>
      <c r="EGR15" s="60"/>
      <c r="EGS15" s="60"/>
      <c r="EGT15" s="60"/>
      <c r="EGU15" s="60"/>
      <c r="EGV15" s="60"/>
      <c r="EGW15" s="60"/>
      <c r="EGX15" s="60"/>
      <c r="EGY15" s="60"/>
      <c r="EGZ15" s="60"/>
      <c r="EHA15" s="60"/>
      <c r="EHB15" s="60"/>
      <c r="EHC15" s="60"/>
      <c r="EHD15" s="60"/>
      <c r="EHE15" s="60"/>
      <c r="EHF15" s="60"/>
      <c r="EHG15" s="60"/>
      <c r="EHH15" s="60"/>
      <c r="EHI15" s="60"/>
      <c r="EHJ15" s="60"/>
      <c r="EHK15" s="60"/>
      <c r="EHL15" s="60"/>
      <c r="EHM15" s="60"/>
      <c r="EHN15" s="60"/>
      <c r="EHO15" s="60"/>
      <c r="EHP15" s="60"/>
      <c r="EHQ15" s="60"/>
      <c r="EHR15" s="60"/>
      <c r="EHS15" s="60"/>
      <c r="EHT15" s="60"/>
      <c r="EHU15" s="60"/>
      <c r="EHV15" s="60"/>
      <c r="EHW15" s="60"/>
      <c r="EHX15" s="60"/>
      <c r="EHY15" s="60"/>
      <c r="EHZ15" s="60"/>
      <c r="EIA15" s="60"/>
      <c r="EIB15" s="60"/>
      <c r="EIC15" s="60"/>
      <c r="EID15" s="60"/>
      <c r="EIE15" s="60"/>
      <c r="EIF15" s="60"/>
      <c r="EIG15" s="60"/>
      <c r="EIH15" s="60"/>
      <c r="EII15" s="60"/>
      <c r="EIJ15" s="60"/>
      <c r="EIK15" s="60"/>
      <c r="EIL15" s="60"/>
      <c r="EIM15" s="60"/>
      <c r="EIN15" s="60"/>
      <c r="EIO15" s="60"/>
      <c r="EIP15" s="60"/>
      <c r="EIQ15" s="60"/>
      <c r="EIR15" s="60"/>
      <c r="EIS15" s="60"/>
      <c r="EIT15" s="60"/>
      <c r="EIU15" s="60"/>
      <c r="EIV15" s="60"/>
      <c r="EIW15" s="60"/>
      <c r="EIX15" s="60"/>
      <c r="EIY15" s="60"/>
      <c r="EIZ15" s="60"/>
      <c r="EJA15" s="60"/>
      <c r="EJB15" s="60"/>
      <c r="EJC15" s="60"/>
      <c r="EJD15" s="60"/>
      <c r="EJE15" s="60"/>
      <c r="EJF15" s="60"/>
      <c r="EJG15" s="60"/>
      <c r="EJH15" s="60"/>
      <c r="EJI15" s="60"/>
      <c r="EJJ15" s="60"/>
      <c r="EJK15" s="60"/>
      <c r="EJL15" s="60"/>
      <c r="EJM15" s="60"/>
      <c r="EJN15" s="60"/>
      <c r="EJO15" s="60"/>
      <c r="EJP15" s="60"/>
      <c r="EJQ15" s="60"/>
      <c r="EJR15" s="60"/>
      <c r="EJS15" s="60"/>
      <c r="EJT15" s="60"/>
      <c r="EJU15" s="60"/>
      <c r="EJV15" s="60"/>
      <c r="EJW15" s="60"/>
      <c r="EJX15" s="60"/>
      <c r="EJY15" s="60"/>
      <c r="EJZ15" s="60"/>
      <c r="EKA15" s="60"/>
      <c r="EKB15" s="60"/>
      <c r="EKC15" s="60"/>
      <c r="EKD15" s="60"/>
      <c r="EKE15" s="60"/>
      <c r="EKF15" s="60"/>
      <c r="EKG15" s="60"/>
      <c r="EKH15" s="60"/>
      <c r="EKI15" s="60"/>
      <c r="EKJ15" s="60"/>
      <c r="EKK15" s="60"/>
      <c r="EKL15" s="60"/>
      <c r="EKM15" s="60"/>
      <c r="EKN15" s="60"/>
      <c r="EKO15" s="60"/>
      <c r="EKP15" s="60"/>
      <c r="EKQ15" s="60"/>
      <c r="EKR15" s="60"/>
      <c r="EKS15" s="60"/>
      <c r="EKT15" s="60"/>
      <c r="EKU15" s="60"/>
      <c r="EKV15" s="60"/>
      <c r="EKW15" s="60"/>
      <c r="EKX15" s="60"/>
      <c r="EKY15" s="60"/>
      <c r="EKZ15" s="60"/>
      <c r="ELA15" s="60"/>
      <c r="ELB15" s="60"/>
      <c r="ELC15" s="60"/>
      <c r="ELD15" s="60"/>
      <c r="ELE15" s="60"/>
      <c r="ELF15" s="60"/>
      <c r="ELG15" s="60"/>
      <c r="ELH15" s="60"/>
      <c r="ELI15" s="60"/>
      <c r="ELJ15" s="60"/>
      <c r="ELK15" s="60"/>
      <c r="ELL15" s="60"/>
      <c r="ELM15" s="60"/>
      <c r="ELN15" s="60"/>
      <c r="ELO15" s="60"/>
      <c r="ELP15" s="60"/>
      <c r="ELQ15" s="60"/>
      <c r="ELR15" s="60"/>
      <c r="ELS15" s="60"/>
      <c r="ELT15" s="60"/>
      <c r="ELU15" s="60"/>
      <c r="ELV15" s="60"/>
      <c r="ELW15" s="60"/>
      <c r="ELX15" s="60"/>
      <c r="ELY15" s="60"/>
      <c r="ELZ15" s="60"/>
      <c r="EMA15" s="60"/>
      <c r="EMB15" s="60"/>
      <c r="EMC15" s="60"/>
      <c r="EMD15" s="60"/>
      <c r="EME15" s="60"/>
      <c r="EMF15" s="60"/>
      <c r="EMG15" s="60"/>
      <c r="EMH15" s="60"/>
      <c r="EMI15" s="60"/>
      <c r="EMJ15" s="60"/>
      <c r="EMK15" s="60"/>
      <c r="EML15" s="60"/>
      <c r="EMM15" s="60"/>
      <c r="EMN15" s="60"/>
      <c r="EMO15" s="60"/>
      <c r="EMP15" s="60"/>
      <c r="EMQ15" s="60"/>
      <c r="EMR15" s="60"/>
      <c r="EMS15" s="60"/>
      <c r="EMT15" s="60"/>
      <c r="EMU15" s="60"/>
      <c r="EMV15" s="60"/>
      <c r="EMW15" s="60"/>
      <c r="EMX15" s="60"/>
      <c r="EMY15" s="60"/>
      <c r="EMZ15" s="60"/>
      <c r="ENA15" s="60"/>
      <c r="ENB15" s="60"/>
      <c r="ENC15" s="60"/>
      <c r="END15" s="60"/>
      <c r="ENE15" s="60"/>
      <c r="ENF15" s="60"/>
      <c r="ENG15" s="60"/>
      <c r="ENH15" s="60"/>
      <c r="ENI15" s="60"/>
      <c r="ENJ15" s="60"/>
      <c r="ENK15" s="60"/>
      <c r="ENL15" s="60"/>
      <c r="ENM15" s="60"/>
      <c r="ENN15" s="60"/>
      <c r="ENO15" s="60"/>
      <c r="ENP15" s="60"/>
      <c r="ENQ15" s="60"/>
      <c r="ENR15" s="60"/>
      <c r="ENS15" s="60"/>
      <c r="ENT15" s="60"/>
      <c r="ENU15" s="60"/>
      <c r="ENV15" s="60"/>
      <c r="ENW15" s="60"/>
      <c r="ENX15" s="60"/>
      <c r="ENY15" s="60"/>
      <c r="ENZ15" s="60"/>
      <c r="EOA15" s="60"/>
      <c r="EOB15" s="60"/>
      <c r="EOC15" s="60"/>
      <c r="EOD15" s="60"/>
      <c r="EOE15" s="60"/>
      <c r="EOF15" s="60"/>
      <c r="EOG15" s="60"/>
      <c r="EOH15" s="60"/>
      <c r="EOI15" s="60"/>
      <c r="EOJ15" s="60"/>
      <c r="EOK15" s="60"/>
      <c r="EOL15" s="60"/>
      <c r="EOM15" s="60"/>
      <c r="EON15" s="60"/>
      <c r="EOO15" s="60"/>
      <c r="EOP15" s="60"/>
      <c r="EOQ15" s="60"/>
      <c r="EOR15" s="60"/>
      <c r="EOS15" s="60"/>
      <c r="EOT15" s="60"/>
      <c r="EOU15" s="60"/>
      <c r="EOV15" s="60"/>
      <c r="EOW15" s="60"/>
      <c r="EOX15" s="60"/>
      <c r="EOY15" s="60"/>
      <c r="EOZ15" s="60"/>
      <c r="EPA15" s="60"/>
      <c r="EPB15" s="60"/>
      <c r="EPC15" s="60"/>
      <c r="EPD15" s="60"/>
      <c r="EPE15" s="60"/>
      <c r="EPF15" s="60"/>
      <c r="EPG15" s="60"/>
      <c r="EPH15" s="60"/>
      <c r="EPI15" s="60"/>
      <c r="EPJ15" s="60"/>
      <c r="EPK15" s="60"/>
      <c r="EPL15" s="60"/>
      <c r="EPM15" s="60"/>
      <c r="EPN15" s="60"/>
      <c r="EPO15" s="60"/>
      <c r="EPP15" s="60"/>
      <c r="EPQ15" s="60"/>
      <c r="EPR15" s="60"/>
      <c r="EPS15" s="60"/>
      <c r="EPT15" s="60"/>
      <c r="EPU15" s="60"/>
      <c r="EPV15" s="60"/>
      <c r="EPW15" s="60"/>
      <c r="EPX15" s="60"/>
      <c r="EPY15" s="60"/>
      <c r="EPZ15" s="60"/>
      <c r="EQA15" s="60"/>
      <c r="EQB15" s="60"/>
      <c r="EQC15" s="60"/>
      <c r="EQD15" s="60"/>
      <c r="EQE15" s="60"/>
      <c r="EQF15" s="60"/>
      <c r="EQG15" s="60"/>
      <c r="EQH15" s="60"/>
      <c r="EQI15" s="60"/>
      <c r="EQJ15" s="60"/>
      <c r="EQK15" s="60"/>
      <c r="EQL15" s="60"/>
      <c r="EQM15" s="60"/>
      <c r="EQN15" s="60"/>
      <c r="EQO15" s="60"/>
      <c r="EQP15" s="60"/>
      <c r="EQQ15" s="60"/>
      <c r="EQR15" s="60"/>
      <c r="EQS15" s="60"/>
      <c r="EQT15" s="60"/>
      <c r="EQU15" s="60"/>
      <c r="EQV15" s="60"/>
      <c r="EQW15" s="60"/>
      <c r="EQX15" s="60"/>
      <c r="EQY15" s="60"/>
      <c r="EQZ15" s="60"/>
      <c r="ERA15" s="60"/>
      <c r="ERB15" s="60"/>
      <c r="ERC15" s="60"/>
      <c r="ERD15" s="60"/>
      <c r="ERE15" s="60"/>
      <c r="ERF15" s="60"/>
      <c r="ERG15" s="60"/>
      <c r="ERH15" s="60"/>
      <c r="ERI15" s="60"/>
      <c r="ERJ15" s="60"/>
      <c r="ERK15" s="60"/>
      <c r="ERL15" s="60"/>
      <c r="ERM15" s="60"/>
      <c r="ERN15" s="60"/>
      <c r="ERO15" s="60"/>
      <c r="ERP15" s="60"/>
      <c r="ERQ15" s="60"/>
      <c r="ERR15" s="60"/>
      <c r="ERS15" s="60"/>
      <c r="ERT15" s="60"/>
      <c r="ERU15" s="60"/>
      <c r="ERV15" s="60"/>
      <c r="ERW15" s="60"/>
      <c r="ERX15" s="60"/>
      <c r="ERY15" s="60"/>
      <c r="ERZ15" s="60"/>
      <c r="ESA15" s="60"/>
      <c r="ESB15" s="60"/>
      <c r="ESC15" s="60"/>
      <c r="ESD15" s="60"/>
      <c r="ESE15" s="60"/>
      <c r="ESF15" s="60"/>
      <c r="ESG15" s="60"/>
      <c r="ESH15" s="60"/>
      <c r="ESI15" s="60"/>
      <c r="ESJ15" s="60"/>
      <c r="ESK15" s="60"/>
      <c r="ESL15" s="60"/>
      <c r="ESM15" s="60"/>
      <c r="ESN15" s="60"/>
      <c r="ESO15" s="60"/>
      <c r="ESP15" s="60"/>
      <c r="ESQ15" s="60"/>
      <c r="ESR15" s="60"/>
      <c r="ESS15" s="60"/>
      <c r="EST15" s="60"/>
      <c r="ESU15" s="60"/>
      <c r="ESV15" s="60"/>
      <c r="ESW15" s="60"/>
      <c r="ESX15" s="60"/>
      <c r="ESY15" s="60"/>
      <c r="ESZ15" s="60"/>
      <c r="ETA15" s="60"/>
      <c r="ETB15" s="60"/>
      <c r="ETC15" s="60"/>
      <c r="ETD15" s="60"/>
      <c r="ETE15" s="60"/>
      <c r="ETF15" s="60"/>
      <c r="ETG15" s="60"/>
      <c r="ETH15" s="60"/>
      <c r="ETI15" s="60"/>
      <c r="ETJ15" s="60"/>
      <c r="ETK15" s="60"/>
      <c r="ETL15" s="60"/>
      <c r="ETM15" s="60"/>
      <c r="ETN15" s="60"/>
      <c r="ETO15" s="60"/>
      <c r="ETP15" s="60"/>
      <c r="ETQ15" s="60"/>
      <c r="ETR15" s="60"/>
      <c r="ETS15" s="60"/>
      <c r="ETT15" s="60"/>
      <c r="ETU15" s="60"/>
      <c r="ETV15" s="60"/>
      <c r="ETW15" s="60"/>
      <c r="ETX15" s="60"/>
      <c r="ETY15" s="60"/>
      <c r="ETZ15" s="60"/>
      <c r="EUA15" s="60"/>
      <c r="EUB15" s="60"/>
      <c r="EUC15" s="60"/>
      <c r="EUD15" s="60"/>
      <c r="EUE15" s="60"/>
      <c r="EUF15" s="60"/>
      <c r="EUG15" s="60"/>
      <c r="EUH15" s="60"/>
      <c r="EUI15" s="60"/>
      <c r="EUJ15" s="60"/>
      <c r="EUK15" s="60"/>
      <c r="EUL15" s="60"/>
      <c r="EUM15" s="60"/>
      <c r="EUN15" s="60"/>
      <c r="EUO15" s="60"/>
      <c r="EUP15" s="60"/>
      <c r="EUQ15" s="60"/>
      <c r="EUR15" s="60"/>
      <c r="EUS15" s="60"/>
      <c r="EUT15" s="60"/>
      <c r="EUU15" s="60"/>
      <c r="EUV15" s="60"/>
      <c r="EUW15" s="60"/>
      <c r="EUX15" s="60"/>
      <c r="EUY15" s="60"/>
      <c r="EUZ15" s="60"/>
      <c r="EVA15" s="60"/>
      <c r="EVB15" s="60"/>
      <c r="EVC15" s="60"/>
      <c r="EVD15" s="60"/>
      <c r="EVE15" s="60"/>
      <c r="EVF15" s="60"/>
      <c r="EVG15" s="60"/>
      <c r="EVH15" s="60"/>
      <c r="EVI15" s="60"/>
      <c r="EVJ15" s="60"/>
      <c r="EVK15" s="60"/>
      <c r="EVL15" s="60"/>
      <c r="EVM15" s="60"/>
      <c r="EVN15" s="60"/>
      <c r="EVO15" s="60"/>
      <c r="EVP15" s="60"/>
      <c r="EVQ15" s="60"/>
      <c r="EVR15" s="60"/>
      <c r="EVS15" s="60"/>
      <c r="EVT15" s="60"/>
      <c r="EVU15" s="60"/>
      <c r="EVV15" s="60"/>
      <c r="EVW15" s="60"/>
      <c r="EVX15" s="60"/>
      <c r="EVY15" s="60"/>
      <c r="EVZ15" s="60"/>
      <c r="EWA15" s="60"/>
      <c r="EWB15" s="60"/>
      <c r="EWC15" s="60"/>
      <c r="EWD15" s="60"/>
      <c r="EWE15" s="60"/>
      <c r="EWF15" s="60"/>
      <c r="EWG15" s="60"/>
      <c r="EWH15" s="60"/>
      <c r="EWI15" s="60"/>
      <c r="EWJ15" s="60"/>
      <c r="EWK15" s="60"/>
      <c r="EWL15" s="60"/>
      <c r="EWM15" s="60"/>
      <c r="EWN15" s="60"/>
      <c r="EWO15" s="60"/>
      <c r="EWP15" s="60"/>
      <c r="EWQ15" s="60"/>
      <c r="EWR15" s="60"/>
      <c r="EWS15" s="60"/>
      <c r="EWT15" s="60"/>
      <c r="EWU15" s="60"/>
      <c r="EWV15" s="60"/>
      <c r="EWW15" s="60"/>
      <c r="EWX15" s="60"/>
      <c r="EWY15" s="60"/>
      <c r="EWZ15" s="60"/>
      <c r="EXA15" s="60"/>
      <c r="EXB15" s="60"/>
      <c r="EXC15" s="60"/>
      <c r="EXD15" s="60"/>
      <c r="EXE15" s="60"/>
      <c r="EXF15" s="60"/>
      <c r="EXG15" s="60"/>
      <c r="EXH15" s="60"/>
      <c r="EXI15" s="60"/>
      <c r="EXJ15" s="60"/>
      <c r="EXK15" s="60"/>
      <c r="EXL15" s="60"/>
      <c r="EXM15" s="60"/>
      <c r="EXN15" s="60"/>
      <c r="EXO15" s="60"/>
      <c r="EXP15" s="60"/>
      <c r="EXQ15" s="60"/>
      <c r="EXR15" s="60"/>
      <c r="EXS15" s="60"/>
      <c r="EXT15" s="60"/>
      <c r="EXU15" s="60"/>
      <c r="EXV15" s="60"/>
      <c r="EXW15" s="60"/>
      <c r="EXX15" s="60"/>
      <c r="EXY15" s="60"/>
      <c r="EXZ15" s="60"/>
      <c r="EYA15" s="60"/>
      <c r="EYB15" s="60"/>
      <c r="EYC15" s="60"/>
      <c r="EYD15" s="60"/>
      <c r="EYE15" s="60"/>
      <c r="EYF15" s="60"/>
      <c r="EYG15" s="60"/>
      <c r="EYH15" s="60"/>
      <c r="EYI15" s="60"/>
      <c r="EYJ15" s="60"/>
      <c r="EYK15" s="60"/>
      <c r="EYL15" s="60"/>
      <c r="EYM15" s="60"/>
      <c r="EYN15" s="60"/>
      <c r="EYO15" s="60"/>
      <c r="EYP15" s="60"/>
      <c r="EYQ15" s="60"/>
      <c r="EYR15" s="60"/>
      <c r="EYS15" s="60"/>
      <c r="EYT15" s="60"/>
      <c r="EYU15" s="60"/>
      <c r="EYV15" s="60"/>
      <c r="EYW15" s="60"/>
      <c r="EYX15" s="60"/>
      <c r="EYY15" s="60"/>
      <c r="EYZ15" s="60"/>
      <c r="EZA15" s="60"/>
      <c r="EZB15" s="60"/>
      <c r="EZC15" s="60"/>
      <c r="EZD15" s="60"/>
      <c r="EZE15" s="60"/>
      <c r="EZF15" s="60"/>
      <c r="EZG15" s="60"/>
      <c r="EZH15" s="60"/>
      <c r="EZI15" s="60"/>
      <c r="EZJ15" s="60"/>
      <c r="EZK15" s="60"/>
      <c r="EZL15" s="60"/>
      <c r="EZM15" s="60"/>
      <c r="EZN15" s="60"/>
      <c r="EZO15" s="60"/>
      <c r="EZP15" s="60"/>
      <c r="EZQ15" s="60"/>
      <c r="EZR15" s="60"/>
      <c r="EZS15" s="60"/>
      <c r="EZT15" s="60"/>
      <c r="EZU15" s="60"/>
      <c r="EZV15" s="60"/>
      <c r="EZW15" s="60"/>
      <c r="EZX15" s="60"/>
      <c r="EZY15" s="60"/>
      <c r="EZZ15" s="60"/>
      <c r="FAA15" s="60"/>
      <c r="FAB15" s="60"/>
      <c r="FAC15" s="60"/>
      <c r="FAD15" s="60"/>
      <c r="FAE15" s="60"/>
      <c r="FAF15" s="60"/>
      <c r="FAG15" s="60"/>
      <c r="FAH15" s="60"/>
      <c r="FAI15" s="60"/>
      <c r="FAJ15" s="60"/>
      <c r="FAK15" s="60"/>
      <c r="FAL15" s="60"/>
      <c r="FAM15" s="60"/>
      <c r="FAN15" s="60"/>
      <c r="FAO15" s="60"/>
      <c r="FAP15" s="60"/>
      <c r="FAQ15" s="60"/>
      <c r="FAR15" s="60"/>
      <c r="FAS15" s="60"/>
      <c r="FAT15" s="60"/>
      <c r="FAU15" s="60"/>
      <c r="FAV15" s="60"/>
      <c r="FAW15" s="60"/>
      <c r="FAX15" s="60"/>
      <c r="FAY15" s="60"/>
      <c r="FAZ15" s="60"/>
      <c r="FBA15" s="60"/>
      <c r="FBB15" s="60"/>
      <c r="FBC15" s="60"/>
      <c r="FBD15" s="60"/>
      <c r="FBE15" s="60"/>
      <c r="FBF15" s="60"/>
      <c r="FBG15" s="60"/>
      <c r="FBH15" s="60"/>
      <c r="FBI15" s="60"/>
      <c r="FBJ15" s="60"/>
      <c r="FBK15" s="60"/>
      <c r="FBL15" s="60"/>
      <c r="FBM15" s="60"/>
      <c r="FBN15" s="60"/>
      <c r="FBO15" s="60"/>
      <c r="FBP15" s="60"/>
      <c r="FBQ15" s="60"/>
      <c r="FBR15" s="60"/>
      <c r="FBS15" s="60"/>
      <c r="FBT15" s="60"/>
      <c r="FBU15" s="60"/>
      <c r="FBV15" s="60"/>
      <c r="FBW15" s="60"/>
      <c r="FBX15" s="60"/>
      <c r="FBY15" s="60"/>
      <c r="FBZ15" s="60"/>
      <c r="FCA15" s="60"/>
      <c r="FCB15" s="60"/>
      <c r="FCC15" s="60"/>
      <c r="FCD15" s="60"/>
      <c r="FCE15" s="60"/>
      <c r="FCF15" s="60"/>
      <c r="FCG15" s="60"/>
      <c r="FCH15" s="60"/>
      <c r="FCI15" s="60"/>
      <c r="FCJ15" s="60"/>
      <c r="FCK15" s="60"/>
      <c r="FCL15" s="60"/>
      <c r="FCM15" s="60"/>
      <c r="FCN15" s="60"/>
      <c r="FCO15" s="60"/>
      <c r="FCP15" s="60"/>
      <c r="FCQ15" s="60"/>
      <c r="FCR15" s="60"/>
      <c r="FCS15" s="60"/>
      <c r="FCT15" s="60"/>
      <c r="FCU15" s="60"/>
      <c r="FCV15" s="60"/>
      <c r="FCW15" s="60"/>
      <c r="FCX15" s="60"/>
      <c r="FCY15" s="60"/>
      <c r="FCZ15" s="60"/>
      <c r="FDA15" s="60"/>
      <c r="FDB15" s="60"/>
      <c r="FDC15" s="60"/>
      <c r="FDD15" s="60"/>
      <c r="FDE15" s="60"/>
      <c r="FDF15" s="60"/>
      <c r="FDG15" s="60"/>
      <c r="FDH15" s="60"/>
      <c r="FDI15" s="60"/>
      <c r="FDJ15" s="60"/>
      <c r="FDK15" s="60"/>
      <c r="FDL15" s="60"/>
      <c r="FDM15" s="60"/>
      <c r="FDN15" s="60"/>
      <c r="FDO15" s="60"/>
      <c r="FDP15" s="60"/>
      <c r="FDQ15" s="60"/>
      <c r="FDR15" s="60"/>
      <c r="FDS15" s="60"/>
      <c r="FDT15" s="60"/>
      <c r="FDU15" s="60"/>
      <c r="FDV15" s="60"/>
      <c r="FDW15" s="60"/>
      <c r="FDX15" s="60"/>
      <c r="FDY15" s="60"/>
      <c r="FDZ15" s="60"/>
      <c r="FEA15" s="60"/>
      <c r="FEB15" s="60"/>
      <c r="FEC15" s="60"/>
      <c r="FED15" s="60"/>
      <c r="FEE15" s="60"/>
      <c r="FEF15" s="60"/>
      <c r="FEG15" s="60"/>
      <c r="FEH15" s="60"/>
      <c r="FEI15" s="60"/>
      <c r="FEJ15" s="60"/>
      <c r="FEK15" s="60"/>
      <c r="FEL15" s="60"/>
      <c r="FEM15" s="60"/>
      <c r="FEN15" s="60"/>
      <c r="FEO15" s="60"/>
      <c r="FEP15" s="60"/>
      <c r="FEQ15" s="60"/>
      <c r="FER15" s="60"/>
      <c r="FES15" s="60"/>
      <c r="FET15" s="60"/>
      <c r="FEU15" s="60"/>
      <c r="FEV15" s="60"/>
      <c r="FEW15" s="60"/>
      <c r="FEX15" s="60"/>
      <c r="FEY15" s="60"/>
      <c r="FEZ15" s="60"/>
      <c r="FFA15" s="60"/>
      <c r="FFB15" s="60"/>
      <c r="FFC15" s="60"/>
      <c r="FFD15" s="60"/>
      <c r="FFE15" s="60"/>
      <c r="FFF15" s="60"/>
      <c r="FFG15" s="60"/>
      <c r="FFH15" s="60"/>
      <c r="FFI15" s="60"/>
      <c r="FFJ15" s="60"/>
      <c r="FFK15" s="60"/>
      <c r="FFL15" s="60"/>
      <c r="FFM15" s="60"/>
      <c r="FFN15" s="60"/>
      <c r="FFO15" s="60"/>
      <c r="FFP15" s="60"/>
      <c r="FFQ15" s="60"/>
      <c r="FFR15" s="60"/>
      <c r="FFS15" s="60"/>
      <c r="FFT15" s="60"/>
      <c r="FFU15" s="60"/>
      <c r="FFV15" s="60"/>
      <c r="FFW15" s="60"/>
      <c r="FFX15" s="60"/>
      <c r="FFY15" s="60"/>
      <c r="FFZ15" s="60"/>
      <c r="FGA15" s="60"/>
      <c r="FGB15" s="60"/>
      <c r="FGC15" s="60"/>
      <c r="FGD15" s="60"/>
      <c r="FGE15" s="60"/>
      <c r="FGF15" s="60"/>
      <c r="FGG15" s="60"/>
      <c r="FGH15" s="60"/>
      <c r="FGI15" s="60"/>
      <c r="FGJ15" s="60"/>
      <c r="FGK15" s="60"/>
      <c r="FGL15" s="60"/>
      <c r="FGM15" s="60"/>
      <c r="FGN15" s="60"/>
      <c r="FGO15" s="60"/>
      <c r="FGP15" s="60"/>
      <c r="FGQ15" s="60"/>
      <c r="FGR15" s="60"/>
      <c r="FGS15" s="60"/>
      <c r="FGT15" s="60"/>
      <c r="FGU15" s="60"/>
      <c r="FGV15" s="60"/>
      <c r="FGW15" s="60"/>
      <c r="FGX15" s="60"/>
      <c r="FGY15" s="60"/>
      <c r="FGZ15" s="60"/>
      <c r="FHA15" s="60"/>
      <c r="FHB15" s="60"/>
      <c r="FHC15" s="60"/>
      <c r="FHD15" s="60"/>
      <c r="FHE15" s="60"/>
      <c r="FHF15" s="60"/>
      <c r="FHG15" s="60"/>
      <c r="FHH15" s="60"/>
      <c r="FHI15" s="60"/>
      <c r="FHJ15" s="60"/>
      <c r="FHK15" s="60"/>
      <c r="FHL15" s="60"/>
      <c r="FHM15" s="60"/>
      <c r="FHN15" s="60"/>
      <c r="FHO15" s="60"/>
      <c r="FHP15" s="60"/>
      <c r="FHQ15" s="60"/>
      <c r="FHR15" s="60"/>
      <c r="FHS15" s="60"/>
      <c r="FHT15" s="60"/>
      <c r="FHU15" s="60"/>
      <c r="FHV15" s="60"/>
      <c r="FHW15" s="60"/>
      <c r="FHX15" s="60"/>
      <c r="FHY15" s="60"/>
      <c r="FHZ15" s="60"/>
      <c r="FIA15" s="60"/>
      <c r="FIB15" s="60"/>
      <c r="FIC15" s="60"/>
      <c r="FID15" s="60"/>
      <c r="FIE15" s="60"/>
      <c r="FIF15" s="60"/>
      <c r="FIG15" s="60"/>
      <c r="FIH15" s="60"/>
      <c r="FII15" s="60"/>
      <c r="FIJ15" s="60"/>
      <c r="FIK15" s="60"/>
      <c r="FIL15" s="60"/>
      <c r="FIM15" s="60"/>
      <c r="FIN15" s="60"/>
      <c r="FIO15" s="60"/>
      <c r="FIP15" s="60"/>
      <c r="FIQ15" s="60"/>
      <c r="FIR15" s="60"/>
      <c r="FIS15" s="60"/>
      <c r="FIT15" s="60"/>
      <c r="FIU15" s="60"/>
      <c r="FIV15" s="60"/>
      <c r="FIW15" s="60"/>
      <c r="FIX15" s="60"/>
      <c r="FIY15" s="60"/>
      <c r="FIZ15" s="60"/>
      <c r="FJA15" s="60"/>
      <c r="FJB15" s="60"/>
      <c r="FJC15" s="60"/>
      <c r="FJD15" s="60"/>
      <c r="FJE15" s="60"/>
      <c r="FJF15" s="60"/>
      <c r="FJG15" s="60"/>
      <c r="FJH15" s="60"/>
      <c r="FJI15" s="60"/>
      <c r="FJJ15" s="60"/>
      <c r="FJK15" s="60"/>
      <c r="FJL15" s="60"/>
      <c r="FJM15" s="60"/>
      <c r="FJN15" s="60"/>
      <c r="FJO15" s="60"/>
      <c r="FJP15" s="60"/>
      <c r="FJQ15" s="60"/>
      <c r="FJR15" s="60"/>
      <c r="FJS15" s="60"/>
      <c r="FJT15" s="60"/>
      <c r="FJU15" s="60"/>
      <c r="FJV15" s="60"/>
      <c r="FJW15" s="60"/>
      <c r="FJX15" s="60"/>
      <c r="FJY15" s="60"/>
      <c r="FJZ15" s="60"/>
      <c r="FKA15" s="60"/>
      <c r="FKB15" s="60"/>
      <c r="FKC15" s="60"/>
      <c r="FKD15" s="60"/>
      <c r="FKE15" s="60"/>
      <c r="FKF15" s="60"/>
      <c r="FKG15" s="60"/>
      <c r="FKH15" s="60"/>
      <c r="FKI15" s="60"/>
      <c r="FKJ15" s="60"/>
      <c r="FKK15" s="60"/>
      <c r="FKL15" s="60"/>
      <c r="FKM15" s="60"/>
      <c r="FKN15" s="60"/>
      <c r="FKO15" s="60"/>
      <c r="FKP15" s="60"/>
      <c r="FKQ15" s="60"/>
      <c r="FKR15" s="60"/>
      <c r="FKS15" s="60"/>
      <c r="FKT15" s="60"/>
      <c r="FKU15" s="60"/>
      <c r="FKV15" s="60"/>
      <c r="FKW15" s="60"/>
      <c r="FKX15" s="60"/>
      <c r="FKY15" s="60"/>
      <c r="FKZ15" s="60"/>
      <c r="FLA15" s="60"/>
      <c r="FLB15" s="60"/>
      <c r="FLC15" s="60"/>
      <c r="FLD15" s="60"/>
      <c r="FLE15" s="60"/>
      <c r="FLF15" s="60"/>
      <c r="FLG15" s="60"/>
      <c r="FLH15" s="60"/>
      <c r="FLI15" s="60"/>
      <c r="FLJ15" s="60"/>
      <c r="FLK15" s="60"/>
      <c r="FLL15" s="60"/>
      <c r="FLM15" s="60"/>
      <c r="FLN15" s="60"/>
      <c r="FLO15" s="60"/>
      <c r="FLP15" s="60"/>
      <c r="FLQ15" s="60"/>
      <c r="FLR15" s="60"/>
      <c r="FLS15" s="60"/>
      <c r="FLT15" s="60"/>
      <c r="FLU15" s="60"/>
      <c r="FLV15" s="60"/>
      <c r="FLW15" s="60"/>
      <c r="FLX15" s="60"/>
      <c r="FLY15" s="60"/>
      <c r="FLZ15" s="60"/>
      <c r="FMA15" s="60"/>
      <c r="FMB15" s="60"/>
      <c r="FMC15" s="60"/>
      <c r="FMD15" s="60"/>
      <c r="FME15" s="60"/>
      <c r="FMF15" s="60"/>
      <c r="FMG15" s="60"/>
      <c r="FMH15" s="60"/>
      <c r="FMI15" s="60"/>
      <c r="FMJ15" s="60"/>
      <c r="FMK15" s="60"/>
      <c r="FML15" s="60"/>
      <c r="FMM15" s="60"/>
      <c r="FMN15" s="60"/>
      <c r="FMO15" s="60"/>
      <c r="FMP15" s="60"/>
      <c r="FMQ15" s="60"/>
      <c r="FMR15" s="60"/>
      <c r="FMS15" s="60"/>
      <c r="FMT15" s="60"/>
      <c r="FMU15" s="60"/>
      <c r="FMV15" s="60"/>
      <c r="FMW15" s="60"/>
      <c r="FMX15" s="60"/>
      <c r="FMY15" s="60"/>
      <c r="FMZ15" s="60"/>
      <c r="FNA15" s="60"/>
      <c r="FNB15" s="60"/>
      <c r="FNC15" s="60"/>
      <c r="FND15" s="60"/>
      <c r="FNE15" s="60"/>
      <c r="FNF15" s="60"/>
      <c r="FNG15" s="60"/>
      <c r="FNH15" s="60"/>
      <c r="FNI15" s="60"/>
      <c r="FNJ15" s="60"/>
      <c r="FNK15" s="60"/>
      <c r="FNL15" s="60"/>
      <c r="FNM15" s="60"/>
      <c r="FNN15" s="60"/>
      <c r="FNO15" s="60"/>
      <c r="FNP15" s="60"/>
      <c r="FNQ15" s="60"/>
      <c r="FNR15" s="60"/>
      <c r="FNS15" s="60"/>
      <c r="FNT15" s="60"/>
      <c r="FNU15" s="60"/>
      <c r="FNV15" s="60"/>
      <c r="FNW15" s="60"/>
      <c r="FNX15" s="60"/>
      <c r="FNY15" s="60"/>
      <c r="FNZ15" s="60"/>
      <c r="FOA15" s="60"/>
      <c r="FOB15" s="60"/>
      <c r="FOC15" s="60"/>
      <c r="FOD15" s="60"/>
      <c r="FOE15" s="60"/>
      <c r="FOF15" s="60"/>
      <c r="FOG15" s="60"/>
      <c r="FOH15" s="60"/>
      <c r="FOI15" s="60"/>
      <c r="FOJ15" s="60"/>
      <c r="FOK15" s="60"/>
      <c r="FOL15" s="60"/>
      <c r="FOM15" s="60"/>
      <c r="FON15" s="60"/>
      <c r="FOO15" s="60"/>
      <c r="FOP15" s="60"/>
      <c r="FOQ15" s="60"/>
      <c r="FOR15" s="60"/>
      <c r="FOS15" s="60"/>
      <c r="FOT15" s="60"/>
      <c r="FOU15" s="60"/>
      <c r="FOV15" s="60"/>
      <c r="FOW15" s="60"/>
      <c r="FOX15" s="60"/>
      <c r="FOY15" s="60"/>
      <c r="FOZ15" s="60"/>
      <c r="FPA15" s="60"/>
      <c r="FPB15" s="60"/>
      <c r="FPC15" s="60"/>
      <c r="FPD15" s="60"/>
      <c r="FPE15" s="60"/>
      <c r="FPF15" s="60"/>
      <c r="FPG15" s="60"/>
      <c r="FPH15" s="60"/>
      <c r="FPI15" s="60"/>
      <c r="FPJ15" s="60"/>
      <c r="FPK15" s="60"/>
      <c r="FPL15" s="60"/>
      <c r="FPM15" s="60"/>
      <c r="FPN15" s="60"/>
      <c r="FPO15" s="60"/>
      <c r="FPP15" s="60"/>
      <c r="FPQ15" s="60"/>
      <c r="FPR15" s="60"/>
      <c r="FPS15" s="60"/>
      <c r="FPT15" s="60"/>
      <c r="FPU15" s="60"/>
      <c r="FPV15" s="60"/>
      <c r="FPW15" s="60"/>
      <c r="FPX15" s="60"/>
      <c r="FPY15" s="60"/>
      <c r="FPZ15" s="60"/>
      <c r="FQA15" s="60"/>
      <c r="FQB15" s="60"/>
      <c r="FQC15" s="60"/>
      <c r="FQD15" s="60"/>
      <c r="FQE15" s="60"/>
      <c r="FQF15" s="60"/>
      <c r="FQG15" s="60"/>
      <c r="FQH15" s="60"/>
      <c r="FQI15" s="60"/>
      <c r="FQJ15" s="60"/>
      <c r="FQK15" s="60"/>
      <c r="FQL15" s="60"/>
      <c r="FQM15" s="60"/>
      <c r="FQN15" s="60"/>
      <c r="FQO15" s="60"/>
      <c r="FQP15" s="60"/>
      <c r="FQQ15" s="60"/>
      <c r="FQR15" s="60"/>
      <c r="FQS15" s="60"/>
      <c r="FQT15" s="60"/>
      <c r="FQU15" s="60"/>
      <c r="FQV15" s="60"/>
      <c r="FQW15" s="60"/>
      <c r="FQX15" s="60"/>
      <c r="FQY15" s="60"/>
      <c r="FQZ15" s="60"/>
      <c r="FRA15" s="60"/>
      <c r="FRB15" s="60"/>
      <c r="FRC15" s="60"/>
      <c r="FRD15" s="60"/>
      <c r="FRE15" s="60"/>
      <c r="FRF15" s="60"/>
      <c r="FRG15" s="60"/>
      <c r="FRH15" s="60"/>
      <c r="FRI15" s="60"/>
      <c r="FRJ15" s="60"/>
      <c r="FRK15" s="60"/>
      <c r="FRL15" s="60"/>
      <c r="FRM15" s="60"/>
      <c r="FRN15" s="60"/>
      <c r="FRO15" s="60"/>
      <c r="FRP15" s="60"/>
      <c r="FRQ15" s="60"/>
      <c r="FRR15" s="60"/>
      <c r="FRS15" s="60"/>
      <c r="FRT15" s="60"/>
      <c r="FRU15" s="60"/>
      <c r="FRV15" s="60"/>
      <c r="FRW15" s="60"/>
      <c r="FRX15" s="60"/>
      <c r="FRY15" s="60"/>
      <c r="FRZ15" s="60"/>
      <c r="FSA15" s="60"/>
      <c r="FSB15" s="60"/>
      <c r="FSC15" s="60"/>
      <c r="FSD15" s="60"/>
      <c r="FSE15" s="60"/>
      <c r="FSF15" s="60"/>
      <c r="FSG15" s="60"/>
      <c r="FSH15" s="60"/>
      <c r="FSI15" s="60"/>
      <c r="FSJ15" s="60"/>
      <c r="FSK15" s="60"/>
      <c r="FSL15" s="60"/>
      <c r="FSM15" s="60"/>
      <c r="FSN15" s="60"/>
      <c r="FSO15" s="60"/>
      <c r="FSP15" s="60"/>
      <c r="FSQ15" s="60"/>
      <c r="FSR15" s="60"/>
      <c r="FSS15" s="60"/>
      <c r="FST15" s="60"/>
      <c r="FSU15" s="60"/>
      <c r="FSV15" s="60"/>
      <c r="FSW15" s="60"/>
      <c r="FSX15" s="60"/>
      <c r="FSY15" s="60"/>
      <c r="FSZ15" s="60"/>
      <c r="FTA15" s="60"/>
      <c r="FTB15" s="60"/>
      <c r="FTC15" s="60"/>
      <c r="FTD15" s="60"/>
      <c r="FTE15" s="60"/>
      <c r="FTF15" s="60"/>
      <c r="FTG15" s="60"/>
      <c r="FTH15" s="60"/>
      <c r="FTI15" s="60"/>
      <c r="FTJ15" s="60"/>
      <c r="FTK15" s="60"/>
      <c r="FTL15" s="60"/>
      <c r="FTM15" s="60"/>
      <c r="FTN15" s="60"/>
      <c r="FTO15" s="60"/>
      <c r="FTP15" s="60"/>
      <c r="FTQ15" s="60"/>
      <c r="FTR15" s="60"/>
      <c r="FTS15" s="60"/>
      <c r="FTT15" s="60"/>
      <c r="FTU15" s="60"/>
      <c r="FTV15" s="60"/>
      <c r="FTW15" s="60"/>
      <c r="FTX15" s="60"/>
      <c r="FTY15" s="60"/>
      <c r="FTZ15" s="60"/>
      <c r="FUA15" s="60"/>
      <c r="FUB15" s="60"/>
      <c r="FUC15" s="60"/>
      <c r="FUD15" s="60"/>
      <c r="FUE15" s="60"/>
      <c r="FUF15" s="60"/>
      <c r="FUG15" s="60"/>
      <c r="FUH15" s="60"/>
      <c r="FUI15" s="60"/>
      <c r="FUJ15" s="60"/>
      <c r="FUK15" s="60"/>
      <c r="FUL15" s="60"/>
      <c r="FUM15" s="60"/>
      <c r="FUN15" s="60"/>
      <c r="FUO15" s="60"/>
      <c r="FUP15" s="60"/>
      <c r="FUQ15" s="60"/>
      <c r="FUR15" s="60"/>
      <c r="FUS15" s="60"/>
      <c r="FUT15" s="60"/>
      <c r="FUU15" s="60"/>
      <c r="FUV15" s="60"/>
      <c r="FUW15" s="60"/>
      <c r="FUX15" s="60"/>
      <c r="FUY15" s="60"/>
      <c r="FUZ15" s="60"/>
      <c r="FVA15" s="60"/>
      <c r="FVB15" s="60"/>
      <c r="FVC15" s="60"/>
      <c r="FVD15" s="60"/>
      <c r="FVE15" s="60"/>
      <c r="FVF15" s="60"/>
      <c r="FVG15" s="60"/>
      <c r="FVH15" s="60"/>
      <c r="FVI15" s="60"/>
      <c r="FVJ15" s="60"/>
      <c r="FVK15" s="60"/>
      <c r="FVL15" s="60"/>
      <c r="FVM15" s="60"/>
      <c r="FVN15" s="60"/>
      <c r="FVO15" s="60"/>
      <c r="FVP15" s="60"/>
      <c r="FVQ15" s="60"/>
      <c r="FVR15" s="60"/>
      <c r="FVS15" s="60"/>
      <c r="FVT15" s="60"/>
      <c r="FVU15" s="60"/>
      <c r="FVV15" s="60"/>
      <c r="FVW15" s="60"/>
      <c r="FVX15" s="60"/>
      <c r="FVY15" s="60"/>
      <c r="FVZ15" s="60"/>
      <c r="FWA15" s="60"/>
      <c r="FWB15" s="60"/>
      <c r="FWC15" s="60"/>
      <c r="FWD15" s="60"/>
      <c r="FWE15" s="60"/>
      <c r="FWF15" s="60"/>
      <c r="FWG15" s="60"/>
      <c r="FWH15" s="60"/>
      <c r="FWI15" s="60"/>
      <c r="FWJ15" s="60"/>
      <c r="FWK15" s="60"/>
      <c r="FWL15" s="60"/>
      <c r="FWM15" s="60"/>
      <c r="FWN15" s="60"/>
      <c r="FWO15" s="60"/>
      <c r="FWP15" s="60"/>
      <c r="FWQ15" s="60"/>
      <c r="FWR15" s="60"/>
      <c r="FWS15" s="60"/>
      <c r="FWT15" s="60"/>
      <c r="FWU15" s="60"/>
      <c r="FWV15" s="60"/>
      <c r="FWW15" s="60"/>
      <c r="FWX15" s="60"/>
      <c r="FWY15" s="60"/>
      <c r="FWZ15" s="60"/>
      <c r="FXA15" s="60"/>
      <c r="FXB15" s="60"/>
      <c r="FXC15" s="60"/>
      <c r="FXD15" s="60"/>
      <c r="FXE15" s="60"/>
      <c r="FXF15" s="60"/>
      <c r="FXG15" s="60"/>
      <c r="FXH15" s="60"/>
      <c r="FXI15" s="60"/>
      <c r="FXJ15" s="60"/>
      <c r="FXK15" s="60"/>
      <c r="FXL15" s="60"/>
      <c r="FXM15" s="60"/>
      <c r="FXN15" s="60"/>
      <c r="FXO15" s="60"/>
      <c r="FXP15" s="60"/>
      <c r="FXQ15" s="60"/>
      <c r="FXR15" s="60"/>
      <c r="FXS15" s="60"/>
      <c r="FXT15" s="60"/>
      <c r="FXU15" s="60"/>
      <c r="FXV15" s="60"/>
      <c r="FXW15" s="60"/>
      <c r="FXX15" s="60"/>
      <c r="FXY15" s="60"/>
      <c r="FXZ15" s="60"/>
      <c r="FYA15" s="60"/>
      <c r="FYB15" s="60"/>
      <c r="FYC15" s="60"/>
      <c r="FYD15" s="60"/>
      <c r="FYE15" s="60"/>
      <c r="FYF15" s="60"/>
      <c r="FYG15" s="60"/>
      <c r="FYH15" s="60"/>
      <c r="FYI15" s="60"/>
      <c r="FYJ15" s="60"/>
      <c r="FYK15" s="60"/>
      <c r="FYL15" s="60"/>
      <c r="FYM15" s="60"/>
      <c r="FYN15" s="60"/>
      <c r="FYO15" s="60"/>
      <c r="FYP15" s="60"/>
      <c r="FYQ15" s="60"/>
      <c r="FYR15" s="60"/>
      <c r="FYS15" s="60"/>
      <c r="FYT15" s="60"/>
      <c r="FYU15" s="60"/>
      <c r="FYV15" s="60"/>
      <c r="FYW15" s="60"/>
      <c r="FYX15" s="60"/>
      <c r="FYY15" s="60"/>
      <c r="FYZ15" s="60"/>
      <c r="FZA15" s="60"/>
      <c r="FZB15" s="60"/>
      <c r="FZC15" s="60"/>
      <c r="FZD15" s="60"/>
      <c r="FZE15" s="60"/>
      <c r="FZF15" s="60"/>
      <c r="FZG15" s="60"/>
      <c r="FZH15" s="60"/>
      <c r="FZI15" s="60"/>
      <c r="FZJ15" s="60"/>
      <c r="FZK15" s="60"/>
      <c r="FZL15" s="60"/>
      <c r="FZM15" s="60"/>
      <c r="FZN15" s="60"/>
      <c r="FZO15" s="60"/>
      <c r="FZP15" s="60"/>
      <c r="FZQ15" s="60"/>
      <c r="FZR15" s="60"/>
      <c r="FZS15" s="60"/>
      <c r="FZT15" s="60"/>
      <c r="FZU15" s="60"/>
      <c r="FZV15" s="60"/>
      <c r="FZW15" s="60"/>
      <c r="FZX15" s="60"/>
      <c r="FZY15" s="60"/>
      <c r="FZZ15" s="60"/>
      <c r="GAA15" s="60"/>
      <c r="GAB15" s="60"/>
      <c r="GAC15" s="60"/>
      <c r="GAD15" s="60"/>
      <c r="GAE15" s="60"/>
      <c r="GAF15" s="60"/>
      <c r="GAG15" s="60"/>
      <c r="GAH15" s="60"/>
      <c r="GAI15" s="60"/>
      <c r="GAJ15" s="60"/>
      <c r="GAK15" s="60"/>
      <c r="GAL15" s="60"/>
      <c r="GAM15" s="60"/>
      <c r="GAN15" s="60"/>
      <c r="GAO15" s="60"/>
      <c r="GAP15" s="60"/>
      <c r="GAQ15" s="60"/>
      <c r="GAR15" s="60"/>
      <c r="GAS15" s="60"/>
      <c r="GAT15" s="60"/>
      <c r="GAU15" s="60"/>
      <c r="GAV15" s="60"/>
      <c r="GAW15" s="60"/>
      <c r="GAX15" s="60"/>
      <c r="GAY15" s="60"/>
      <c r="GAZ15" s="60"/>
      <c r="GBA15" s="60"/>
      <c r="GBB15" s="60"/>
      <c r="GBC15" s="60"/>
      <c r="GBD15" s="60"/>
      <c r="GBE15" s="60"/>
      <c r="GBF15" s="60"/>
      <c r="GBG15" s="60"/>
      <c r="GBH15" s="60"/>
      <c r="GBI15" s="60"/>
      <c r="GBJ15" s="60"/>
      <c r="GBK15" s="60"/>
      <c r="GBL15" s="60"/>
      <c r="GBM15" s="60"/>
      <c r="GBN15" s="60"/>
      <c r="GBO15" s="60"/>
      <c r="GBP15" s="60"/>
      <c r="GBQ15" s="60"/>
      <c r="GBR15" s="60"/>
      <c r="GBS15" s="60"/>
      <c r="GBT15" s="60"/>
      <c r="GBU15" s="60"/>
      <c r="GBV15" s="60"/>
      <c r="GBW15" s="60"/>
      <c r="GBX15" s="60"/>
      <c r="GBY15" s="60"/>
      <c r="GBZ15" s="60"/>
      <c r="GCA15" s="60"/>
      <c r="GCB15" s="60"/>
      <c r="GCC15" s="60"/>
      <c r="GCD15" s="60"/>
      <c r="GCE15" s="60"/>
      <c r="GCF15" s="60"/>
      <c r="GCG15" s="60"/>
      <c r="GCH15" s="60"/>
      <c r="GCI15" s="60"/>
      <c r="GCJ15" s="60"/>
      <c r="GCK15" s="60"/>
      <c r="GCL15" s="60"/>
      <c r="GCM15" s="60"/>
      <c r="GCN15" s="60"/>
      <c r="GCO15" s="60"/>
      <c r="GCP15" s="60"/>
      <c r="GCQ15" s="60"/>
      <c r="GCR15" s="60"/>
      <c r="GCS15" s="60"/>
      <c r="GCT15" s="60"/>
      <c r="GCU15" s="60"/>
      <c r="GCV15" s="60"/>
      <c r="GCW15" s="60"/>
      <c r="GCX15" s="60"/>
      <c r="GCY15" s="60"/>
      <c r="GCZ15" s="60"/>
      <c r="GDA15" s="60"/>
      <c r="GDB15" s="60"/>
      <c r="GDC15" s="60"/>
      <c r="GDD15" s="60"/>
      <c r="GDE15" s="60"/>
      <c r="GDF15" s="60"/>
      <c r="GDG15" s="60"/>
      <c r="GDH15" s="60"/>
      <c r="GDI15" s="60"/>
      <c r="GDJ15" s="60"/>
      <c r="GDK15" s="60"/>
      <c r="GDL15" s="60"/>
      <c r="GDM15" s="60"/>
      <c r="GDN15" s="60"/>
      <c r="GDO15" s="60"/>
      <c r="GDP15" s="60"/>
      <c r="GDQ15" s="60"/>
      <c r="GDR15" s="60"/>
      <c r="GDS15" s="60"/>
      <c r="GDT15" s="60"/>
      <c r="GDU15" s="60"/>
      <c r="GDV15" s="60"/>
      <c r="GDW15" s="60"/>
      <c r="GDX15" s="60"/>
      <c r="GDY15" s="60"/>
      <c r="GDZ15" s="60"/>
      <c r="GEA15" s="60"/>
      <c r="GEB15" s="60"/>
      <c r="GEC15" s="60"/>
      <c r="GED15" s="60"/>
      <c r="GEE15" s="60"/>
      <c r="GEF15" s="60"/>
      <c r="GEG15" s="60"/>
      <c r="GEH15" s="60"/>
      <c r="GEI15" s="60"/>
      <c r="GEJ15" s="60"/>
      <c r="GEK15" s="60"/>
      <c r="GEL15" s="60"/>
      <c r="GEM15" s="60"/>
      <c r="GEN15" s="60"/>
      <c r="GEO15" s="60"/>
      <c r="GEP15" s="60"/>
      <c r="GEQ15" s="60"/>
      <c r="GER15" s="60"/>
      <c r="GES15" s="60"/>
      <c r="GET15" s="60"/>
      <c r="GEU15" s="60"/>
      <c r="GEV15" s="60"/>
      <c r="GEW15" s="60"/>
      <c r="GEX15" s="60"/>
      <c r="GEY15" s="60"/>
      <c r="GEZ15" s="60"/>
      <c r="GFA15" s="60"/>
      <c r="GFB15" s="60"/>
      <c r="GFC15" s="60"/>
      <c r="GFD15" s="60"/>
      <c r="GFE15" s="60"/>
      <c r="GFF15" s="60"/>
      <c r="GFG15" s="60"/>
      <c r="GFH15" s="60"/>
      <c r="GFI15" s="60"/>
      <c r="GFJ15" s="60"/>
      <c r="GFK15" s="60"/>
      <c r="GFL15" s="60"/>
      <c r="GFM15" s="60"/>
      <c r="GFN15" s="60"/>
      <c r="GFO15" s="60"/>
      <c r="GFP15" s="60"/>
      <c r="GFQ15" s="60"/>
      <c r="GFR15" s="60"/>
      <c r="GFS15" s="60"/>
      <c r="GFT15" s="60"/>
      <c r="GFU15" s="60"/>
      <c r="GFV15" s="60"/>
      <c r="GFW15" s="60"/>
      <c r="GFX15" s="60"/>
      <c r="GFY15" s="60"/>
      <c r="GFZ15" s="60"/>
      <c r="GGA15" s="60"/>
      <c r="GGB15" s="60"/>
      <c r="GGC15" s="60"/>
      <c r="GGD15" s="60"/>
      <c r="GGE15" s="60"/>
      <c r="GGF15" s="60"/>
      <c r="GGG15" s="60"/>
      <c r="GGH15" s="60"/>
      <c r="GGI15" s="60"/>
      <c r="GGJ15" s="60"/>
      <c r="GGK15" s="60"/>
      <c r="GGL15" s="60"/>
      <c r="GGM15" s="60"/>
      <c r="GGN15" s="60"/>
      <c r="GGO15" s="60"/>
      <c r="GGP15" s="60"/>
      <c r="GGQ15" s="60"/>
      <c r="GGR15" s="60"/>
      <c r="GGS15" s="60"/>
      <c r="GGT15" s="60"/>
      <c r="GGU15" s="60"/>
      <c r="GGV15" s="60"/>
      <c r="GGW15" s="60"/>
      <c r="GGX15" s="60"/>
      <c r="GGY15" s="60"/>
      <c r="GGZ15" s="60"/>
      <c r="GHA15" s="60"/>
      <c r="GHB15" s="60"/>
      <c r="GHC15" s="60"/>
      <c r="GHD15" s="60"/>
      <c r="GHE15" s="60"/>
      <c r="GHF15" s="60"/>
      <c r="GHG15" s="60"/>
      <c r="GHH15" s="60"/>
      <c r="GHI15" s="60"/>
      <c r="GHJ15" s="60"/>
      <c r="GHK15" s="60"/>
      <c r="GHL15" s="60"/>
      <c r="GHM15" s="60"/>
      <c r="GHN15" s="60"/>
      <c r="GHO15" s="60"/>
      <c r="GHP15" s="60"/>
      <c r="GHQ15" s="60"/>
      <c r="GHR15" s="60"/>
      <c r="GHS15" s="60"/>
      <c r="GHT15" s="60"/>
      <c r="GHU15" s="60"/>
      <c r="GHV15" s="60"/>
      <c r="GHW15" s="60"/>
      <c r="GHX15" s="60"/>
      <c r="GHY15" s="60"/>
      <c r="GHZ15" s="60"/>
      <c r="GIA15" s="60"/>
      <c r="GIB15" s="60"/>
      <c r="GIC15" s="60"/>
      <c r="GID15" s="60"/>
      <c r="GIE15" s="60"/>
      <c r="GIF15" s="60"/>
      <c r="GIG15" s="60"/>
      <c r="GIH15" s="60"/>
      <c r="GII15" s="60"/>
      <c r="GIJ15" s="60"/>
      <c r="GIK15" s="60"/>
      <c r="GIL15" s="60"/>
      <c r="GIM15" s="60"/>
      <c r="GIN15" s="60"/>
      <c r="GIO15" s="60"/>
      <c r="GIP15" s="60"/>
      <c r="GIQ15" s="60"/>
      <c r="GIR15" s="60"/>
      <c r="GIS15" s="60"/>
      <c r="GIT15" s="60"/>
      <c r="GIU15" s="60"/>
      <c r="GIV15" s="60"/>
      <c r="GIW15" s="60"/>
      <c r="GIX15" s="60"/>
      <c r="GIY15" s="60"/>
      <c r="GIZ15" s="60"/>
      <c r="GJA15" s="60"/>
      <c r="GJB15" s="60"/>
      <c r="GJC15" s="60"/>
      <c r="GJD15" s="60"/>
      <c r="GJE15" s="60"/>
      <c r="GJF15" s="60"/>
      <c r="GJG15" s="60"/>
      <c r="GJH15" s="60"/>
      <c r="GJI15" s="60"/>
      <c r="GJJ15" s="60"/>
      <c r="GJK15" s="60"/>
      <c r="GJL15" s="60"/>
      <c r="GJM15" s="60"/>
      <c r="GJN15" s="60"/>
      <c r="GJO15" s="60"/>
      <c r="GJP15" s="60"/>
      <c r="GJQ15" s="60"/>
      <c r="GJR15" s="60"/>
      <c r="GJS15" s="60"/>
      <c r="GJT15" s="60"/>
      <c r="GJU15" s="60"/>
      <c r="GJV15" s="60"/>
      <c r="GJW15" s="60"/>
      <c r="GJX15" s="60"/>
      <c r="GJY15" s="60"/>
      <c r="GJZ15" s="60"/>
      <c r="GKA15" s="60"/>
      <c r="GKB15" s="60"/>
      <c r="GKC15" s="60"/>
      <c r="GKD15" s="60"/>
      <c r="GKE15" s="60"/>
      <c r="GKF15" s="60"/>
      <c r="GKG15" s="60"/>
      <c r="GKH15" s="60"/>
      <c r="GKI15" s="60"/>
      <c r="GKJ15" s="60"/>
      <c r="GKK15" s="60"/>
      <c r="GKL15" s="60"/>
      <c r="GKM15" s="60"/>
      <c r="GKN15" s="60"/>
      <c r="GKO15" s="60"/>
      <c r="GKP15" s="60"/>
      <c r="GKQ15" s="60"/>
      <c r="GKR15" s="60"/>
      <c r="GKS15" s="60"/>
      <c r="GKT15" s="60"/>
      <c r="GKU15" s="60"/>
      <c r="GKV15" s="60"/>
      <c r="GKW15" s="60"/>
      <c r="GKX15" s="60"/>
      <c r="GKY15" s="60"/>
      <c r="GKZ15" s="60"/>
      <c r="GLA15" s="60"/>
      <c r="GLB15" s="60"/>
      <c r="GLC15" s="60"/>
      <c r="GLD15" s="60"/>
      <c r="GLE15" s="60"/>
      <c r="GLF15" s="60"/>
      <c r="GLG15" s="60"/>
      <c r="GLH15" s="60"/>
      <c r="GLI15" s="60"/>
      <c r="GLJ15" s="60"/>
      <c r="GLK15" s="60"/>
      <c r="GLL15" s="60"/>
      <c r="GLM15" s="60"/>
      <c r="GLN15" s="60"/>
      <c r="GLO15" s="60"/>
      <c r="GLP15" s="60"/>
      <c r="GLQ15" s="60"/>
      <c r="GLR15" s="60"/>
      <c r="GLS15" s="60"/>
      <c r="GLT15" s="60"/>
      <c r="GLU15" s="60"/>
      <c r="GLV15" s="60"/>
      <c r="GLW15" s="60"/>
      <c r="GLX15" s="60"/>
      <c r="GLY15" s="60"/>
      <c r="GLZ15" s="60"/>
      <c r="GMA15" s="60"/>
      <c r="GMB15" s="60"/>
      <c r="GMC15" s="60"/>
      <c r="GMD15" s="60"/>
      <c r="GME15" s="60"/>
      <c r="GMF15" s="60"/>
      <c r="GMG15" s="60"/>
      <c r="GMH15" s="60"/>
      <c r="GMI15" s="60"/>
      <c r="GMJ15" s="60"/>
      <c r="GMK15" s="60"/>
      <c r="GML15" s="60"/>
      <c r="GMM15" s="60"/>
      <c r="GMN15" s="60"/>
      <c r="GMO15" s="60"/>
      <c r="GMP15" s="60"/>
      <c r="GMQ15" s="60"/>
      <c r="GMR15" s="60"/>
      <c r="GMS15" s="60"/>
      <c r="GMT15" s="60"/>
      <c r="GMU15" s="60"/>
      <c r="GMV15" s="60"/>
      <c r="GMW15" s="60"/>
      <c r="GMX15" s="60"/>
      <c r="GMY15" s="60"/>
      <c r="GMZ15" s="60"/>
      <c r="GNA15" s="60"/>
      <c r="GNB15" s="60"/>
      <c r="GNC15" s="60"/>
      <c r="GND15" s="60"/>
      <c r="GNE15" s="60"/>
      <c r="GNF15" s="60"/>
      <c r="GNG15" s="60"/>
      <c r="GNH15" s="60"/>
      <c r="GNI15" s="60"/>
      <c r="GNJ15" s="60"/>
      <c r="GNK15" s="60"/>
      <c r="GNL15" s="60"/>
      <c r="GNM15" s="60"/>
      <c r="GNN15" s="60"/>
      <c r="GNO15" s="60"/>
      <c r="GNP15" s="60"/>
      <c r="GNQ15" s="60"/>
      <c r="GNR15" s="60"/>
      <c r="GNS15" s="60"/>
      <c r="GNT15" s="60"/>
      <c r="GNU15" s="60"/>
      <c r="GNV15" s="60"/>
      <c r="GNW15" s="60"/>
      <c r="GNX15" s="60"/>
      <c r="GNY15" s="60"/>
      <c r="GNZ15" s="60"/>
      <c r="GOA15" s="60"/>
      <c r="GOB15" s="60"/>
      <c r="GOC15" s="60"/>
      <c r="GOD15" s="60"/>
      <c r="GOE15" s="60"/>
      <c r="GOF15" s="60"/>
      <c r="GOG15" s="60"/>
      <c r="GOH15" s="60"/>
      <c r="GOI15" s="60"/>
      <c r="GOJ15" s="60"/>
      <c r="GOK15" s="60"/>
      <c r="GOL15" s="60"/>
      <c r="GOM15" s="60"/>
      <c r="GON15" s="60"/>
      <c r="GOO15" s="60"/>
      <c r="GOP15" s="60"/>
      <c r="GOQ15" s="60"/>
      <c r="GOR15" s="60"/>
      <c r="GOS15" s="60"/>
      <c r="GOT15" s="60"/>
      <c r="GOU15" s="60"/>
      <c r="GOV15" s="60"/>
      <c r="GOW15" s="60"/>
      <c r="GOX15" s="60"/>
      <c r="GOY15" s="60"/>
      <c r="GOZ15" s="60"/>
      <c r="GPA15" s="60"/>
      <c r="GPB15" s="60"/>
      <c r="GPC15" s="60"/>
      <c r="GPD15" s="60"/>
      <c r="GPE15" s="60"/>
      <c r="GPF15" s="60"/>
      <c r="GPG15" s="60"/>
      <c r="GPH15" s="60"/>
      <c r="GPI15" s="60"/>
      <c r="GPJ15" s="60"/>
      <c r="GPK15" s="60"/>
      <c r="GPL15" s="60"/>
      <c r="GPM15" s="60"/>
      <c r="GPN15" s="60"/>
      <c r="GPO15" s="60"/>
      <c r="GPP15" s="60"/>
      <c r="GPQ15" s="60"/>
      <c r="GPR15" s="60"/>
      <c r="GPS15" s="60"/>
      <c r="GPT15" s="60"/>
      <c r="GPU15" s="60"/>
      <c r="GPV15" s="60"/>
      <c r="GPW15" s="60"/>
      <c r="GPX15" s="60"/>
      <c r="GPY15" s="60"/>
      <c r="GPZ15" s="60"/>
      <c r="GQA15" s="60"/>
      <c r="GQB15" s="60"/>
      <c r="GQC15" s="60"/>
      <c r="GQD15" s="60"/>
      <c r="GQE15" s="60"/>
      <c r="GQF15" s="60"/>
      <c r="GQG15" s="60"/>
      <c r="GQH15" s="60"/>
      <c r="GQI15" s="60"/>
      <c r="GQJ15" s="60"/>
      <c r="GQK15" s="60"/>
      <c r="GQL15" s="60"/>
      <c r="GQM15" s="60"/>
      <c r="GQN15" s="60"/>
      <c r="GQO15" s="60"/>
      <c r="GQP15" s="60"/>
      <c r="GQQ15" s="60"/>
      <c r="GQR15" s="60"/>
      <c r="GQS15" s="60"/>
      <c r="GQT15" s="60"/>
      <c r="GQU15" s="60"/>
      <c r="GQV15" s="60"/>
      <c r="GQW15" s="60"/>
      <c r="GQX15" s="60"/>
      <c r="GQY15" s="60"/>
      <c r="GQZ15" s="60"/>
      <c r="GRA15" s="60"/>
      <c r="GRB15" s="60"/>
      <c r="GRC15" s="60"/>
      <c r="GRD15" s="60"/>
      <c r="GRE15" s="60"/>
      <c r="GRF15" s="60"/>
      <c r="GRG15" s="60"/>
      <c r="GRH15" s="60"/>
      <c r="GRI15" s="60"/>
      <c r="GRJ15" s="60"/>
      <c r="GRK15" s="60"/>
      <c r="GRL15" s="60"/>
      <c r="GRM15" s="60"/>
      <c r="GRN15" s="60"/>
      <c r="GRO15" s="60"/>
      <c r="GRP15" s="60"/>
      <c r="GRQ15" s="60"/>
      <c r="GRR15" s="60"/>
      <c r="GRS15" s="60"/>
      <c r="GRT15" s="60"/>
      <c r="GRU15" s="60"/>
      <c r="GRV15" s="60"/>
      <c r="GRW15" s="60"/>
      <c r="GRX15" s="60"/>
      <c r="GRY15" s="60"/>
      <c r="GRZ15" s="60"/>
      <c r="GSA15" s="60"/>
      <c r="GSB15" s="60"/>
      <c r="GSC15" s="60"/>
      <c r="GSD15" s="60"/>
      <c r="GSE15" s="60"/>
      <c r="GSF15" s="60"/>
      <c r="GSG15" s="60"/>
      <c r="GSH15" s="60"/>
      <c r="GSI15" s="60"/>
      <c r="GSJ15" s="60"/>
      <c r="GSK15" s="60"/>
      <c r="GSL15" s="60"/>
      <c r="GSM15" s="60"/>
      <c r="GSN15" s="60"/>
      <c r="GSO15" s="60"/>
      <c r="GSP15" s="60"/>
      <c r="GSQ15" s="60"/>
      <c r="GSR15" s="60"/>
      <c r="GSS15" s="60"/>
      <c r="GST15" s="60"/>
      <c r="GSU15" s="60"/>
      <c r="GSV15" s="60"/>
      <c r="GSW15" s="60"/>
      <c r="GSX15" s="60"/>
      <c r="GSY15" s="60"/>
      <c r="GSZ15" s="60"/>
      <c r="GTA15" s="60"/>
      <c r="GTB15" s="60"/>
      <c r="GTC15" s="60"/>
      <c r="GTD15" s="60"/>
      <c r="GTE15" s="60"/>
      <c r="GTF15" s="60"/>
      <c r="GTG15" s="60"/>
      <c r="GTH15" s="60"/>
      <c r="GTI15" s="60"/>
      <c r="GTJ15" s="60"/>
      <c r="GTK15" s="60"/>
      <c r="GTL15" s="60"/>
      <c r="GTM15" s="60"/>
      <c r="GTN15" s="60"/>
      <c r="GTO15" s="60"/>
      <c r="GTP15" s="60"/>
      <c r="GTQ15" s="60"/>
      <c r="GTR15" s="60"/>
      <c r="GTS15" s="60"/>
      <c r="GTT15" s="60"/>
      <c r="GTU15" s="60"/>
      <c r="GTV15" s="60"/>
      <c r="GTW15" s="60"/>
      <c r="GTX15" s="60"/>
      <c r="GTY15" s="60"/>
      <c r="GTZ15" s="60"/>
      <c r="GUA15" s="60"/>
      <c r="GUB15" s="60"/>
      <c r="GUC15" s="60"/>
      <c r="GUD15" s="60"/>
      <c r="GUE15" s="60"/>
      <c r="GUF15" s="60"/>
      <c r="GUG15" s="60"/>
      <c r="GUH15" s="60"/>
      <c r="GUI15" s="60"/>
      <c r="GUJ15" s="60"/>
      <c r="GUK15" s="60"/>
      <c r="GUL15" s="60"/>
      <c r="GUM15" s="60"/>
      <c r="GUN15" s="60"/>
      <c r="GUO15" s="60"/>
      <c r="GUP15" s="60"/>
      <c r="GUQ15" s="60"/>
      <c r="GUR15" s="60"/>
      <c r="GUS15" s="60"/>
      <c r="GUT15" s="60"/>
      <c r="GUU15" s="60"/>
      <c r="GUV15" s="60"/>
      <c r="GUW15" s="60"/>
      <c r="GUX15" s="60"/>
      <c r="GUY15" s="60"/>
      <c r="GUZ15" s="60"/>
      <c r="GVA15" s="60"/>
      <c r="GVB15" s="60"/>
      <c r="GVC15" s="60"/>
      <c r="GVD15" s="60"/>
      <c r="GVE15" s="60"/>
      <c r="GVF15" s="60"/>
      <c r="GVG15" s="60"/>
      <c r="GVH15" s="60"/>
      <c r="GVI15" s="60"/>
      <c r="GVJ15" s="60"/>
      <c r="GVK15" s="60"/>
      <c r="GVL15" s="60"/>
      <c r="GVM15" s="60"/>
      <c r="GVN15" s="60"/>
      <c r="GVO15" s="60"/>
      <c r="GVP15" s="60"/>
      <c r="GVQ15" s="60"/>
      <c r="GVR15" s="60"/>
      <c r="GVS15" s="60"/>
      <c r="GVT15" s="60"/>
      <c r="GVU15" s="60"/>
      <c r="GVV15" s="60"/>
      <c r="GVW15" s="60"/>
      <c r="GVX15" s="60"/>
      <c r="GVY15" s="60"/>
      <c r="GVZ15" s="60"/>
      <c r="GWA15" s="60"/>
      <c r="GWB15" s="60"/>
      <c r="GWC15" s="60"/>
      <c r="GWD15" s="60"/>
      <c r="GWE15" s="60"/>
      <c r="GWF15" s="60"/>
      <c r="GWG15" s="60"/>
      <c r="GWH15" s="60"/>
      <c r="GWI15" s="60"/>
      <c r="GWJ15" s="60"/>
      <c r="GWK15" s="60"/>
      <c r="GWL15" s="60"/>
      <c r="GWM15" s="60"/>
      <c r="GWN15" s="60"/>
      <c r="GWO15" s="60"/>
      <c r="GWP15" s="60"/>
      <c r="GWQ15" s="60"/>
      <c r="GWR15" s="60"/>
      <c r="GWS15" s="60"/>
      <c r="GWT15" s="60"/>
      <c r="GWU15" s="60"/>
      <c r="GWV15" s="60"/>
      <c r="GWW15" s="60"/>
      <c r="GWX15" s="60"/>
      <c r="GWY15" s="60"/>
      <c r="GWZ15" s="60"/>
      <c r="GXA15" s="60"/>
      <c r="GXB15" s="60"/>
      <c r="GXC15" s="60"/>
      <c r="GXD15" s="60"/>
      <c r="GXE15" s="60"/>
      <c r="GXF15" s="60"/>
      <c r="GXG15" s="60"/>
      <c r="GXH15" s="60"/>
      <c r="GXI15" s="60"/>
      <c r="GXJ15" s="60"/>
      <c r="GXK15" s="60"/>
      <c r="GXL15" s="60"/>
      <c r="GXM15" s="60"/>
      <c r="GXN15" s="60"/>
      <c r="GXO15" s="60"/>
      <c r="GXP15" s="60"/>
      <c r="GXQ15" s="60"/>
      <c r="GXR15" s="60"/>
      <c r="GXS15" s="60"/>
      <c r="GXT15" s="60"/>
      <c r="GXU15" s="60"/>
      <c r="GXV15" s="60"/>
      <c r="GXW15" s="60"/>
      <c r="GXX15" s="60"/>
      <c r="GXY15" s="60"/>
      <c r="GXZ15" s="60"/>
      <c r="GYA15" s="60"/>
      <c r="GYB15" s="60"/>
      <c r="GYC15" s="60"/>
      <c r="GYD15" s="60"/>
      <c r="GYE15" s="60"/>
      <c r="GYF15" s="60"/>
      <c r="GYG15" s="60"/>
      <c r="GYH15" s="60"/>
      <c r="GYI15" s="60"/>
      <c r="GYJ15" s="60"/>
      <c r="GYK15" s="60"/>
      <c r="GYL15" s="60"/>
      <c r="GYM15" s="60"/>
      <c r="GYN15" s="60"/>
      <c r="GYO15" s="60"/>
      <c r="GYP15" s="60"/>
      <c r="GYQ15" s="60"/>
      <c r="GYR15" s="60"/>
      <c r="GYS15" s="60"/>
      <c r="GYT15" s="60"/>
      <c r="GYU15" s="60"/>
      <c r="GYV15" s="60"/>
      <c r="GYW15" s="60"/>
      <c r="GYX15" s="60"/>
      <c r="GYY15" s="60"/>
      <c r="GYZ15" s="60"/>
      <c r="GZA15" s="60"/>
      <c r="GZB15" s="60"/>
      <c r="GZC15" s="60"/>
      <c r="GZD15" s="60"/>
      <c r="GZE15" s="60"/>
      <c r="GZF15" s="60"/>
      <c r="GZG15" s="60"/>
      <c r="GZH15" s="60"/>
      <c r="GZI15" s="60"/>
      <c r="GZJ15" s="60"/>
      <c r="GZK15" s="60"/>
      <c r="GZL15" s="60"/>
      <c r="GZM15" s="60"/>
      <c r="GZN15" s="60"/>
      <c r="GZO15" s="60"/>
      <c r="GZP15" s="60"/>
      <c r="GZQ15" s="60"/>
      <c r="GZR15" s="60"/>
      <c r="GZS15" s="60"/>
      <c r="GZT15" s="60"/>
      <c r="GZU15" s="60"/>
      <c r="GZV15" s="60"/>
      <c r="GZW15" s="60"/>
      <c r="GZX15" s="60"/>
      <c r="GZY15" s="60"/>
      <c r="GZZ15" s="60"/>
      <c r="HAA15" s="60"/>
      <c r="HAB15" s="60"/>
      <c r="HAC15" s="60"/>
      <c r="HAD15" s="60"/>
      <c r="HAE15" s="60"/>
      <c r="HAF15" s="60"/>
      <c r="HAG15" s="60"/>
      <c r="HAH15" s="60"/>
      <c r="HAI15" s="60"/>
      <c r="HAJ15" s="60"/>
      <c r="HAK15" s="60"/>
      <c r="HAL15" s="60"/>
      <c r="HAM15" s="60"/>
      <c r="HAN15" s="60"/>
      <c r="HAO15" s="60"/>
      <c r="HAP15" s="60"/>
      <c r="HAQ15" s="60"/>
      <c r="HAR15" s="60"/>
      <c r="HAS15" s="60"/>
      <c r="HAT15" s="60"/>
      <c r="HAU15" s="60"/>
      <c r="HAV15" s="60"/>
      <c r="HAW15" s="60"/>
      <c r="HAX15" s="60"/>
      <c r="HAY15" s="60"/>
      <c r="HAZ15" s="60"/>
      <c r="HBA15" s="60"/>
      <c r="HBB15" s="60"/>
      <c r="HBC15" s="60"/>
      <c r="HBD15" s="60"/>
      <c r="HBE15" s="60"/>
      <c r="HBF15" s="60"/>
      <c r="HBG15" s="60"/>
      <c r="HBH15" s="60"/>
      <c r="HBI15" s="60"/>
      <c r="HBJ15" s="60"/>
      <c r="HBK15" s="60"/>
      <c r="HBL15" s="60"/>
      <c r="HBM15" s="60"/>
      <c r="HBN15" s="60"/>
      <c r="HBO15" s="60"/>
      <c r="HBP15" s="60"/>
      <c r="HBQ15" s="60"/>
      <c r="HBR15" s="60"/>
      <c r="HBS15" s="60"/>
      <c r="HBT15" s="60"/>
      <c r="HBU15" s="60"/>
      <c r="HBV15" s="60"/>
      <c r="HBW15" s="60"/>
      <c r="HBX15" s="60"/>
      <c r="HBY15" s="60"/>
      <c r="HBZ15" s="60"/>
      <c r="HCA15" s="60"/>
      <c r="HCB15" s="60"/>
      <c r="HCC15" s="60"/>
      <c r="HCD15" s="60"/>
      <c r="HCE15" s="60"/>
      <c r="HCF15" s="60"/>
      <c r="HCG15" s="60"/>
      <c r="HCH15" s="60"/>
      <c r="HCI15" s="60"/>
      <c r="HCJ15" s="60"/>
      <c r="HCK15" s="60"/>
      <c r="HCL15" s="60"/>
      <c r="HCM15" s="60"/>
      <c r="HCN15" s="60"/>
      <c r="HCO15" s="60"/>
      <c r="HCP15" s="60"/>
      <c r="HCQ15" s="60"/>
      <c r="HCR15" s="60"/>
      <c r="HCS15" s="60"/>
      <c r="HCT15" s="60"/>
      <c r="HCU15" s="60"/>
      <c r="HCV15" s="60"/>
      <c r="HCW15" s="60"/>
      <c r="HCX15" s="60"/>
      <c r="HCY15" s="60"/>
      <c r="HCZ15" s="60"/>
      <c r="HDA15" s="60"/>
      <c r="HDB15" s="60"/>
      <c r="HDC15" s="60"/>
      <c r="HDD15" s="60"/>
      <c r="HDE15" s="60"/>
      <c r="HDF15" s="60"/>
      <c r="HDG15" s="60"/>
      <c r="HDH15" s="60"/>
      <c r="HDI15" s="60"/>
      <c r="HDJ15" s="60"/>
      <c r="HDK15" s="60"/>
      <c r="HDL15" s="60"/>
      <c r="HDM15" s="60"/>
      <c r="HDN15" s="60"/>
      <c r="HDO15" s="60"/>
      <c r="HDP15" s="60"/>
      <c r="HDQ15" s="60"/>
      <c r="HDR15" s="60"/>
      <c r="HDS15" s="60"/>
      <c r="HDT15" s="60"/>
      <c r="HDU15" s="60"/>
      <c r="HDV15" s="60"/>
      <c r="HDW15" s="60"/>
      <c r="HDX15" s="60"/>
      <c r="HDY15" s="60"/>
      <c r="HDZ15" s="60"/>
      <c r="HEA15" s="60"/>
      <c r="HEB15" s="60"/>
      <c r="HEC15" s="60"/>
      <c r="HED15" s="60"/>
      <c r="HEE15" s="60"/>
      <c r="HEF15" s="60"/>
      <c r="HEG15" s="60"/>
      <c r="HEH15" s="60"/>
      <c r="HEI15" s="60"/>
      <c r="HEJ15" s="60"/>
      <c r="HEK15" s="60"/>
      <c r="HEL15" s="60"/>
      <c r="HEM15" s="60"/>
      <c r="HEN15" s="60"/>
      <c r="HEO15" s="60"/>
      <c r="HEP15" s="60"/>
      <c r="HEQ15" s="60"/>
      <c r="HER15" s="60"/>
      <c r="HES15" s="60"/>
      <c r="HET15" s="60"/>
      <c r="HEU15" s="60"/>
      <c r="HEV15" s="60"/>
      <c r="HEW15" s="60"/>
      <c r="HEX15" s="60"/>
      <c r="HEY15" s="60"/>
      <c r="HEZ15" s="60"/>
      <c r="HFA15" s="60"/>
      <c r="HFB15" s="60"/>
      <c r="HFC15" s="60"/>
      <c r="HFD15" s="60"/>
      <c r="HFE15" s="60"/>
      <c r="HFF15" s="60"/>
      <c r="HFG15" s="60"/>
      <c r="HFH15" s="60"/>
      <c r="HFI15" s="60"/>
      <c r="HFJ15" s="60"/>
      <c r="HFK15" s="60"/>
      <c r="HFL15" s="60"/>
      <c r="HFM15" s="60"/>
      <c r="HFN15" s="60"/>
      <c r="HFO15" s="60"/>
      <c r="HFP15" s="60"/>
      <c r="HFQ15" s="60"/>
      <c r="HFR15" s="60"/>
      <c r="HFS15" s="60"/>
      <c r="HFT15" s="60"/>
      <c r="HFU15" s="60"/>
      <c r="HFV15" s="60"/>
      <c r="HFW15" s="60"/>
      <c r="HFX15" s="60"/>
      <c r="HFY15" s="60"/>
      <c r="HFZ15" s="60"/>
      <c r="HGA15" s="60"/>
      <c r="HGB15" s="60"/>
      <c r="HGC15" s="60"/>
      <c r="HGD15" s="60"/>
      <c r="HGE15" s="60"/>
      <c r="HGF15" s="60"/>
      <c r="HGG15" s="60"/>
      <c r="HGH15" s="60"/>
      <c r="HGI15" s="60"/>
      <c r="HGJ15" s="60"/>
      <c r="HGK15" s="60"/>
      <c r="HGL15" s="60"/>
      <c r="HGM15" s="60"/>
      <c r="HGN15" s="60"/>
      <c r="HGO15" s="60"/>
      <c r="HGP15" s="60"/>
      <c r="HGQ15" s="60"/>
      <c r="HGR15" s="60"/>
      <c r="HGS15" s="60"/>
      <c r="HGT15" s="60"/>
      <c r="HGU15" s="60"/>
      <c r="HGV15" s="60"/>
      <c r="HGW15" s="60"/>
      <c r="HGX15" s="60"/>
      <c r="HGY15" s="60"/>
      <c r="HGZ15" s="60"/>
      <c r="HHA15" s="60"/>
      <c r="HHB15" s="60"/>
      <c r="HHC15" s="60"/>
      <c r="HHD15" s="60"/>
      <c r="HHE15" s="60"/>
      <c r="HHF15" s="60"/>
      <c r="HHG15" s="60"/>
      <c r="HHH15" s="60"/>
      <c r="HHI15" s="60"/>
      <c r="HHJ15" s="60"/>
      <c r="HHK15" s="60"/>
      <c r="HHL15" s="60"/>
      <c r="HHM15" s="60"/>
      <c r="HHN15" s="60"/>
      <c r="HHO15" s="60"/>
      <c r="HHP15" s="60"/>
      <c r="HHQ15" s="60"/>
      <c r="HHR15" s="60"/>
      <c r="HHS15" s="60"/>
      <c r="HHT15" s="60"/>
      <c r="HHU15" s="60"/>
      <c r="HHV15" s="60"/>
      <c r="HHW15" s="60"/>
      <c r="HHX15" s="60"/>
      <c r="HHY15" s="60"/>
      <c r="HHZ15" s="60"/>
      <c r="HIA15" s="60"/>
      <c r="HIB15" s="60"/>
      <c r="HIC15" s="60"/>
      <c r="HID15" s="60"/>
      <c r="HIE15" s="60"/>
      <c r="HIF15" s="60"/>
      <c r="HIG15" s="60"/>
      <c r="HIH15" s="60"/>
      <c r="HII15" s="60"/>
      <c r="HIJ15" s="60"/>
      <c r="HIK15" s="60"/>
      <c r="HIL15" s="60"/>
      <c r="HIM15" s="60"/>
      <c r="HIN15" s="60"/>
      <c r="HIO15" s="60"/>
      <c r="HIP15" s="60"/>
      <c r="HIQ15" s="60"/>
      <c r="HIR15" s="60"/>
      <c r="HIS15" s="60"/>
      <c r="HIT15" s="60"/>
      <c r="HIU15" s="60"/>
      <c r="HIV15" s="60"/>
      <c r="HIW15" s="60"/>
      <c r="HIX15" s="60"/>
      <c r="HIY15" s="60"/>
      <c r="HIZ15" s="60"/>
      <c r="HJA15" s="60"/>
      <c r="HJB15" s="60"/>
      <c r="HJC15" s="60"/>
      <c r="HJD15" s="60"/>
      <c r="HJE15" s="60"/>
      <c r="HJF15" s="60"/>
      <c r="HJG15" s="60"/>
      <c r="HJH15" s="60"/>
      <c r="HJI15" s="60"/>
      <c r="HJJ15" s="60"/>
      <c r="HJK15" s="60"/>
      <c r="HJL15" s="60"/>
      <c r="HJM15" s="60"/>
      <c r="HJN15" s="60"/>
      <c r="HJO15" s="60"/>
      <c r="HJP15" s="60"/>
      <c r="HJQ15" s="60"/>
      <c r="HJR15" s="60"/>
      <c r="HJS15" s="60"/>
      <c r="HJT15" s="60"/>
      <c r="HJU15" s="60"/>
      <c r="HJV15" s="60"/>
      <c r="HJW15" s="60"/>
      <c r="HJX15" s="60"/>
      <c r="HJY15" s="60"/>
      <c r="HJZ15" s="60"/>
      <c r="HKA15" s="60"/>
      <c r="HKB15" s="60"/>
      <c r="HKC15" s="60"/>
      <c r="HKD15" s="60"/>
      <c r="HKE15" s="60"/>
      <c r="HKF15" s="60"/>
      <c r="HKG15" s="60"/>
      <c r="HKH15" s="60"/>
      <c r="HKI15" s="60"/>
      <c r="HKJ15" s="60"/>
      <c r="HKK15" s="60"/>
      <c r="HKL15" s="60"/>
      <c r="HKM15" s="60"/>
      <c r="HKN15" s="60"/>
      <c r="HKO15" s="60"/>
      <c r="HKP15" s="60"/>
      <c r="HKQ15" s="60"/>
      <c r="HKR15" s="60"/>
      <c r="HKS15" s="60"/>
      <c r="HKT15" s="60"/>
      <c r="HKU15" s="60"/>
      <c r="HKV15" s="60"/>
      <c r="HKW15" s="60"/>
      <c r="HKX15" s="60"/>
      <c r="HKY15" s="60"/>
      <c r="HKZ15" s="60"/>
      <c r="HLA15" s="60"/>
      <c r="HLB15" s="60"/>
      <c r="HLC15" s="60"/>
      <c r="HLD15" s="60"/>
      <c r="HLE15" s="60"/>
      <c r="HLF15" s="60"/>
      <c r="HLG15" s="60"/>
      <c r="HLH15" s="60"/>
      <c r="HLI15" s="60"/>
      <c r="HLJ15" s="60"/>
      <c r="HLK15" s="60"/>
      <c r="HLL15" s="60"/>
      <c r="HLM15" s="60"/>
      <c r="HLN15" s="60"/>
      <c r="HLO15" s="60"/>
      <c r="HLP15" s="60"/>
      <c r="HLQ15" s="60"/>
      <c r="HLR15" s="60"/>
      <c r="HLS15" s="60"/>
      <c r="HLT15" s="60"/>
      <c r="HLU15" s="60"/>
      <c r="HLV15" s="60"/>
      <c r="HLW15" s="60"/>
      <c r="HLX15" s="60"/>
      <c r="HLY15" s="60"/>
      <c r="HLZ15" s="60"/>
      <c r="HMA15" s="60"/>
      <c r="HMB15" s="60"/>
      <c r="HMC15" s="60"/>
      <c r="HMD15" s="60"/>
      <c r="HME15" s="60"/>
      <c r="HMF15" s="60"/>
      <c r="HMG15" s="60"/>
      <c r="HMH15" s="60"/>
      <c r="HMI15" s="60"/>
      <c r="HMJ15" s="60"/>
      <c r="HMK15" s="60"/>
      <c r="HML15" s="60"/>
      <c r="HMM15" s="60"/>
      <c r="HMN15" s="60"/>
      <c r="HMO15" s="60"/>
      <c r="HMP15" s="60"/>
      <c r="HMQ15" s="60"/>
      <c r="HMR15" s="60"/>
      <c r="HMS15" s="60"/>
      <c r="HMT15" s="60"/>
      <c r="HMU15" s="60"/>
      <c r="HMV15" s="60"/>
      <c r="HMW15" s="60"/>
      <c r="HMX15" s="60"/>
      <c r="HMY15" s="60"/>
      <c r="HMZ15" s="60"/>
      <c r="HNA15" s="60"/>
      <c r="HNB15" s="60"/>
      <c r="HNC15" s="60"/>
      <c r="HND15" s="60"/>
      <c r="HNE15" s="60"/>
      <c r="HNF15" s="60"/>
      <c r="HNG15" s="60"/>
      <c r="HNH15" s="60"/>
      <c r="HNI15" s="60"/>
      <c r="HNJ15" s="60"/>
      <c r="HNK15" s="60"/>
      <c r="HNL15" s="60"/>
      <c r="HNM15" s="60"/>
      <c r="HNN15" s="60"/>
      <c r="HNO15" s="60"/>
      <c r="HNP15" s="60"/>
      <c r="HNQ15" s="60"/>
      <c r="HNR15" s="60"/>
      <c r="HNS15" s="60"/>
      <c r="HNT15" s="60"/>
      <c r="HNU15" s="60"/>
      <c r="HNV15" s="60"/>
      <c r="HNW15" s="60"/>
      <c r="HNX15" s="60"/>
      <c r="HNY15" s="60"/>
      <c r="HNZ15" s="60"/>
      <c r="HOA15" s="60"/>
      <c r="HOB15" s="60"/>
      <c r="HOC15" s="60"/>
      <c r="HOD15" s="60"/>
      <c r="HOE15" s="60"/>
      <c r="HOF15" s="60"/>
      <c r="HOG15" s="60"/>
      <c r="HOH15" s="60"/>
      <c r="HOI15" s="60"/>
      <c r="HOJ15" s="60"/>
      <c r="HOK15" s="60"/>
      <c r="HOL15" s="60"/>
      <c r="HOM15" s="60"/>
      <c r="HON15" s="60"/>
      <c r="HOO15" s="60"/>
      <c r="HOP15" s="60"/>
      <c r="HOQ15" s="60"/>
      <c r="HOR15" s="60"/>
      <c r="HOS15" s="60"/>
      <c r="HOT15" s="60"/>
      <c r="HOU15" s="60"/>
      <c r="HOV15" s="60"/>
      <c r="HOW15" s="60"/>
      <c r="HOX15" s="60"/>
      <c r="HOY15" s="60"/>
      <c r="HOZ15" s="60"/>
      <c r="HPA15" s="60"/>
      <c r="HPB15" s="60"/>
      <c r="HPC15" s="60"/>
      <c r="HPD15" s="60"/>
      <c r="HPE15" s="60"/>
      <c r="HPF15" s="60"/>
      <c r="HPG15" s="60"/>
      <c r="HPH15" s="60"/>
      <c r="HPI15" s="60"/>
      <c r="HPJ15" s="60"/>
      <c r="HPK15" s="60"/>
      <c r="HPL15" s="60"/>
      <c r="HPM15" s="60"/>
      <c r="HPN15" s="60"/>
      <c r="HPO15" s="60"/>
      <c r="HPP15" s="60"/>
      <c r="HPQ15" s="60"/>
      <c r="HPR15" s="60"/>
      <c r="HPS15" s="60"/>
      <c r="HPT15" s="60"/>
      <c r="HPU15" s="60"/>
      <c r="HPV15" s="60"/>
      <c r="HPW15" s="60"/>
      <c r="HPX15" s="60"/>
      <c r="HPY15" s="60"/>
      <c r="HPZ15" s="60"/>
      <c r="HQA15" s="60"/>
      <c r="HQB15" s="60"/>
      <c r="HQC15" s="60"/>
      <c r="HQD15" s="60"/>
      <c r="HQE15" s="60"/>
      <c r="HQF15" s="60"/>
      <c r="HQG15" s="60"/>
      <c r="HQH15" s="60"/>
      <c r="HQI15" s="60"/>
      <c r="HQJ15" s="60"/>
      <c r="HQK15" s="60"/>
      <c r="HQL15" s="60"/>
      <c r="HQM15" s="60"/>
      <c r="HQN15" s="60"/>
      <c r="HQO15" s="60"/>
      <c r="HQP15" s="60"/>
      <c r="HQQ15" s="60"/>
      <c r="HQR15" s="60"/>
      <c r="HQS15" s="60"/>
      <c r="HQT15" s="60"/>
      <c r="HQU15" s="60"/>
      <c r="HQV15" s="60"/>
      <c r="HQW15" s="60"/>
      <c r="HQX15" s="60"/>
      <c r="HQY15" s="60"/>
      <c r="HQZ15" s="60"/>
      <c r="HRA15" s="60"/>
      <c r="HRB15" s="60"/>
      <c r="HRC15" s="60"/>
      <c r="HRD15" s="60"/>
      <c r="HRE15" s="60"/>
      <c r="HRF15" s="60"/>
      <c r="HRG15" s="60"/>
      <c r="HRH15" s="60"/>
      <c r="HRI15" s="60"/>
      <c r="HRJ15" s="60"/>
      <c r="HRK15" s="60"/>
      <c r="HRL15" s="60"/>
      <c r="HRM15" s="60"/>
      <c r="HRN15" s="60"/>
      <c r="HRO15" s="60"/>
      <c r="HRP15" s="60"/>
      <c r="HRQ15" s="60"/>
      <c r="HRR15" s="60"/>
      <c r="HRS15" s="60"/>
      <c r="HRT15" s="60"/>
      <c r="HRU15" s="60"/>
      <c r="HRV15" s="60"/>
      <c r="HRW15" s="60"/>
      <c r="HRX15" s="60"/>
      <c r="HRY15" s="60"/>
      <c r="HRZ15" s="60"/>
      <c r="HSA15" s="60"/>
      <c r="HSB15" s="60"/>
      <c r="HSC15" s="60"/>
      <c r="HSD15" s="60"/>
      <c r="HSE15" s="60"/>
      <c r="HSF15" s="60"/>
      <c r="HSG15" s="60"/>
      <c r="HSH15" s="60"/>
      <c r="HSI15" s="60"/>
      <c r="HSJ15" s="60"/>
      <c r="HSK15" s="60"/>
      <c r="HSL15" s="60"/>
      <c r="HSM15" s="60"/>
      <c r="HSN15" s="60"/>
      <c r="HSO15" s="60"/>
      <c r="HSP15" s="60"/>
      <c r="HSQ15" s="60"/>
      <c r="HSR15" s="60"/>
      <c r="HSS15" s="60"/>
      <c r="HST15" s="60"/>
      <c r="HSU15" s="60"/>
      <c r="HSV15" s="60"/>
      <c r="HSW15" s="60"/>
      <c r="HSX15" s="60"/>
      <c r="HSY15" s="60"/>
      <c r="HSZ15" s="60"/>
      <c r="HTA15" s="60"/>
      <c r="HTB15" s="60"/>
      <c r="HTC15" s="60"/>
      <c r="HTD15" s="60"/>
      <c r="HTE15" s="60"/>
      <c r="HTF15" s="60"/>
      <c r="HTG15" s="60"/>
      <c r="HTH15" s="60"/>
      <c r="HTI15" s="60"/>
      <c r="HTJ15" s="60"/>
      <c r="HTK15" s="60"/>
      <c r="HTL15" s="60"/>
      <c r="HTM15" s="60"/>
      <c r="HTN15" s="60"/>
      <c r="HTO15" s="60"/>
      <c r="HTP15" s="60"/>
      <c r="HTQ15" s="60"/>
      <c r="HTR15" s="60"/>
      <c r="HTS15" s="60"/>
      <c r="HTT15" s="60"/>
      <c r="HTU15" s="60"/>
      <c r="HTV15" s="60"/>
      <c r="HTW15" s="60"/>
      <c r="HTX15" s="60"/>
      <c r="HTY15" s="60"/>
      <c r="HTZ15" s="60"/>
      <c r="HUA15" s="60"/>
      <c r="HUB15" s="60"/>
      <c r="HUC15" s="60"/>
      <c r="HUD15" s="60"/>
      <c r="HUE15" s="60"/>
      <c r="HUF15" s="60"/>
      <c r="HUG15" s="60"/>
      <c r="HUH15" s="60"/>
      <c r="HUI15" s="60"/>
      <c r="HUJ15" s="60"/>
      <c r="HUK15" s="60"/>
      <c r="HUL15" s="60"/>
      <c r="HUM15" s="60"/>
      <c r="HUN15" s="60"/>
      <c r="HUO15" s="60"/>
      <c r="HUP15" s="60"/>
      <c r="HUQ15" s="60"/>
      <c r="HUR15" s="60"/>
      <c r="HUS15" s="60"/>
      <c r="HUT15" s="60"/>
      <c r="HUU15" s="60"/>
      <c r="HUV15" s="60"/>
      <c r="HUW15" s="60"/>
      <c r="HUX15" s="60"/>
      <c r="HUY15" s="60"/>
      <c r="HUZ15" s="60"/>
      <c r="HVA15" s="60"/>
      <c r="HVB15" s="60"/>
      <c r="HVC15" s="60"/>
      <c r="HVD15" s="60"/>
      <c r="HVE15" s="60"/>
      <c r="HVF15" s="60"/>
      <c r="HVG15" s="60"/>
      <c r="HVH15" s="60"/>
      <c r="HVI15" s="60"/>
      <c r="HVJ15" s="60"/>
      <c r="HVK15" s="60"/>
      <c r="HVL15" s="60"/>
      <c r="HVM15" s="60"/>
      <c r="HVN15" s="60"/>
      <c r="HVO15" s="60"/>
      <c r="HVP15" s="60"/>
      <c r="HVQ15" s="60"/>
      <c r="HVR15" s="60"/>
      <c r="HVS15" s="60"/>
      <c r="HVT15" s="60"/>
      <c r="HVU15" s="60"/>
      <c r="HVV15" s="60"/>
      <c r="HVW15" s="60"/>
      <c r="HVX15" s="60"/>
      <c r="HVY15" s="60"/>
      <c r="HVZ15" s="60"/>
      <c r="HWA15" s="60"/>
      <c r="HWB15" s="60"/>
      <c r="HWC15" s="60"/>
      <c r="HWD15" s="60"/>
      <c r="HWE15" s="60"/>
      <c r="HWF15" s="60"/>
      <c r="HWG15" s="60"/>
      <c r="HWH15" s="60"/>
      <c r="HWI15" s="60"/>
      <c r="HWJ15" s="60"/>
      <c r="HWK15" s="60"/>
      <c r="HWL15" s="60"/>
      <c r="HWM15" s="60"/>
      <c r="HWN15" s="60"/>
      <c r="HWO15" s="60"/>
      <c r="HWP15" s="60"/>
      <c r="HWQ15" s="60"/>
      <c r="HWR15" s="60"/>
      <c r="HWS15" s="60"/>
      <c r="HWT15" s="60"/>
      <c r="HWU15" s="60"/>
      <c r="HWV15" s="60"/>
      <c r="HWW15" s="60"/>
      <c r="HWX15" s="60"/>
      <c r="HWY15" s="60"/>
      <c r="HWZ15" s="60"/>
      <c r="HXA15" s="60"/>
      <c r="HXB15" s="60"/>
      <c r="HXC15" s="60"/>
      <c r="HXD15" s="60"/>
      <c r="HXE15" s="60"/>
      <c r="HXF15" s="60"/>
      <c r="HXG15" s="60"/>
      <c r="HXH15" s="60"/>
      <c r="HXI15" s="60"/>
      <c r="HXJ15" s="60"/>
      <c r="HXK15" s="60"/>
      <c r="HXL15" s="60"/>
      <c r="HXM15" s="60"/>
      <c r="HXN15" s="60"/>
      <c r="HXO15" s="60"/>
      <c r="HXP15" s="60"/>
      <c r="HXQ15" s="60"/>
      <c r="HXR15" s="60"/>
      <c r="HXS15" s="60"/>
      <c r="HXT15" s="60"/>
      <c r="HXU15" s="60"/>
      <c r="HXV15" s="60"/>
      <c r="HXW15" s="60"/>
      <c r="HXX15" s="60"/>
      <c r="HXY15" s="60"/>
      <c r="HXZ15" s="60"/>
      <c r="HYA15" s="60"/>
      <c r="HYB15" s="60"/>
      <c r="HYC15" s="60"/>
      <c r="HYD15" s="60"/>
      <c r="HYE15" s="60"/>
      <c r="HYF15" s="60"/>
      <c r="HYG15" s="60"/>
      <c r="HYH15" s="60"/>
      <c r="HYI15" s="60"/>
      <c r="HYJ15" s="60"/>
      <c r="HYK15" s="60"/>
      <c r="HYL15" s="60"/>
      <c r="HYM15" s="60"/>
      <c r="HYN15" s="60"/>
      <c r="HYO15" s="60"/>
      <c r="HYP15" s="60"/>
      <c r="HYQ15" s="60"/>
      <c r="HYR15" s="60"/>
      <c r="HYS15" s="60"/>
      <c r="HYT15" s="60"/>
      <c r="HYU15" s="60"/>
      <c r="HYV15" s="60"/>
      <c r="HYW15" s="60"/>
      <c r="HYX15" s="60"/>
      <c r="HYY15" s="60"/>
      <c r="HYZ15" s="60"/>
      <c r="HZA15" s="60"/>
      <c r="HZB15" s="60"/>
      <c r="HZC15" s="60"/>
      <c r="HZD15" s="60"/>
      <c r="HZE15" s="60"/>
      <c r="HZF15" s="60"/>
      <c r="HZG15" s="60"/>
      <c r="HZH15" s="60"/>
      <c r="HZI15" s="60"/>
      <c r="HZJ15" s="60"/>
      <c r="HZK15" s="60"/>
      <c r="HZL15" s="60"/>
      <c r="HZM15" s="60"/>
      <c r="HZN15" s="60"/>
      <c r="HZO15" s="60"/>
      <c r="HZP15" s="60"/>
      <c r="HZQ15" s="60"/>
      <c r="HZR15" s="60"/>
      <c r="HZS15" s="60"/>
      <c r="HZT15" s="60"/>
      <c r="HZU15" s="60"/>
      <c r="HZV15" s="60"/>
      <c r="HZW15" s="60"/>
      <c r="HZX15" s="60"/>
      <c r="HZY15" s="60"/>
      <c r="HZZ15" s="60"/>
      <c r="IAA15" s="60"/>
      <c r="IAB15" s="60"/>
      <c r="IAC15" s="60"/>
      <c r="IAD15" s="60"/>
      <c r="IAE15" s="60"/>
      <c r="IAF15" s="60"/>
      <c r="IAG15" s="60"/>
      <c r="IAH15" s="60"/>
      <c r="IAI15" s="60"/>
      <c r="IAJ15" s="60"/>
      <c r="IAK15" s="60"/>
      <c r="IAL15" s="60"/>
      <c r="IAM15" s="60"/>
      <c r="IAN15" s="60"/>
      <c r="IAO15" s="60"/>
      <c r="IAP15" s="60"/>
      <c r="IAQ15" s="60"/>
      <c r="IAR15" s="60"/>
      <c r="IAS15" s="60"/>
      <c r="IAT15" s="60"/>
      <c r="IAU15" s="60"/>
      <c r="IAV15" s="60"/>
      <c r="IAW15" s="60"/>
      <c r="IAX15" s="60"/>
      <c r="IAY15" s="60"/>
      <c r="IAZ15" s="60"/>
      <c r="IBA15" s="60"/>
      <c r="IBB15" s="60"/>
      <c r="IBC15" s="60"/>
      <c r="IBD15" s="60"/>
      <c r="IBE15" s="60"/>
      <c r="IBF15" s="60"/>
      <c r="IBG15" s="60"/>
      <c r="IBH15" s="60"/>
      <c r="IBI15" s="60"/>
      <c r="IBJ15" s="60"/>
      <c r="IBK15" s="60"/>
      <c r="IBL15" s="60"/>
      <c r="IBM15" s="60"/>
      <c r="IBN15" s="60"/>
      <c r="IBO15" s="60"/>
      <c r="IBP15" s="60"/>
      <c r="IBQ15" s="60"/>
      <c r="IBR15" s="60"/>
      <c r="IBS15" s="60"/>
      <c r="IBT15" s="60"/>
      <c r="IBU15" s="60"/>
      <c r="IBV15" s="60"/>
      <c r="IBW15" s="60"/>
      <c r="IBX15" s="60"/>
      <c r="IBY15" s="60"/>
      <c r="IBZ15" s="60"/>
      <c r="ICA15" s="60"/>
      <c r="ICB15" s="60"/>
      <c r="ICC15" s="60"/>
      <c r="ICD15" s="60"/>
      <c r="ICE15" s="60"/>
      <c r="ICF15" s="60"/>
      <c r="ICG15" s="60"/>
      <c r="ICH15" s="60"/>
      <c r="ICI15" s="60"/>
      <c r="ICJ15" s="60"/>
      <c r="ICK15" s="60"/>
      <c r="ICL15" s="60"/>
      <c r="ICM15" s="60"/>
      <c r="ICN15" s="60"/>
      <c r="ICO15" s="60"/>
      <c r="ICP15" s="60"/>
      <c r="ICQ15" s="60"/>
      <c r="ICR15" s="60"/>
      <c r="ICS15" s="60"/>
      <c r="ICT15" s="60"/>
      <c r="ICU15" s="60"/>
      <c r="ICV15" s="60"/>
      <c r="ICW15" s="60"/>
      <c r="ICX15" s="60"/>
      <c r="ICY15" s="60"/>
      <c r="ICZ15" s="60"/>
      <c r="IDA15" s="60"/>
      <c r="IDB15" s="60"/>
      <c r="IDC15" s="60"/>
      <c r="IDD15" s="60"/>
      <c r="IDE15" s="60"/>
      <c r="IDF15" s="60"/>
      <c r="IDG15" s="60"/>
      <c r="IDH15" s="60"/>
      <c r="IDI15" s="60"/>
      <c r="IDJ15" s="60"/>
      <c r="IDK15" s="60"/>
      <c r="IDL15" s="60"/>
      <c r="IDM15" s="60"/>
      <c r="IDN15" s="60"/>
      <c r="IDO15" s="60"/>
      <c r="IDP15" s="60"/>
      <c r="IDQ15" s="60"/>
      <c r="IDR15" s="60"/>
      <c r="IDS15" s="60"/>
      <c r="IDT15" s="60"/>
      <c r="IDU15" s="60"/>
      <c r="IDV15" s="60"/>
      <c r="IDW15" s="60"/>
      <c r="IDX15" s="60"/>
      <c r="IDY15" s="60"/>
      <c r="IDZ15" s="60"/>
      <c r="IEA15" s="60"/>
      <c r="IEB15" s="60"/>
      <c r="IEC15" s="60"/>
      <c r="IED15" s="60"/>
      <c r="IEE15" s="60"/>
      <c r="IEF15" s="60"/>
      <c r="IEG15" s="60"/>
      <c r="IEH15" s="60"/>
      <c r="IEI15" s="60"/>
      <c r="IEJ15" s="60"/>
      <c r="IEK15" s="60"/>
      <c r="IEL15" s="60"/>
      <c r="IEM15" s="60"/>
      <c r="IEN15" s="60"/>
      <c r="IEO15" s="60"/>
      <c r="IEP15" s="60"/>
      <c r="IEQ15" s="60"/>
      <c r="IER15" s="60"/>
      <c r="IES15" s="60"/>
      <c r="IET15" s="60"/>
      <c r="IEU15" s="60"/>
      <c r="IEV15" s="60"/>
      <c r="IEW15" s="60"/>
      <c r="IEX15" s="60"/>
      <c r="IEY15" s="60"/>
      <c r="IEZ15" s="60"/>
      <c r="IFA15" s="60"/>
      <c r="IFB15" s="60"/>
      <c r="IFC15" s="60"/>
      <c r="IFD15" s="60"/>
      <c r="IFE15" s="60"/>
      <c r="IFF15" s="60"/>
      <c r="IFG15" s="60"/>
      <c r="IFH15" s="60"/>
      <c r="IFI15" s="60"/>
      <c r="IFJ15" s="60"/>
      <c r="IFK15" s="60"/>
      <c r="IFL15" s="60"/>
      <c r="IFM15" s="60"/>
      <c r="IFN15" s="60"/>
      <c r="IFO15" s="60"/>
      <c r="IFP15" s="60"/>
      <c r="IFQ15" s="60"/>
      <c r="IFR15" s="60"/>
      <c r="IFS15" s="60"/>
      <c r="IFT15" s="60"/>
      <c r="IFU15" s="60"/>
      <c r="IFV15" s="60"/>
      <c r="IFW15" s="60"/>
      <c r="IFX15" s="60"/>
      <c r="IFY15" s="60"/>
      <c r="IFZ15" s="60"/>
      <c r="IGA15" s="60"/>
      <c r="IGB15" s="60"/>
      <c r="IGC15" s="60"/>
      <c r="IGD15" s="60"/>
      <c r="IGE15" s="60"/>
      <c r="IGF15" s="60"/>
      <c r="IGG15" s="60"/>
      <c r="IGH15" s="60"/>
      <c r="IGI15" s="60"/>
      <c r="IGJ15" s="60"/>
      <c r="IGK15" s="60"/>
      <c r="IGL15" s="60"/>
      <c r="IGM15" s="60"/>
      <c r="IGN15" s="60"/>
      <c r="IGO15" s="60"/>
      <c r="IGP15" s="60"/>
      <c r="IGQ15" s="60"/>
      <c r="IGR15" s="60"/>
      <c r="IGS15" s="60"/>
      <c r="IGT15" s="60"/>
      <c r="IGU15" s="60"/>
      <c r="IGV15" s="60"/>
      <c r="IGW15" s="60"/>
      <c r="IGX15" s="60"/>
      <c r="IGY15" s="60"/>
      <c r="IGZ15" s="60"/>
      <c r="IHA15" s="60"/>
      <c r="IHB15" s="60"/>
      <c r="IHC15" s="60"/>
      <c r="IHD15" s="60"/>
      <c r="IHE15" s="60"/>
      <c r="IHF15" s="60"/>
      <c r="IHG15" s="60"/>
      <c r="IHH15" s="60"/>
      <c r="IHI15" s="60"/>
      <c r="IHJ15" s="60"/>
      <c r="IHK15" s="60"/>
      <c r="IHL15" s="60"/>
      <c r="IHM15" s="60"/>
      <c r="IHN15" s="60"/>
      <c r="IHO15" s="60"/>
      <c r="IHP15" s="60"/>
      <c r="IHQ15" s="60"/>
      <c r="IHR15" s="60"/>
      <c r="IHS15" s="60"/>
      <c r="IHT15" s="60"/>
      <c r="IHU15" s="60"/>
      <c r="IHV15" s="60"/>
      <c r="IHW15" s="60"/>
      <c r="IHX15" s="60"/>
      <c r="IHY15" s="60"/>
      <c r="IHZ15" s="60"/>
      <c r="IIA15" s="60"/>
      <c r="IIB15" s="60"/>
      <c r="IIC15" s="60"/>
      <c r="IID15" s="60"/>
      <c r="IIE15" s="60"/>
      <c r="IIF15" s="60"/>
      <c r="IIG15" s="60"/>
      <c r="IIH15" s="60"/>
      <c r="III15" s="60"/>
      <c r="IIJ15" s="60"/>
      <c r="IIK15" s="60"/>
      <c r="IIL15" s="60"/>
      <c r="IIM15" s="60"/>
      <c r="IIN15" s="60"/>
      <c r="IIO15" s="60"/>
      <c r="IIP15" s="60"/>
      <c r="IIQ15" s="60"/>
      <c r="IIR15" s="60"/>
      <c r="IIS15" s="60"/>
      <c r="IIT15" s="60"/>
      <c r="IIU15" s="60"/>
      <c r="IIV15" s="60"/>
      <c r="IIW15" s="60"/>
      <c r="IIX15" s="60"/>
      <c r="IIY15" s="60"/>
      <c r="IIZ15" s="60"/>
      <c r="IJA15" s="60"/>
      <c r="IJB15" s="60"/>
      <c r="IJC15" s="60"/>
      <c r="IJD15" s="60"/>
      <c r="IJE15" s="60"/>
      <c r="IJF15" s="60"/>
      <c r="IJG15" s="60"/>
      <c r="IJH15" s="60"/>
      <c r="IJI15" s="60"/>
      <c r="IJJ15" s="60"/>
      <c r="IJK15" s="60"/>
      <c r="IJL15" s="60"/>
      <c r="IJM15" s="60"/>
      <c r="IJN15" s="60"/>
      <c r="IJO15" s="60"/>
      <c r="IJP15" s="60"/>
      <c r="IJQ15" s="60"/>
      <c r="IJR15" s="60"/>
      <c r="IJS15" s="60"/>
      <c r="IJT15" s="60"/>
      <c r="IJU15" s="60"/>
      <c r="IJV15" s="60"/>
      <c r="IJW15" s="60"/>
      <c r="IJX15" s="60"/>
      <c r="IJY15" s="60"/>
      <c r="IJZ15" s="60"/>
      <c r="IKA15" s="60"/>
      <c r="IKB15" s="60"/>
      <c r="IKC15" s="60"/>
      <c r="IKD15" s="60"/>
      <c r="IKE15" s="60"/>
      <c r="IKF15" s="60"/>
      <c r="IKG15" s="60"/>
      <c r="IKH15" s="60"/>
      <c r="IKI15" s="60"/>
      <c r="IKJ15" s="60"/>
      <c r="IKK15" s="60"/>
      <c r="IKL15" s="60"/>
      <c r="IKM15" s="60"/>
      <c r="IKN15" s="60"/>
      <c r="IKO15" s="60"/>
      <c r="IKP15" s="60"/>
      <c r="IKQ15" s="60"/>
      <c r="IKR15" s="60"/>
      <c r="IKS15" s="60"/>
      <c r="IKT15" s="60"/>
      <c r="IKU15" s="60"/>
      <c r="IKV15" s="60"/>
      <c r="IKW15" s="60"/>
      <c r="IKX15" s="60"/>
      <c r="IKY15" s="60"/>
      <c r="IKZ15" s="60"/>
      <c r="ILA15" s="60"/>
      <c r="ILB15" s="60"/>
      <c r="ILC15" s="60"/>
      <c r="ILD15" s="60"/>
      <c r="ILE15" s="60"/>
      <c r="ILF15" s="60"/>
      <c r="ILG15" s="60"/>
      <c r="ILH15" s="60"/>
      <c r="ILI15" s="60"/>
      <c r="ILJ15" s="60"/>
      <c r="ILK15" s="60"/>
      <c r="ILL15" s="60"/>
      <c r="ILM15" s="60"/>
      <c r="ILN15" s="60"/>
      <c r="ILO15" s="60"/>
      <c r="ILP15" s="60"/>
      <c r="ILQ15" s="60"/>
      <c r="ILR15" s="60"/>
      <c r="ILS15" s="60"/>
      <c r="ILT15" s="60"/>
      <c r="ILU15" s="60"/>
      <c r="ILV15" s="60"/>
      <c r="ILW15" s="60"/>
      <c r="ILX15" s="60"/>
      <c r="ILY15" s="60"/>
      <c r="ILZ15" s="60"/>
      <c r="IMA15" s="60"/>
      <c r="IMB15" s="60"/>
      <c r="IMC15" s="60"/>
      <c r="IMD15" s="60"/>
      <c r="IME15" s="60"/>
      <c r="IMF15" s="60"/>
      <c r="IMG15" s="60"/>
      <c r="IMH15" s="60"/>
      <c r="IMI15" s="60"/>
      <c r="IMJ15" s="60"/>
      <c r="IMK15" s="60"/>
      <c r="IML15" s="60"/>
      <c r="IMM15" s="60"/>
      <c r="IMN15" s="60"/>
      <c r="IMO15" s="60"/>
      <c r="IMP15" s="60"/>
      <c r="IMQ15" s="60"/>
      <c r="IMR15" s="60"/>
      <c r="IMS15" s="60"/>
      <c r="IMT15" s="60"/>
      <c r="IMU15" s="60"/>
      <c r="IMV15" s="60"/>
      <c r="IMW15" s="60"/>
      <c r="IMX15" s="60"/>
      <c r="IMY15" s="60"/>
      <c r="IMZ15" s="60"/>
      <c r="INA15" s="60"/>
      <c r="INB15" s="60"/>
      <c r="INC15" s="60"/>
      <c r="IND15" s="60"/>
      <c r="INE15" s="60"/>
      <c r="INF15" s="60"/>
      <c r="ING15" s="60"/>
      <c r="INH15" s="60"/>
      <c r="INI15" s="60"/>
      <c r="INJ15" s="60"/>
      <c r="INK15" s="60"/>
      <c r="INL15" s="60"/>
      <c r="INM15" s="60"/>
      <c r="INN15" s="60"/>
      <c r="INO15" s="60"/>
      <c r="INP15" s="60"/>
      <c r="INQ15" s="60"/>
      <c r="INR15" s="60"/>
      <c r="INS15" s="60"/>
      <c r="INT15" s="60"/>
      <c r="INU15" s="60"/>
      <c r="INV15" s="60"/>
      <c r="INW15" s="60"/>
      <c r="INX15" s="60"/>
      <c r="INY15" s="60"/>
      <c r="INZ15" s="60"/>
      <c r="IOA15" s="60"/>
      <c r="IOB15" s="60"/>
      <c r="IOC15" s="60"/>
      <c r="IOD15" s="60"/>
      <c r="IOE15" s="60"/>
      <c r="IOF15" s="60"/>
      <c r="IOG15" s="60"/>
      <c r="IOH15" s="60"/>
      <c r="IOI15" s="60"/>
      <c r="IOJ15" s="60"/>
      <c r="IOK15" s="60"/>
      <c r="IOL15" s="60"/>
      <c r="IOM15" s="60"/>
      <c r="ION15" s="60"/>
      <c r="IOO15" s="60"/>
      <c r="IOP15" s="60"/>
      <c r="IOQ15" s="60"/>
      <c r="IOR15" s="60"/>
      <c r="IOS15" s="60"/>
      <c r="IOT15" s="60"/>
      <c r="IOU15" s="60"/>
      <c r="IOV15" s="60"/>
      <c r="IOW15" s="60"/>
      <c r="IOX15" s="60"/>
      <c r="IOY15" s="60"/>
      <c r="IOZ15" s="60"/>
      <c r="IPA15" s="60"/>
      <c r="IPB15" s="60"/>
      <c r="IPC15" s="60"/>
      <c r="IPD15" s="60"/>
      <c r="IPE15" s="60"/>
      <c r="IPF15" s="60"/>
      <c r="IPG15" s="60"/>
      <c r="IPH15" s="60"/>
      <c r="IPI15" s="60"/>
      <c r="IPJ15" s="60"/>
      <c r="IPK15" s="60"/>
      <c r="IPL15" s="60"/>
      <c r="IPM15" s="60"/>
      <c r="IPN15" s="60"/>
      <c r="IPO15" s="60"/>
      <c r="IPP15" s="60"/>
      <c r="IPQ15" s="60"/>
      <c r="IPR15" s="60"/>
      <c r="IPS15" s="60"/>
      <c r="IPT15" s="60"/>
      <c r="IPU15" s="60"/>
      <c r="IPV15" s="60"/>
      <c r="IPW15" s="60"/>
      <c r="IPX15" s="60"/>
      <c r="IPY15" s="60"/>
      <c r="IPZ15" s="60"/>
      <c r="IQA15" s="60"/>
      <c r="IQB15" s="60"/>
      <c r="IQC15" s="60"/>
      <c r="IQD15" s="60"/>
      <c r="IQE15" s="60"/>
      <c r="IQF15" s="60"/>
      <c r="IQG15" s="60"/>
      <c r="IQH15" s="60"/>
      <c r="IQI15" s="60"/>
      <c r="IQJ15" s="60"/>
      <c r="IQK15" s="60"/>
      <c r="IQL15" s="60"/>
      <c r="IQM15" s="60"/>
      <c r="IQN15" s="60"/>
      <c r="IQO15" s="60"/>
      <c r="IQP15" s="60"/>
      <c r="IQQ15" s="60"/>
      <c r="IQR15" s="60"/>
      <c r="IQS15" s="60"/>
      <c r="IQT15" s="60"/>
      <c r="IQU15" s="60"/>
      <c r="IQV15" s="60"/>
      <c r="IQW15" s="60"/>
      <c r="IQX15" s="60"/>
      <c r="IQY15" s="60"/>
      <c r="IQZ15" s="60"/>
      <c r="IRA15" s="60"/>
      <c r="IRB15" s="60"/>
      <c r="IRC15" s="60"/>
      <c r="IRD15" s="60"/>
      <c r="IRE15" s="60"/>
      <c r="IRF15" s="60"/>
      <c r="IRG15" s="60"/>
      <c r="IRH15" s="60"/>
      <c r="IRI15" s="60"/>
      <c r="IRJ15" s="60"/>
      <c r="IRK15" s="60"/>
      <c r="IRL15" s="60"/>
      <c r="IRM15" s="60"/>
      <c r="IRN15" s="60"/>
      <c r="IRO15" s="60"/>
      <c r="IRP15" s="60"/>
      <c r="IRQ15" s="60"/>
      <c r="IRR15" s="60"/>
      <c r="IRS15" s="60"/>
      <c r="IRT15" s="60"/>
      <c r="IRU15" s="60"/>
      <c r="IRV15" s="60"/>
      <c r="IRW15" s="60"/>
      <c r="IRX15" s="60"/>
      <c r="IRY15" s="60"/>
      <c r="IRZ15" s="60"/>
      <c r="ISA15" s="60"/>
      <c r="ISB15" s="60"/>
      <c r="ISC15" s="60"/>
      <c r="ISD15" s="60"/>
      <c r="ISE15" s="60"/>
      <c r="ISF15" s="60"/>
      <c r="ISG15" s="60"/>
      <c r="ISH15" s="60"/>
      <c r="ISI15" s="60"/>
      <c r="ISJ15" s="60"/>
      <c r="ISK15" s="60"/>
      <c r="ISL15" s="60"/>
      <c r="ISM15" s="60"/>
      <c r="ISN15" s="60"/>
      <c r="ISO15" s="60"/>
      <c r="ISP15" s="60"/>
      <c r="ISQ15" s="60"/>
      <c r="ISR15" s="60"/>
      <c r="ISS15" s="60"/>
      <c r="IST15" s="60"/>
      <c r="ISU15" s="60"/>
      <c r="ISV15" s="60"/>
      <c r="ISW15" s="60"/>
      <c r="ISX15" s="60"/>
      <c r="ISY15" s="60"/>
      <c r="ISZ15" s="60"/>
      <c r="ITA15" s="60"/>
      <c r="ITB15" s="60"/>
      <c r="ITC15" s="60"/>
      <c r="ITD15" s="60"/>
      <c r="ITE15" s="60"/>
      <c r="ITF15" s="60"/>
      <c r="ITG15" s="60"/>
      <c r="ITH15" s="60"/>
      <c r="ITI15" s="60"/>
      <c r="ITJ15" s="60"/>
      <c r="ITK15" s="60"/>
      <c r="ITL15" s="60"/>
      <c r="ITM15" s="60"/>
      <c r="ITN15" s="60"/>
      <c r="ITO15" s="60"/>
      <c r="ITP15" s="60"/>
      <c r="ITQ15" s="60"/>
      <c r="ITR15" s="60"/>
      <c r="ITS15" s="60"/>
      <c r="ITT15" s="60"/>
      <c r="ITU15" s="60"/>
      <c r="ITV15" s="60"/>
      <c r="ITW15" s="60"/>
      <c r="ITX15" s="60"/>
      <c r="ITY15" s="60"/>
      <c r="ITZ15" s="60"/>
      <c r="IUA15" s="60"/>
      <c r="IUB15" s="60"/>
      <c r="IUC15" s="60"/>
      <c r="IUD15" s="60"/>
      <c r="IUE15" s="60"/>
      <c r="IUF15" s="60"/>
      <c r="IUG15" s="60"/>
      <c r="IUH15" s="60"/>
      <c r="IUI15" s="60"/>
      <c r="IUJ15" s="60"/>
      <c r="IUK15" s="60"/>
      <c r="IUL15" s="60"/>
      <c r="IUM15" s="60"/>
      <c r="IUN15" s="60"/>
      <c r="IUO15" s="60"/>
      <c r="IUP15" s="60"/>
      <c r="IUQ15" s="60"/>
      <c r="IUR15" s="60"/>
      <c r="IUS15" s="60"/>
      <c r="IUT15" s="60"/>
      <c r="IUU15" s="60"/>
      <c r="IUV15" s="60"/>
      <c r="IUW15" s="60"/>
      <c r="IUX15" s="60"/>
      <c r="IUY15" s="60"/>
      <c r="IUZ15" s="60"/>
      <c r="IVA15" s="60"/>
      <c r="IVB15" s="60"/>
      <c r="IVC15" s="60"/>
      <c r="IVD15" s="60"/>
      <c r="IVE15" s="60"/>
      <c r="IVF15" s="60"/>
      <c r="IVG15" s="60"/>
      <c r="IVH15" s="60"/>
      <c r="IVI15" s="60"/>
      <c r="IVJ15" s="60"/>
      <c r="IVK15" s="60"/>
      <c r="IVL15" s="60"/>
      <c r="IVM15" s="60"/>
      <c r="IVN15" s="60"/>
      <c r="IVO15" s="60"/>
      <c r="IVP15" s="60"/>
      <c r="IVQ15" s="60"/>
      <c r="IVR15" s="60"/>
      <c r="IVS15" s="60"/>
      <c r="IVT15" s="60"/>
      <c r="IVU15" s="60"/>
      <c r="IVV15" s="60"/>
      <c r="IVW15" s="60"/>
      <c r="IVX15" s="60"/>
      <c r="IVY15" s="60"/>
      <c r="IVZ15" s="60"/>
      <c r="IWA15" s="60"/>
      <c r="IWB15" s="60"/>
      <c r="IWC15" s="60"/>
      <c r="IWD15" s="60"/>
      <c r="IWE15" s="60"/>
      <c r="IWF15" s="60"/>
      <c r="IWG15" s="60"/>
      <c r="IWH15" s="60"/>
      <c r="IWI15" s="60"/>
      <c r="IWJ15" s="60"/>
      <c r="IWK15" s="60"/>
      <c r="IWL15" s="60"/>
      <c r="IWM15" s="60"/>
      <c r="IWN15" s="60"/>
      <c r="IWO15" s="60"/>
      <c r="IWP15" s="60"/>
      <c r="IWQ15" s="60"/>
      <c r="IWR15" s="60"/>
      <c r="IWS15" s="60"/>
      <c r="IWT15" s="60"/>
      <c r="IWU15" s="60"/>
      <c r="IWV15" s="60"/>
      <c r="IWW15" s="60"/>
      <c r="IWX15" s="60"/>
      <c r="IWY15" s="60"/>
      <c r="IWZ15" s="60"/>
      <c r="IXA15" s="60"/>
      <c r="IXB15" s="60"/>
      <c r="IXC15" s="60"/>
      <c r="IXD15" s="60"/>
      <c r="IXE15" s="60"/>
      <c r="IXF15" s="60"/>
      <c r="IXG15" s="60"/>
      <c r="IXH15" s="60"/>
      <c r="IXI15" s="60"/>
      <c r="IXJ15" s="60"/>
      <c r="IXK15" s="60"/>
      <c r="IXL15" s="60"/>
      <c r="IXM15" s="60"/>
      <c r="IXN15" s="60"/>
      <c r="IXO15" s="60"/>
      <c r="IXP15" s="60"/>
      <c r="IXQ15" s="60"/>
      <c r="IXR15" s="60"/>
      <c r="IXS15" s="60"/>
      <c r="IXT15" s="60"/>
      <c r="IXU15" s="60"/>
      <c r="IXV15" s="60"/>
      <c r="IXW15" s="60"/>
      <c r="IXX15" s="60"/>
      <c r="IXY15" s="60"/>
      <c r="IXZ15" s="60"/>
      <c r="IYA15" s="60"/>
      <c r="IYB15" s="60"/>
      <c r="IYC15" s="60"/>
      <c r="IYD15" s="60"/>
      <c r="IYE15" s="60"/>
      <c r="IYF15" s="60"/>
      <c r="IYG15" s="60"/>
      <c r="IYH15" s="60"/>
      <c r="IYI15" s="60"/>
      <c r="IYJ15" s="60"/>
      <c r="IYK15" s="60"/>
      <c r="IYL15" s="60"/>
      <c r="IYM15" s="60"/>
      <c r="IYN15" s="60"/>
      <c r="IYO15" s="60"/>
      <c r="IYP15" s="60"/>
      <c r="IYQ15" s="60"/>
      <c r="IYR15" s="60"/>
      <c r="IYS15" s="60"/>
      <c r="IYT15" s="60"/>
      <c r="IYU15" s="60"/>
      <c r="IYV15" s="60"/>
      <c r="IYW15" s="60"/>
      <c r="IYX15" s="60"/>
      <c r="IYY15" s="60"/>
      <c r="IYZ15" s="60"/>
      <c r="IZA15" s="60"/>
      <c r="IZB15" s="60"/>
      <c r="IZC15" s="60"/>
      <c r="IZD15" s="60"/>
      <c r="IZE15" s="60"/>
      <c r="IZF15" s="60"/>
      <c r="IZG15" s="60"/>
      <c r="IZH15" s="60"/>
      <c r="IZI15" s="60"/>
      <c r="IZJ15" s="60"/>
      <c r="IZK15" s="60"/>
      <c r="IZL15" s="60"/>
      <c r="IZM15" s="60"/>
      <c r="IZN15" s="60"/>
      <c r="IZO15" s="60"/>
      <c r="IZP15" s="60"/>
      <c r="IZQ15" s="60"/>
      <c r="IZR15" s="60"/>
      <c r="IZS15" s="60"/>
      <c r="IZT15" s="60"/>
      <c r="IZU15" s="60"/>
      <c r="IZV15" s="60"/>
      <c r="IZW15" s="60"/>
      <c r="IZX15" s="60"/>
      <c r="IZY15" s="60"/>
      <c r="IZZ15" s="60"/>
      <c r="JAA15" s="60"/>
      <c r="JAB15" s="60"/>
      <c r="JAC15" s="60"/>
      <c r="JAD15" s="60"/>
      <c r="JAE15" s="60"/>
      <c r="JAF15" s="60"/>
      <c r="JAG15" s="60"/>
      <c r="JAH15" s="60"/>
      <c r="JAI15" s="60"/>
      <c r="JAJ15" s="60"/>
      <c r="JAK15" s="60"/>
      <c r="JAL15" s="60"/>
      <c r="JAM15" s="60"/>
      <c r="JAN15" s="60"/>
      <c r="JAO15" s="60"/>
      <c r="JAP15" s="60"/>
      <c r="JAQ15" s="60"/>
      <c r="JAR15" s="60"/>
      <c r="JAS15" s="60"/>
      <c r="JAT15" s="60"/>
      <c r="JAU15" s="60"/>
      <c r="JAV15" s="60"/>
      <c r="JAW15" s="60"/>
      <c r="JAX15" s="60"/>
      <c r="JAY15" s="60"/>
      <c r="JAZ15" s="60"/>
      <c r="JBA15" s="60"/>
      <c r="JBB15" s="60"/>
      <c r="JBC15" s="60"/>
      <c r="JBD15" s="60"/>
      <c r="JBE15" s="60"/>
      <c r="JBF15" s="60"/>
      <c r="JBG15" s="60"/>
      <c r="JBH15" s="60"/>
      <c r="JBI15" s="60"/>
      <c r="JBJ15" s="60"/>
      <c r="JBK15" s="60"/>
      <c r="JBL15" s="60"/>
      <c r="JBM15" s="60"/>
      <c r="JBN15" s="60"/>
      <c r="JBO15" s="60"/>
      <c r="JBP15" s="60"/>
      <c r="JBQ15" s="60"/>
      <c r="JBR15" s="60"/>
      <c r="JBS15" s="60"/>
      <c r="JBT15" s="60"/>
      <c r="JBU15" s="60"/>
      <c r="JBV15" s="60"/>
      <c r="JBW15" s="60"/>
      <c r="JBX15" s="60"/>
      <c r="JBY15" s="60"/>
      <c r="JBZ15" s="60"/>
      <c r="JCA15" s="60"/>
      <c r="JCB15" s="60"/>
      <c r="JCC15" s="60"/>
      <c r="JCD15" s="60"/>
      <c r="JCE15" s="60"/>
      <c r="JCF15" s="60"/>
      <c r="JCG15" s="60"/>
      <c r="JCH15" s="60"/>
      <c r="JCI15" s="60"/>
      <c r="JCJ15" s="60"/>
      <c r="JCK15" s="60"/>
      <c r="JCL15" s="60"/>
      <c r="JCM15" s="60"/>
      <c r="JCN15" s="60"/>
      <c r="JCO15" s="60"/>
      <c r="JCP15" s="60"/>
      <c r="JCQ15" s="60"/>
      <c r="JCR15" s="60"/>
      <c r="JCS15" s="60"/>
      <c r="JCT15" s="60"/>
      <c r="JCU15" s="60"/>
      <c r="JCV15" s="60"/>
      <c r="JCW15" s="60"/>
      <c r="JCX15" s="60"/>
      <c r="JCY15" s="60"/>
      <c r="JCZ15" s="60"/>
      <c r="JDA15" s="60"/>
      <c r="JDB15" s="60"/>
      <c r="JDC15" s="60"/>
      <c r="JDD15" s="60"/>
      <c r="JDE15" s="60"/>
      <c r="JDF15" s="60"/>
      <c r="JDG15" s="60"/>
      <c r="JDH15" s="60"/>
      <c r="JDI15" s="60"/>
      <c r="JDJ15" s="60"/>
      <c r="JDK15" s="60"/>
      <c r="JDL15" s="60"/>
      <c r="JDM15" s="60"/>
      <c r="JDN15" s="60"/>
      <c r="JDO15" s="60"/>
      <c r="JDP15" s="60"/>
      <c r="JDQ15" s="60"/>
      <c r="JDR15" s="60"/>
      <c r="JDS15" s="60"/>
      <c r="JDT15" s="60"/>
      <c r="JDU15" s="60"/>
      <c r="JDV15" s="60"/>
      <c r="JDW15" s="60"/>
      <c r="JDX15" s="60"/>
      <c r="JDY15" s="60"/>
      <c r="JDZ15" s="60"/>
      <c r="JEA15" s="60"/>
      <c r="JEB15" s="60"/>
      <c r="JEC15" s="60"/>
      <c r="JED15" s="60"/>
      <c r="JEE15" s="60"/>
      <c r="JEF15" s="60"/>
      <c r="JEG15" s="60"/>
      <c r="JEH15" s="60"/>
      <c r="JEI15" s="60"/>
      <c r="JEJ15" s="60"/>
      <c r="JEK15" s="60"/>
      <c r="JEL15" s="60"/>
      <c r="JEM15" s="60"/>
      <c r="JEN15" s="60"/>
      <c r="JEO15" s="60"/>
      <c r="JEP15" s="60"/>
      <c r="JEQ15" s="60"/>
      <c r="JER15" s="60"/>
      <c r="JES15" s="60"/>
      <c r="JET15" s="60"/>
      <c r="JEU15" s="60"/>
      <c r="JEV15" s="60"/>
      <c r="JEW15" s="60"/>
      <c r="JEX15" s="60"/>
      <c r="JEY15" s="60"/>
      <c r="JEZ15" s="60"/>
      <c r="JFA15" s="60"/>
      <c r="JFB15" s="60"/>
      <c r="JFC15" s="60"/>
      <c r="JFD15" s="60"/>
      <c r="JFE15" s="60"/>
      <c r="JFF15" s="60"/>
      <c r="JFG15" s="60"/>
      <c r="JFH15" s="60"/>
      <c r="JFI15" s="60"/>
      <c r="JFJ15" s="60"/>
      <c r="JFK15" s="60"/>
      <c r="JFL15" s="60"/>
      <c r="JFM15" s="60"/>
      <c r="JFN15" s="60"/>
      <c r="JFO15" s="60"/>
      <c r="JFP15" s="60"/>
      <c r="JFQ15" s="60"/>
      <c r="JFR15" s="60"/>
      <c r="JFS15" s="60"/>
      <c r="JFT15" s="60"/>
      <c r="JFU15" s="60"/>
      <c r="JFV15" s="60"/>
      <c r="JFW15" s="60"/>
      <c r="JFX15" s="60"/>
      <c r="JFY15" s="60"/>
      <c r="JFZ15" s="60"/>
      <c r="JGA15" s="60"/>
      <c r="JGB15" s="60"/>
      <c r="JGC15" s="60"/>
      <c r="JGD15" s="60"/>
      <c r="JGE15" s="60"/>
      <c r="JGF15" s="60"/>
      <c r="JGG15" s="60"/>
      <c r="JGH15" s="60"/>
      <c r="JGI15" s="60"/>
      <c r="JGJ15" s="60"/>
      <c r="JGK15" s="60"/>
      <c r="JGL15" s="60"/>
      <c r="JGM15" s="60"/>
      <c r="JGN15" s="60"/>
      <c r="JGO15" s="60"/>
      <c r="JGP15" s="60"/>
      <c r="JGQ15" s="60"/>
      <c r="JGR15" s="60"/>
      <c r="JGS15" s="60"/>
      <c r="JGT15" s="60"/>
      <c r="JGU15" s="60"/>
      <c r="JGV15" s="60"/>
      <c r="JGW15" s="60"/>
      <c r="JGX15" s="60"/>
      <c r="JGY15" s="60"/>
      <c r="JGZ15" s="60"/>
      <c r="JHA15" s="60"/>
      <c r="JHB15" s="60"/>
      <c r="JHC15" s="60"/>
      <c r="JHD15" s="60"/>
      <c r="JHE15" s="60"/>
      <c r="JHF15" s="60"/>
      <c r="JHG15" s="60"/>
      <c r="JHH15" s="60"/>
      <c r="JHI15" s="60"/>
      <c r="JHJ15" s="60"/>
      <c r="JHK15" s="60"/>
      <c r="JHL15" s="60"/>
      <c r="JHM15" s="60"/>
      <c r="JHN15" s="60"/>
      <c r="JHO15" s="60"/>
      <c r="JHP15" s="60"/>
      <c r="JHQ15" s="60"/>
      <c r="JHR15" s="60"/>
      <c r="JHS15" s="60"/>
      <c r="JHT15" s="60"/>
      <c r="JHU15" s="60"/>
      <c r="JHV15" s="60"/>
      <c r="JHW15" s="60"/>
      <c r="JHX15" s="60"/>
      <c r="JHY15" s="60"/>
      <c r="JHZ15" s="60"/>
      <c r="JIA15" s="60"/>
      <c r="JIB15" s="60"/>
      <c r="JIC15" s="60"/>
      <c r="JID15" s="60"/>
      <c r="JIE15" s="60"/>
      <c r="JIF15" s="60"/>
      <c r="JIG15" s="60"/>
      <c r="JIH15" s="60"/>
      <c r="JII15" s="60"/>
      <c r="JIJ15" s="60"/>
      <c r="JIK15" s="60"/>
      <c r="JIL15" s="60"/>
      <c r="JIM15" s="60"/>
      <c r="JIN15" s="60"/>
      <c r="JIO15" s="60"/>
      <c r="JIP15" s="60"/>
      <c r="JIQ15" s="60"/>
      <c r="JIR15" s="60"/>
      <c r="JIS15" s="60"/>
      <c r="JIT15" s="60"/>
      <c r="JIU15" s="60"/>
      <c r="JIV15" s="60"/>
      <c r="JIW15" s="60"/>
      <c r="JIX15" s="60"/>
      <c r="JIY15" s="60"/>
      <c r="JIZ15" s="60"/>
      <c r="JJA15" s="60"/>
      <c r="JJB15" s="60"/>
      <c r="JJC15" s="60"/>
      <c r="JJD15" s="60"/>
      <c r="JJE15" s="60"/>
      <c r="JJF15" s="60"/>
      <c r="JJG15" s="60"/>
      <c r="JJH15" s="60"/>
      <c r="JJI15" s="60"/>
      <c r="JJJ15" s="60"/>
      <c r="JJK15" s="60"/>
      <c r="JJL15" s="60"/>
      <c r="JJM15" s="60"/>
      <c r="JJN15" s="60"/>
      <c r="JJO15" s="60"/>
      <c r="JJP15" s="60"/>
      <c r="JJQ15" s="60"/>
      <c r="JJR15" s="60"/>
      <c r="JJS15" s="60"/>
      <c r="JJT15" s="60"/>
      <c r="JJU15" s="60"/>
      <c r="JJV15" s="60"/>
      <c r="JJW15" s="60"/>
      <c r="JJX15" s="60"/>
      <c r="JJY15" s="60"/>
      <c r="JJZ15" s="60"/>
      <c r="JKA15" s="60"/>
      <c r="JKB15" s="60"/>
      <c r="JKC15" s="60"/>
      <c r="JKD15" s="60"/>
      <c r="JKE15" s="60"/>
      <c r="JKF15" s="60"/>
      <c r="JKG15" s="60"/>
      <c r="JKH15" s="60"/>
      <c r="JKI15" s="60"/>
      <c r="JKJ15" s="60"/>
      <c r="JKK15" s="60"/>
      <c r="JKL15" s="60"/>
      <c r="JKM15" s="60"/>
      <c r="JKN15" s="60"/>
      <c r="JKO15" s="60"/>
      <c r="JKP15" s="60"/>
      <c r="JKQ15" s="60"/>
      <c r="JKR15" s="60"/>
      <c r="JKS15" s="60"/>
      <c r="JKT15" s="60"/>
      <c r="JKU15" s="60"/>
      <c r="JKV15" s="60"/>
      <c r="JKW15" s="60"/>
      <c r="JKX15" s="60"/>
      <c r="JKY15" s="60"/>
      <c r="JKZ15" s="60"/>
      <c r="JLA15" s="60"/>
      <c r="JLB15" s="60"/>
      <c r="JLC15" s="60"/>
      <c r="JLD15" s="60"/>
      <c r="JLE15" s="60"/>
      <c r="JLF15" s="60"/>
      <c r="JLG15" s="60"/>
      <c r="JLH15" s="60"/>
      <c r="JLI15" s="60"/>
      <c r="JLJ15" s="60"/>
      <c r="JLK15" s="60"/>
      <c r="JLL15" s="60"/>
      <c r="JLM15" s="60"/>
      <c r="JLN15" s="60"/>
      <c r="JLO15" s="60"/>
      <c r="JLP15" s="60"/>
      <c r="JLQ15" s="60"/>
      <c r="JLR15" s="60"/>
      <c r="JLS15" s="60"/>
      <c r="JLT15" s="60"/>
      <c r="JLU15" s="60"/>
      <c r="JLV15" s="60"/>
      <c r="JLW15" s="60"/>
      <c r="JLX15" s="60"/>
      <c r="JLY15" s="60"/>
      <c r="JLZ15" s="60"/>
      <c r="JMA15" s="60"/>
      <c r="JMB15" s="60"/>
      <c r="JMC15" s="60"/>
      <c r="JMD15" s="60"/>
      <c r="JME15" s="60"/>
      <c r="JMF15" s="60"/>
      <c r="JMG15" s="60"/>
      <c r="JMH15" s="60"/>
      <c r="JMI15" s="60"/>
      <c r="JMJ15" s="60"/>
      <c r="JMK15" s="60"/>
      <c r="JML15" s="60"/>
      <c r="JMM15" s="60"/>
      <c r="JMN15" s="60"/>
      <c r="JMO15" s="60"/>
      <c r="JMP15" s="60"/>
      <c r="JMQ15" s="60"/>
      <c r="JMR15" s="60"/>
      <c r="JMS15" s="60"/>
      <c r="JMT15" s="60"/>
      <c r="JMU15" s="60"/>
      <c r="JMV15" s="60"/>
      <c r="JMW15" s="60"/>
      <c r="JMX15" s="60"/>
      <c r="JMY15" s="60"/>
      <c r="JMZ15" s="60"/>
      <c r="JNA15" s="60"/>
      <c r="JNB15" s="60"/>
      <c r="JNC15" s="60"/>
      <c r="JND15" s="60"/>
      <c r="JNE15" s="60"/>
      <c r="JNF15" s="60"/>
      <c r="JNG15" s="60"/>
      <c r="JNH15" s="60"/>
      <c r="JNI15" s="60"/>
      <c r="JNJ15" s="60"/>
      <c r="JNK15" s="60"/>
      <c r="JNL15" s="60"/>
      <c r="JNM15" s="60"/>
      <c r="JNN15" s="60"/>
      <c r="JNO15" s="60"/>
      <c r="JNP15" s="60"/>
      <c r="JNQ15" s="60"/>
      <c r="JNR15" s="60"/>
      <c r="JNS15" s="60"/>
      <c r="JNT15" s="60"/>
      <c r="JNU15" s="60"/>
      <c r="JNV15" s="60"/>
      <c r="JNW15" s="60"/>
      <c r="JNX15" s="60"/>
      <c r="JNY15" s="60"/>
      <c r="JNZ15" s="60"/>
      <c r="JOA15" s="60"/>
      <c r="JOB15" s="60"/>
      <c r="JOC15" s="60"/>
      <c r="JOD15" s="60"/>
      <c r="JOE15" s="60"/>
      <c r="JOF15" s="60"/>
      <c r="JOG15" s="60"/>
      <c r="JOH15" s="60"/>
      <c r="JOI15" s="60"/>
      <c r="JOJ15" s="60"/>
      <c r="JOK15" s="60"/>
      <c r="JOL15" s="60"/>
      <c r="JOM15" s="60"/>
      <c r="JON15" s="60"/>
      <c r="JOO15" s="60"/>
      <c r="JOP15" s="60"/>
      <c r="JOQ15" s="60"/>
      <c r="JOR15" s="60"/>
      <c r="JOS15" s="60"/>
      <c r="JOT15" s="60"/>
      <c r="JOU15" s="60"/>
      <c r="JOV15" s="60"/>
      <c r="JOW15" s="60"/>
      <c r="JOX15" s="60"/>
      <c r="JOY15" s="60"/>
      <c r="JOZ15" s="60"/>
      <c r="JPA15" s="60"/>
      <c r="JPB15" s="60"/>
      <c r="JPC15" s="60"/>
      <c r="JPD15" s="60"/>
      <c r="JPE15" s="60"/>
      <c r="JPF15" s="60"/>
      <c r="JPG15" s="60"/>
      <c r="JPH15" s="60"/>
      <c r="JPI15" s="60"/>
      <c r="JPJ15" s="60"/>
      <c r="JPK15" s="60"/>
      <c r="JPL15" s="60"/>
      <c r="JPM15" s="60"/>
      <c r="JPN15" s="60"/>
      <c r="JPO15" s="60"/>
      <c r="JPP15" s="60"/>
      <c r="JPQ15" s="60"/>
      <c r="JPR15" s="60"/>
      <c r="JPS15" s="60"/>
      <c r="JPT15" s="60"/>
      <c r="JPU15" s="60"/>
      <c r="JPV15" s="60"/>
      <c r="JPW15" s="60"/>
      <c r="JPX15" s="60"/>
      <c r="JPY15" s="60"/>
      <c r="JPZ15" s="60"/>
      <c r="JQA15" s="60"/>
      <c r="JQB15" s="60"/>
      <c r="JQC15" s="60"/>
      <c r="JQD15" s="60"/>
      <c r="JQE15" s="60"/>
      <c r="JQF15" s="60"/>
      <c r="JQG15" s="60"/>
      <c r="JQH15" s="60"/>
      <c r="JQI15" s="60"/>
      <c r="JQJ15" s="60"/>
      <c r="JQK15" s="60"/>
      <c r="JQL15" s="60"/>
      <c r="JQM15" s="60"/>
      <c r="JQN15" s="60"/>
      <c r="JQO15" s="60"/>
      <c r="JQP15" s="60"/>
      <c r="JQQ15" s="60"/>
      <c r="JQR15" s="60"/>
      <c r="JQS15" s="60"/>
      <c r="JQT15" s="60"/>
      <c r="JQU15" s="60"/>
      <c r="JQV15" s="60"/>
      <c r="JQW15" s="60"/>
      <c r="JQX15" s="60"/>
      <c r="JQY15" s="60"/>
      <c r="JQZ15" s="60"/>
      <c r="JRA15" s="60"/>
      <c r="JRB15" s="60"/>
      <c r="JRC15" s="60"/>
      <c r="JRD15" s="60"/>
      <c r="JRE15" s="60"/>
      <c r="JRF15" s="60"/>
      <c r="JRG15" s="60"/>
      <c r="JRH15" s="60"/>
      <c r="JRI15" s="60"/>
      <c r="JRJ15" s="60"/>
      <c r="JRK15" s="60"/>
      <c r="JRL15" s="60"/>
      <c r="JRM15" s="60"/>
      <c r="JRN15" s="60"/>
      <c r="JRO15" s="60"/>
      <c r="JRP15" s="60"/>
      <c r="JRQ15" s="60"/>
      <c r="JRR15" s="60"/>
      <c r="JRS15" s="60"/>
      <c r="JRT15" s="60"/>
      <c r="JRU15" s="60"/>
      <c r="JRV15" s="60"/>
      <c r="JRW15" s="60"/>
      <c r="JRX15" s="60"/>
      <c r="JRY15" s="60"/>
      <c r="JRZ15" s="60"/>
      <c r="JSA15" s="60"/>
      <c r="JSB15" s="60"/>
      <c r="JSC15" s="60"/>
      <c r="JSD15" s="60"/>
      <c r="JSE15" s="60"/>
      <c r="JSF15" s="60"/>
      <c r="JSG15" s="60"/>
      <c r="JSH15" s="60"/>
      <c r="JSI15" s="60"/>
      <c r="JSJ15" s="60"/>
      <c r="JSK15" s="60"/>
      <c r="JSL15" s="60"/>
      <c r="JSM15" s="60"/>
      <c r="JSN15" s="60"/>
      <c r="JSO15" s="60"/>
      <c r="JSP15" s="60"/>
      <c r="JSQ15" s="60"/>
      <c r="JSR15" s="60"/>
      <c r="JSS15" s="60"/>
      <c r="JST15" s="60"/>
      <c r="JSU15" s="60"/>
      <c r="JSV15" s="60"/>
      <c r="JSW15" s="60"/>
      <c r="JSX15" s="60"/>
      <c r="JSY15" s="60"/>
      <c r="JSZ15" s="60"/>
      <c r="JTA15" s="60"/>
      <c r="JTB15" s="60"/>
      <c r="JTC15" s="60"/>
      <c r="JTD15" s="60"/>
      <c r="JTE15" s="60"/>
      <c r="JTF15" s="60"/>
      <c r="JTG15" s="60"/>
      <c r="JTH15" s="60"/>
      <c r="JTI15" s="60"/>
      <c r="JTJ15" s="60"/>
      <c r="JTK15" s="60"/>
      <c r="JTL15" s="60"/>
      <c r="JTM15" s="60"/>
      <c r="JTN15" s="60"/>
      <c r="JTO15" s="60"/>
      <c r="JTP15" s="60"/>
      <c r="JTQ15" s="60"/>
      <c r="JTR15" s="60"/>
      <c r="JTS15" s="60"/>
      <c r="JTT15" s="60"/>
      <c r="JTU15" s="60"/>
      <c r="JTV15" s="60"/>
      <c r="JTW15" s="60"/>
      <c r="JTX15" s="60"/>
      <c r="JTY15" s="60"/>
      <c r="JTZ15" s="60"/>
      <c r="JUA15" s="60"/>
      <c r="JUB15" s="60"/>
      <c r="JUC15" s="60"/>
      <c r="JUD15" s="60"/>
      <c r="JUE15" s="60"/>
      <c r="JUF15" s="60"/>
      <c r="JUG15" s="60"/>
      <c r="JUH15" s="60"/>
      <c r="JUI15" s="60"/>
      <c r="JUJ15" s="60"/>
      <c r="JUK15" s="60"/>
      <c r="JUL15" s="60"/>
      <c r="JUM15" s="60"/>
      <c r="JUN15" s="60"/>
      <c r="JUO15" s="60"/>
      <c r="JUP15" s="60"/>
      <c r="JUQ15" s="60"/>
      <c r="JUR15" s="60"/>
      <c r="JUS15" s="60"/>
      <c r="JUT15" s="60"/>
      <c r="JUU15" s="60"/>
      <c r="JUV15" s="60"/>
      <c r="JUW15" s="60"/>
      <c r="JUX15" s="60"/>
      <c r="JUY15" s="60"/>
      <c r="JUZ15" s="60"/>
      <c r="JVA15" s="60"/>
      <c r="JVB15" s="60"/>
      <c r="JVC15" s="60"/>
      <c r="JVD15" s="60"/>
      <c r="JVE15" s="60"/>
      <c r="JVF15" s="60"/>
      <c r="JVG15" s="60"/>
      <c r="JVH15" s="60"/>
      <c r="JVI15" s="60"/>
      <c r="JVJ15" s="60"/>
      <c r="JVK15" s="60"/>
      <c r="JVL15" s="60"/>
      <c r="JVM15" s="60"/>
      <c r="JVN15" s="60"/>
      <c r="JVO15" s="60"/>
      <c r="JVP15" s="60"/>
      <c r="JVQ15" s="60"/>
      <c r="JVR15" s="60"/>
      <c r="JVS15" s="60"/>
      <c r="JVT15" s="60"/>
      <c r="JVU15" s="60"/>
      <c r="JVV15" s="60"/>
      <c r="JVW15" s="60"/>
      <c r="JVX15" s="60"/>
      <c r="JVY15" s="60"/>
      <c r="JVZ15" s="60"/>
      <c r="JWA15" s="60"/>
      <c r="JWB15" s="60"/>
      <c r="JWC15" s="60"/>
      <c r="JWD15" s="60"/>
      <c r="JWE15" s="60"/>
      <c r="JWF15" s="60"/>
      <c r="JWG15" s="60"/>
      <c r="JWH15" s="60"/>
      <c r="JWI15" s="60"/>
      <c r="JWJ15" s="60"/>
      <c r="JWK15" s="60"/>
      <c r="JWL15" s="60"/>
      <c r="JWM15" s="60"/>
      <c r="JWN15" s="60"/>
      <c r="JWO15" s="60"/>
      <c r="JWP15" s="60"/>
      <c r="JWQ15" s="60"/>
      <c r="JWR15" s="60"/>
      <c r="JWS15" s="60"/>
      <c r="JWT15" s="60"/>
      <c r="JWU15" s="60"/>
      <c r="JWV15" s="60"/>
      <c r="JWW15" s="60"/>
      <c r="JWX15" s="60"/>
      <c r="JWY15" s="60"/>
      <c r="JWZ15" s="60"/>
      <c r="JXA15" s="60"/>
      <c r="JXB15" s="60"/>
      <c r="JXC15" s="60"/>
      <c r="JXD15" s="60"/>
      <c r="JXE15" s="60"/>
      <c r="JXF15" s="60"/>
      <c r="JXG15" s="60"/>
      <c r="JXH15" s="60"/>
      <c r="JXI15" s="60"/>
      <c r="JXJ15" s="60"/>
      <c r="JXK15" s="60"/>
      <c r="JXL15" s="60"/>
      <c r="JXM15" s="60"/>
      <c r="JXN15" s="60"/>
      <c r="JXO15" s="60"/>
      <c r="JXP15" s="60"/>
      <c r="JXQ15" s="60"/>
      <c r="JXR15" s="60"/>
      <c r="JXS15" s="60"/>
      <c r="JXT15" s="60"/>
      <c r="JXU15" s="60"/>
      <c r="JXV15" s="60"/>
      <c r="JXW15" s="60"/>
      <c r="JXX15" s="60"/>
      <c r="JXY15" s="60"/>
      <c r="JXZ15" s="60"/>
      <c r="JYA15" s="60"/>
      <c r="JYB15" s="60"/>
      <c r="JYC15" s="60"/>
      <c r="JYD15" s="60"/>
      <c r="JYE15" s="60"/>
      <c r="JYF15" s="60"/>
      <c r="JYG15" s="60"/>
      <c r="JYH15" s="60"/>
      <c r="JYI15" s="60"/>
      <c r="JYJ15" s="60"/>
      <c r="JYK15" s="60"/>
      <c r="JYL15" s="60"/>
      <c r="JYM15" s="60"/>
      <c r="JYN15" s="60"/>
      <c r="JYO15" s="60"/>
      <c r="JYP15" s="60"/>
      <c r="JYQ15" s="60"/>
      <c r="JYR15" s="60"/>
      <c r="JYS15" s="60"/>
      <c r="JYT15" s="60"/>
      <c r="JYU15" s="60"/>
      <c r="JYV15" s="60"/>
      <c r="JYW15" s="60"/>
      <c r="JYX15" s="60"/>
      <c r="JYY15" s="60"/>
      <c r="JYZ15" s="60"/>
      <c r="JZA15" s="60"/>
      <c r="JZB15" s="60"/>
      <c r="JZC15" s="60"/>
      <c r="JZD15" s="60"/>
      <c r="JZE15" s="60"/>
      <c r="JZF15" s="60"/>
      <c r="JZG15" s="60"/>
      <c r="JZH15" s="60"/>
      <c r="JZI15" s="60"/>
      <c r="JZJ15" s="60"/>
      <c r="JZK15" s="60"/>
      <c r="JZL15" s="60"/>
      <c r="JZM15" s="60"/>
      <c r="JZN15" s="60"/>
      <c r="JZO15" s="60"/>
      <c r="JZP15" s="60"/>
      <c r="JZQ15" s="60"/>
      <c r="JZR15" s="60"/>
      <c r="JZS15" s="60"/>
      <c r="JZT15" s="60"/>
      <c r="JZU15" s="60"/>
      <c r="JZV15" s="60"/>
      <c r="JZW15" s="60"/>
      <c r="JZX15" s="60"/>
      <c r="JZY15" s="60"/>
      <c r="JZZ15" s="60"/>
      <c r="KAA15" s="60"/>
      <c r="KAB15" s="60"/>
      <c r="KAC15" s="60"/>
      <c r="KAD15" s="60"/>
      <c r="KAE15" s="60"/>
      <c r="KAF15" s="60"/>
      <c r="KAG15" s="60"/>
      <c r="KAH15" s="60"/>
      <c r="KAI15" s="60"/>
      <c r="KAJ15" s="60"/>
      <c r="KAK15" s="60"/>
      <c r="KAL15" s="60"/>
      <c r="KAM15" s="60"/>
      <c r="KAN15" s="60"/>
      <c r="KAO15" s="60"/>
      <c r="KAP15" s="60"/>
      <c r="KAQ15" s="60"/>
      <c r="KAR15" s="60"/>
      <c r="KAS15" s="60"/>
      <c r="KAT15" s="60"/>
      <c r="KAU15" s="60"/>
      <c r="KAV15" s="60"/>
      <c r="KAW15" s="60"/>
      <c r="KAX15" s="60"/>
      <c r="KAY15" s="60"/>
      <c r="KAZ15" s="60"/>
      <c r="KBA15" s="60"/>
      <c r="KBB15" s="60"/>
      <c r="KBC15" s="60"/>
      <c r="KBD15" s="60"/>
      <c r="KBE15" s="60"/>
      <c r="KBF15" s="60"/>
      <c r="KBG15" s="60"/>
      <c r="KBH15" s="60"/>
      <c r="KBI15" s="60"/>
      <c r="KBJ15" s="60"/>
      <c r="KBK15" s="60"/>
      <c r="KBL15" s="60"/>
      <c r="KBM15" s="60"/>
      <c r="KBN15" s="60"/>
      <c r="KBO15" s="60"/>
      <c r="KBP15" s="60"/>
      <c r="KBQ15" s="60"/>
      <c r="KBR15" s="60"/>
      <c r="KBS15" s="60"/>
      <c r="KBT15" s="60"/>
      <c r="KBU15" s="60"/>
      <c r="KBV15" s="60"/>
      <c r="KBW15" s="60"/>
      <c r="KBX15" s="60"/>
      <c r="KBY15" s="60"/>
      <c r="KBZ15" s="60"/>
      <c r="KCA15" s="60"/>
      <c r="KCB15" s="60"/>
      <c r="KCC15" s="60"/>
      <c r="KCD15" s="60"/>
      <c r="KCE15" s="60"/>
      <c r="KCF15" s="60"/>
      <c r="KCG15" s="60"/>
      <c r="KCH15" s="60"/>
      <c r="KCI15" s="60"/>
      <c r="KCJ15" s="60"/>
      <c r="KCK15" s="60"/>
      <c r="KCL15" s="60"/>
      <c r="KCM15" s="60"/>
      <c r="KCN15" s="60"/>
      <c r="KCO15" s="60"/>
      <c r="KCP15" s="60"/>
      <c r="KCQ15" s="60"/>
      <c r="KCR15" s="60"/>
      <c r="KCS15" s="60"/>
      <c r="KCT15" s="60"/>
      <c r="KCU15" s="60"/>
      <c r="KCV15" s="60"/>
      <c r="KCW15" s="60"/>
      <c r="KCX15" s="60"/>
      <c r="KCY15" s="60"/>
      <c r="KCZ15" s="60"/>
      <c r="KDA15" s="60"/>
      <c r="KDB15" s="60"/>
      <c r="KDC15" s="60"/>
      <c r="KDD15" s="60"/>
      <c r="KDE15" s="60"/>
      <c r="KDF15" s="60"/>
      <c r="KDG15" s="60"/>
      <c r="KDH15" s="60"/>
      <c r="KDI15" s="60"/>
      <c r="KDJ15" s="60"/>
      <c r="KDK15" s="60"/>
      <c r="KDL15" s="60"/>
      <c r="KDM15" s="60"/>
      <c r="KDN15" s="60"/>
      <c r="KDO15" s="60"/>
      <c r="KDP15" s="60"/>
      <c r="KDQ15" s="60"/>
      <c r="KDR15" s="60"/>
      <c r="KDS15" s="60"/>
      <c r="KDT15" s="60"/>
      <c r="KDU15" s="60"/>
      <c r="KDV15" s="60"/>
      <c r="KDW15" s="60"/>
      <c r="KDX15" s="60"/>
      <c r="KDY15" s="60"/>
      <c r="KDZ15" s="60"/>
      <c r="KEA15" s="60"/>
      <c r="KEB15" s="60"/>
      <c r="KEC15" s="60"/>
      <c r="KED15" s="60"/>
      <c r="KEE15" s="60"/>
      <c r="KEF15" s="60"/>
      <c r="KEG15" s="60"/>
      <c r="KEH15" s="60"/>
      <c r="KEI15" s="60"/>
      <c r="KEJ15" s="60"/>
      <c r="KEK15" s="60"/>
      <c r="KEL15" s="60"/>
      <c r="KEM15" s="60"/>
      <c r="KEN15" s="60"/>
      <c r="KEO15" s="60"/>
      <c r="KEP15" s="60"/>
      <c r="KEQ15" s="60"/>
      <c r="KER15" s="60"/>
      <c r="KES15" s="60"/>
      <c r="KET15" s="60"/>
      <c r="KEU15" s="60"/>
      <c r="KEV15" s="60"/>
      <c r="KEW15" s="60"/>
      <c r="KEX15" s="60"/>
      <c r="KEY15" s="60"/>
      <c r="KEZ15" s="60"/>
      <c r="KFA15" s="60"/>
      <c r="KFB15" s="60"/>
      <c r="KFC15" s="60"/>
      <c r="KFD15" s="60"/>
      <c r="KFE15" s="60"/>
      <c r="KFF15" s="60"/>
      <c r="KFG15" s="60"/>
      <c r="KFH15" s="60"/>
      <c r="KFI15" s="60"/>
      <c r="KFJ15" s="60"/>
      <c r="KFK15" s="60"/>
      <c r="KFL15" s="60"/>
      <c r="KFM15" s="60"/>
      <c r="KFN15" s="60"/>
      <c r="KFO15" s="60"/>
      <c r="KFP15" s="60"/>
      <c r="KFQ15" s="60"/>
      <c r="KFR15" s="60"/>
      <c r="KFS15" s="60"/>
      <c r="KFT15" s="60"/>
      <c r="KFU15" s="60"/>
      <c r="KFV15" s="60"/>
      <c r="KFW15" s="60"/>
      <c r="KFX15" s="60"/>
      <c r="KFY15" s="60"/>
      <c r="KFZ15" s="60"/>
      <c r="KGA15" s="60"/>
      <c r="KGB15" s="60"/>
      <c r="KGC15" s="60"/>
      <c r="KGD15" s="60"/>
      <c r="KGE15" s="60"/>
      <c r="KGF15" s="60"/>
      <c r="KGG15" s="60"/>
      <c r="KGH15" s="60"/>
      <c r="KGI15" s="60"/>
      <c r="KGJ15" s="60"/>
      <c r="KGK15" s="60"/>
      <c r="KGL15" s="60"/>
      <c r="KGM15" s="60"/>
      <c r="KGN15" s="60"/>
      <c r="KGO15" s="60"/>
      <c r="KGP15" s="60"/>
      <c r="KGQ15" s="60"/>
      <c r="KGR15" s="60"/>
      <c r="KGS15" s="60"/>
      <c r="KGT15" s="60"/>
      <c r="KGU15" s="60"/>
      <c r="KGV15" s="60"/>
      <c r="KGW15" s="60"/>
      <c r="KGX15" s="60"/>
      <c r="KGY15" s="60"/>
      <c r="KGZ15" s="60"/>
      <c r="KHA15" s="60"/>
      <c r="KHB15" s="60"/>
      <c r="KHC15" s="60"/>
      <c r="KHD15" s="60"/>
      <c r="KHE15" s="60"/>
      <c r="KHF15" s="60"/>
      <c r="KHG15" s="60"/>
      <c r="KHH15" s="60"/>
      <c r="KHI15" s="60"/>
      <c r="KHJ15" s="60"/>
      <c r="KHK15" s="60"/>
      <c r="KHL15" s="60"/>
      <c r="KHM15" s="60"/>
      <c r="KHN15" s="60"/>
      <c r="KHO15" s="60"/>
      <c r="KHP15" s="60"/>
      <c r="KHQ15" s="60"/>
      <c r="KHR15" s="60"/>
      <c r="KHS15" s="60"/>
      <c r="KHT15" s="60"/>
      <c r="KHU15" s="60"/>
      <c r="KHV15" s="60"/>
      <c r="KHW15" s="60"/>
      <c r="KHX15" s="60"/>
      <c r="KHY15" s="60"/>
      <c r="KHZ15" s="60"/>
      <c r="KIA15" s="60"/>
      <c r="KIB15" s="60"/>
      <c r="KIC15" s="60"/>
      <c r="KID15" s="60"/>
      <c r="KIE15" s="60"/>
      <c r="KIF15" s="60"/>
      <c r="KIG15" s="60"/>
      <c r="KIH15" s="60"/>
      <c r="KII15" s="60"/>
      <c r="KIJ15" s="60"/>
      <c r="KIK15" s="60"/>
      <c r="KIL15" s="60"/>
      <c r="KIM15" s="60"/>
      <c r="KIN15" s="60"/>
      <c r="KIO15" s="60"/>
      <c r="KIP15" s="60"/>
      <c r="KIQ15" s="60"/>
      <c r="KIR15" s="60"/>
      <c r="KIS15" s="60"/>
      <c r="KIT15" s="60"/>
      <c r="KIU15" s="60"/>
      <c r="KIV15" s="60"/>
      <c r="KIW15" s="60"/>
      <c r="KIX15" s="60"/>
      <c r="KIY15" s="60"/>
      <c r="KIZ15" s="60"/>
      <c r="KJA15" s="60"/>
      <c r="KJB15" s="60"/>
      <c r="KJC15" s="60"/>
      <c r="KJD15" s="60"/>
      <c r="KJE15" s="60"/>
      <c r="KJF15" s="60"/>
      <c r="KJG15" s="60"/>
      <c r="KJH15" s="60"/>
      <c r="KJI15" s="60"/>
      <c r="KJJ15" s="60"/>
      <c r="KJK15" s="60"/>
      <c r="KJL15" s="60"/>
      <c r="KJM15" s="60"/>
      <c r="KJN15" s="60"/>
      <c r="KJO15" s="60"/>
      <c r="KJP15" s="60"/>
      <c r="KJQ15" s="60"/>
      <c r="KJR15" s="60"/>
      <c r="KJS15" s="60"/>
      <c r="KJT15" s="60"/>
      <c r="KJU15" s="60"/>
      <c r="KJV15" s="60"/>
      <c r="KJW15" s="60"/>
      <c r="KJX15" s="60"/>
      <c r="KJY15" s="60"/>
      <c r="KJZ15" s="60"/>
      <c r="KKA15" s="60"/>
      <c r="KKB15" s="60"/>
      <c r="KKC15" s="60"/>
      <c r="KKD15" s="60"/>
      <c r="KKE15" s="60"/>
      <c r="KKF15" s="60"/>
      <c r="KKG15" s="60"/>
      <c r="KKH15" s="60"/>
      <c r="KKI15" s="60"/>
      <c r="KKJ15" s="60"/>
      <c r="KKK15" s="60"/>
      <c r="KKL15" s="60"/>
      <c r="KKM15" s="60"/>
      <c r="KKN15" s="60"/>
      <c r="KKO15" s="60"/>
      <c r="KKP15" s="60"/>
      <c r="KKQ15" s="60"/>
      <c r="KKR15" s="60"/>
      <c r="KKS15" s="60"/>
      <c r="KKT15" s="60"/>
      <c r="KKU15" s="60"/>
      <c r="KKV15" s="60"/>
      <c r="KKW15" s="60"/>
      <c r="KKX15" s="60"/>
      <c r="KKY15" s="60"/>
      <c r="KKZ15" s="60"/>
      <c r="KLA15" s="60"/>
      <c r="KLB15" s="60"/>
      <c r="KLC15" s="60"/>
      <c r="KLD15" s="60"/>
      <c r="KLE15" s="60"/>
      <c r="KLF15" s="60"/>
      <c r="KLG15" s="60"/>
      <c r="KLH15" s="60"/>
      <c r="KLI15" s="60"/>
      <c r="KLJ15" s="60"/>
      <c r="KLK15" s="60"/>
      <c r="KLL15" s="60"/>
      <c r="KLM15" s="60"/>
      <c r="KLN15" s="60"/>
      <c r="KLO15" s="60"/>
      <c r="KLP15" s="60"/>
      <c r="KLQ15" s="60"/>
      <c r="KLR15" s="60"/>
      <c r="KLS15" s="60"/>
      <c r="KLT15" s="60"/>
      <c r="KLU15" s="60"/>
      <c r="KLV15" s="60"/>
      <c r="KLW15" s="60"/>
      <c r="KLX15" s="60"/>
      <c r="KLY15" s="60"/>
      <c r="KLZ15" s="60"/>
      <c r="KMA15" s="60"/>
      <c r="KMB15" s="60"/>
      <c r="KMC15" s="60"/>
      <c r="KMD15" s="60"/>
      <c r="KME15" s="60"/>
      <c r="KMF15" s="60"/>
      <c r="KMG15" s="60"/>
      <c r="KMH15" s="60"/>
      <c r="KMI15" s="60"/>
      <c r="KMJ15" s="60"/>
      <c r="KMK15" s="60"/>
      <c r="KML15" s="60"/>
      <c r="KMM15" s="60"/>
      <c r="KMN15" s="60"/>
      <c r="KMO15" s="60"/>
      <c r="KMP15" s="60"/>
      <c r="KMQ15" s="60"/>
      <c r="KMR15" s="60"/>
      <c r="KMS15" s="60"/>
      <c r="KMT15" s="60"/>
      <c r="KMU15" s="60"/>
      <c r="KMV15" s="60"/>
      <c r="KMW15" s="60"/>
      <c r="KMX15" s="60"/>
      <c r="KMY15" s="60"/>
      <c r="KMZ15" s="60"/>
      <c r="KNA15" s="60"/>
      <c r="KNB15" s="60"/>
      <c r="KNC15" s="60"/>
      <c r="KND15" s="60"/>
      <c r="KNE15" s="60"/>
      <c r="KNF15" s="60"/>
      <c r="KNG15" s="60"/>
      <c r="KNH15" s="60"/>
      <c r="KNI15" s="60"/>
      <c r="KNJ15" s="60"/>
      <c r="KNK15" s="60"/>
      <c r="KNL15" s="60"/>
      <c r="KNM15" s="60"/>
      <c r="KNN15" s="60"/>
      <c r="KNO15" s="60"/>
      <c r="KNP15" s="60"/>
      <c r="KNQ15" s="60"/>
      <c r="KNR15" s="60"/>
      <c r="KNS15" s="60"/>
      <c r="KNT15" s="60"/>
      <c r="KNU15" s="60"/>
      <c r="KNV15" s="60"/>
      <c r="KNW15" s="60"/>
      <c r="KNX15" s="60"/>
      <c r="KNY15" s="60"/>
      <c r="KNZ15" s="60"/>
      <c r="KOA15" s="60"/>
      <c r="KOB15" s="60"/>
      <c r="KOC15" s="60"/>
      <c r="KOD15" s="60"/>
      <c r="KOE15" s="60"/>
      <c r="KOF15" s="60"/>
      <c r="KOG15" s="60"/>
      <c r="KOH15" s="60"/>
      <c r="KOI15" s="60"/>
      <c r="KOJ15" s="60"/>
      <c r="KOK15" s="60"/>
      <c r="KOL15" s="60"/>
      <c r="KOM15" s="60"/>
      <c r="KON15" s="60"/>
      <c r="KOO15" s="60"/>
      <c r="KOP15" s="60"/>
      <c r="KOQ15" s="60"/>
      <c r="KOR15" s="60"/>
      <c r="KOS15" s="60"/>
      <c r="KOT15" s="60"/>
      <c r="KOU15" s="60"/>
      <c r="KOV15" s="60"/>
      <c r="KOW15" s="60"/>
      <c r="KOX15" s="60"/>
      <c r="KOY15" s="60"/>
      <c r="KOZ15" s="60"/>
      <c r="KPA15" s="60"/>
      <c r="KPB15" s="60"/>
      <c r="KPC15" s="60"/>
      <c r="KPD15" s="60"/>
      <c r="KPE15" s="60"/>
      <c r="KPF15" s="60"/>
      <c r="KPG15" s="60"/>
      <c r="KPH15" s="60"/>
      <c r="KPI15" s="60"/>
      <c r="KPJ15" s="60"/>
      <c r="KPK15" s="60"/>
      <c r="KPL15" s="60"/>
      <c r="KPM15" s="60"/>
      <c r="KPN15" s="60"/>
      <c r="KPO15" s="60"/>
      <c r="KPP15" s="60"/>
      <c r="KPQ15" s="60"/>
      <c r="KPR15" s="60"/>
      <c r="KPS15" s="60"/>
      <c r="KPT15" s="60"/>
      <c r="KPU15" s="60"/>
      <c r="KPV15" s="60"/>
      <c r="KPW15" s="60"/>
      <c r="KPX15" s="60"/>
      <c r="KPY15" s="60"/>
      <c r="KPZ15" s="60"/>
      <c r="KQA15" s="60"/>
      <c r="KQB15" s="60"/>
      <c r="KQC15" s="60"/>
      <c r="KQD15" s="60"/>
      <c r="KQE15" s="60"/>
      <c r="KQF15" s="60"/>
      <c r="KQG15" s="60"/>
      <c r="KQH15" s="60"/>
      <c r="KQI15" s="60"/>
      <c r="KQJ15" s="60"/>
      <c r="KQK15" s="60"/>
      <c r="KQL15" s="60"/>
      <c r="KQM15" s="60"/>
      <c r="KQN15" s="60"/>
      <c r="KQO15" s="60"/>
      <c r="KQP15" s="60"/>
      <c r="KQQ15" s="60"/>
      <c r="KQR15" s="60"/>
      <c r="KQS15" s="60"/>
      <c r="KQT15" s="60"/>
      <c r="KQU15" s="60"/>
      <c r="KQV15" s="60"/>
      <c r="KQW15" s="60"/>
      <c r="KQX15" s="60"/>
      <c r="KQY15" s="60"/>
      <c r="KQZ15" s="60"/>
      <c r="KRA15" s="60"/>
      <c r="KRB15" s="60"/>
      <c r="KRC15" s="60"/>
      <c r="KRD15" s="60"/>
      <c r="KRE15" s="60"/>
      <c r="KRF15" s="60"/>
      <c r="KRG15" s="60"/>
      <c r="KRH15" s="60"/>
      <c r="KRI15" s="60"/>
      <c r="KRJ15" s="60"/>
      <c r="KRK15" s="60"/>
      <c r="KRL15" s="60"/>
      <c r="KRM15" s="60"/>
      <c r="KRN15" s="60"/>
      <c r="KRO15" s="60"/>
      <c r="KRP15" s="60"/>
      <c r="KRQ15" s="60"/>
      <c r="KRR15" s="60"/>
      <c r="KRS15" s="60"/>
      <c r="KRT15" s="60"/>
      <c r="KRU15" s="60"/>
      <c r="KRV15" s="60"/>
      <c r="KRW15" s="60"/>
      <c r="KRX15" s="60"/>
      <c r="KRY15" s="60"/>
      <c r="KRZ15" s="60"/>
      <c r="KSA15" s="60"/>
      <c r="KSB15" s="60"/>
      <c r="KSC15" s="60"/>
      <c r="KSD15" s="60"/>
      <c r="KSE15" s="60"/>
      <c r="KSF15" s="60"/>
      <c r="KSG15" s="60"/>
      <c r="KSH15" s="60"/>
      <c r="KSI15" s="60"/>
      <c r="KSJ15" s="60"/>
      <c r="KSK15" s="60"/>
      <c r="KSL15" s="60"/>
      <c r="KSM15" s="60"/>
      <c r="KSN15" s="60"/>
      <c r="KSO15" s="60"/>
      <c r="KSP15" s="60"/>
      <c r="KSQ15" s="60"/>
      <c r="KSR15" s="60"/>
      <c r="KSS15" s="60"/>
      <c r="KST15" s="60"/>
      <c r="KSU15" s="60"/>
      <c r="KSV15" s="60"/>
      <c r="KSW15" s="60"/>
      <c r="KSX15" s="60"/>
      <c r="KSY15" s="60"/>
      <c r="KSZ15" s="60"/>
      <c r="KTA15" s="60"/>
      <c r="KTB15" s="60"/>
      <c r="KTC15" s="60"/>
      <c r="KTD15" s="60"/>
      <c r="KTE15" s="60"/>
      <c r="KTF15" s="60"/>
      <c r="KTG15" s="60"/>
      <c r="KTH15" s="60"/>
      <c r="KTI15" s="60"/>
      <c r="KTJ15" s="60"/>
      <c r="KTK15" s="60"/>
      <c r="KTL15" s="60"/>
      <c r="KTM15" s="60"/>
      <c r="KTN15" s="60"/>
      <c r="KTO15" s="60"/>
      <c r="KTP15" s="60"/>
      <c r="KTQ15" s="60"/>
      <c r="KTR15" s="60"/>
      <c r="KTS15" s="60"/>
      <c r="KTT15" s="60"/>
      <c r="KTU15" s="60"/>
      <c r="KTV15" s="60"/>
      <c r="KTW15" s="60"/>
      <c r="KTX15" s="60"/>
      <c r="KTY15" s="60"/>
      <c r="KTZ15" s="60"/>
      <c r="KUA15" s="60"/>
      <c r="KUB15" s="60"/>
      <c r="KUC15" s="60"/>
      <c r="KUD15" s="60"/>
      <c r="KUE15" s="60"/>
      <c r="KUF15" s="60"/>
      <c r="KUG15" s="60"/>
      <c r="KUH15" s="60"/>
      <c r="KUI15" s="60"/>
      <c r="KUJ15" s="60"/>
      <c r="KUK15" s="60"/>
      <c r="KUL15" s="60"/>
      <c r="KUM15" s="60"/>
      <c r="KUN15" s="60"/>
      <c r="KUO15" s="60"/>
      <c r="KUP15" s="60"/>
      <c r="KUQ15" s="60"/>
      <c r="KUR15" s="60"/>
      <c r="KUS15" s="60"/>
      <c r="KUT15" s="60"/>
      <c r="KUU15" s="60"/>
      <c r="KUV15" s="60"/>
      <c r="KUW15" s="60"/>
      <c r="KUX15" s="60"/>
      <c r="KUY15" s="60"/>
      <c r="KUZ15" s="60"/>
      <c r="KVA15" s="60"/>
      <c r="KVB15" s="60"/>
      <c r="KVC15" s="60"/>
      <c r="KVD15" s="60"/>
      <c r="KVE15" s="60"/>
      <c r="KVF15" s="60"/>
      <c r="KVG15" s="60"/>
      <c r="KVH15" s="60"/>
      <c r="KVI15" s="60"/>
      <c r="KVJ15" s="60"/>
      <c r="KVK15" s="60"/>
      <c r="KVL15" s="60"/>
      <c r="KVM15" s="60"/>
      <c r="KVN15" s="60"/>
      <c r="KVO15" s="60"/>
      <c r="KVP15" s="60"/>
      <c r="KVQ15" s="60"/>
      <c r="KVR15" s="60"/>
      <c r="KVS15" s="60"/>
      <c r="KVT15" s="60"/>
      <c r="KVU15" s="60"/>
      <c r="KVV15" s="60"/>
      <c r="KVW15" s="60"/>
      <c r="KVX15" s="60"/>
      <c r="KVY15" s="60"/>
      <c r="KVZ15" s="60"/>
      <c r="KWA15" s="60"/>
      <c r="KWB15" s="60"/>
      <c r="KWC15" s="60"/>
      <c r="KWD15" s="60"/>
      <c r="KWE15" s="60"/>
      <c r="KWF15" s="60"/>
      <c r="KWG15" s="60"/>
      <c r="KWH15" s="60"/>
      <c r="KWI15" s="60"/>
      <c r="KWJ15" s="60"/>
      <c r="KWK15" s="60"/>
      <c r="KWL15" s="60"/>
      <c r="KWM15" s="60"/>
      <c r="KWN15" s="60"/>
      <c r="KWO15" s="60"/>
      <c r="KWP15" s="60"/>
      <c r="KWQ15" s="60"/>
      <c r="KWR15" s="60"/>
      <c r="KWS15" s="60"/>
      <c r="KWT15" s="60"/>
      <c r="KWU15" s="60"/>
      <c r="KWV15" s="60"/>
      <c r="KWW15" s="60"/>
      <c r="KWX15" s="60"/>
      <c r="KWY15" s="60"/>
      <c r="KWZ15" s="60"/>
      <c r="KXA15" s="60"/>
      <c r="KXB15" s="60"/>
      <c r="KXC15" s="60"/>
      <c r="KXD15" s="60"/>
      <c r="KXE15" s="60"/>
      <c r="KXF15" s="60"/>
      <c r="KXG15" s="60"/>
      <c r="KXH15" s="60"/>
      <c r="KXI15" s="60"/>
      <c r="KXJ15" s="60"/>
      <c r="KXK15" s="60"/>
      <c r="KXL15" s="60"/>
      <c r="KXM15" s="60"/>
      <c r="KXN15" s="60"/>
      <c r="KXO15" s="60"/>
      <c r="KXP15" s="60"/>
      <c r="KXQ15" s="60"/>
      <c r="KXR15" s="60"/>
      <c r="KXS15" s="60"/>
      <c r="KXT15" s="60"/>
      <c r="KXU15" s="60"/>
      <c r="KXV15" s="60"/>
      <c r="KXW15" s="60"/>
      <c r="KXX15" s="60"/>
      <c r="KXY15" s="60"/>
      <c r="KXZ15" s="60"/>
      <c r="KYA15" s="60"/>
      <c r="KYB15" s="60"/>
      <c r="KYC15" s="60"/>
      <c r="KYD15" s="60"/>
      <c r="KYE15" s="60"/>
      <c r="KYF15" s="60"/>
      <c r="KYG15" s="60"/>
      <c r="KYH15" s="60"/>
      <c r="KYI15" s="60"/>
      <c r="KYJ15" s="60"/>
      <c r="KYK15" s="60"/>
      <c r="KYL15" s="60"/>
      <c r="KYM15" s="60"/>
      <c r="KYN15" s="60"/>
      <c r="KYO15" s="60"/>
      <c r="KYP15" s="60"/>
      <c r="KYQ15" s="60"/>
      <c r="KYR15" s="60"/>
      <c r="KYS15" s="60"/>
      <c r="KYT15" s="60"/>
      <c r="KYU15" s="60"/>
      <c r="KYV15" s="60"/>
      <c r="KYW15" s="60"/>
      <c r="KYX15" s="60"/>
      <c r="KYY15" s="60"/>
      <c r="KYZ15" s="60"/>
      <c r="KZA15" s="60"/>
      <c r="KZB15" s="60"/>
      <c r="KZC15" s="60"/>
      <c r="KZD15" s="60"/>
      <c r="KZE15" s="60"/>
      <c r="KZF15" s="60"/>
      <c r="KZG15" s="60"/>
      <c r="KZH15" s="60"/>
      <c r="KZI15" s="60"/>
      <c r="KZJ15" s="60"/>
      <c r="KZK15" s="60"/>
      <c r="KZL15" s="60"/>
      <c r="KZM15" s="60"/>
      <c r="KZN15" s="60"/>
      <c r="KZO15" s="60"/>
      <c r="KZP15" s="60"/>
      <c r="KZQ15" s="60"/>
      <c r="KZR15" s="60"/>
      <c r="KZS15" s="60"/>
      <c r="KZT15" s="60"/>
      <c r="KZU15" s="60"/>
      <c r="KZV15" s="60"/>
      <c r="KZW15" s="60"/>
      <c r="KZX15" s="60"/>
      <c r="KZY15" s="60"/>
      <c r="KZZ15" s="60"/>
      <c r="LAA15" s="60"/>
      <c r="LAB15" s="60"/>
      <c r="LAC15" s="60"/>
      <c r="LAD15" s="60"/>
      <c r="LAE15" s="60"/>
      <c r="LAF15" s="60"/>
      <c r="LAG15" s="60"/>
      <c r="LAH15" s="60"/>
      <c r="LAI15" s="60"/>
      <c r="LAJ15" s="60"/>
      <c r="LAK15" s="60"/>
      <c r="LAL15" s="60"/>
      <c r="LAM15" s="60"/>
      <c r="LAN15" s="60"/>
      <c r="LAO15" s="60"/>
      <c r="LAP15" s="60"/>
      <c r="LAQ15" s="60"/>
      <c r="LAR15" s="60"/>
      <c r="LAS15" s="60"/>
      <c r="LAT15" s="60"/>
      <c r="LAU15" s="60"/>
      <c r="LAV15" s="60"/>
      <c r="LAW15" s="60"/>
      <c r="LAX15" s="60"/>
      <c r="LAY15" s="60"/>
      <c r="LAZ15" s="60"/>
      <c r="LBA15" s="60"/>
      <c r="LBB15" s="60"/>
      <c r="LBC15" s="60"/>
      <c r="LBD15" s="60"/>
      <c r="LBE15" s="60"/>
      <c r="LBF15" s="60"/>
      <c r="LBG15" s="60"/>
      <c r="LBH15" s="60"/>
      <c r="LBI15" s="60"/>
      <c r="LBJ15" s="60"/>
      <c r="LBK15" s="60"/>
      <c r="LBL15" s="60"/>
      <c r="LBM15" s="60"/>
      <c r="LBN15" s="60"/>
      <c r="LBO15" s="60"/>
      <c r="LBP15" s="60"/>
      <c r="LBQ15" s="60"/>
      <c r="LBR15" s="60"/>
      <c r="LBS15" s="60"/>
      <c r="LBT15" s="60"/>
      <c r="LBU15" s="60"/>
      <c r="LBV15" s="60"/>
      <c r="LBW15" s="60"/>
      <c r="LBX15" s="60"/>
      <c r="LBY15" s="60"/>
      <c r="LBZ15" s="60"/>
      <c r="LCA15" s="60"/>
      <c r="LCB15" s="60"/>
      <c r="LCC15" s="60"/>
      <c r="LCD15" s="60"/>
      <c r="LCE15" s="60"/>
      <c r="LCF15" s="60"/>
      <c r="LCG15" s="60"/>
      <c r="LCH15" s="60"/>
      <c r="LCI15" s="60"/>
      <c r="LCJ15" s="60"/>
      <c r="LCK15" s="60"/>
      <c r="LCL15" s="60"/>
      <c r="LCM15" s="60"/>
      <c r="LCN15" s="60"/>
      <c r="LCO15" s="60"/>
      <c r="LCP15" s="60"/>
      <c r="LCQ15" s="60"/>
      <c r="LCR15" s="60"/>
      <c r="LCS15" s="60"/>
      <c r="LCT15" s="60"/>
      <c r="LCU15" s="60"/>
      <c r="LCV15" s="60"/>
      <c r="LCW15" s="60"/>
      <c r="LCX15" s="60"/>
      <c r="LCY15" s="60"/>
      <c r="LCZ15" s="60"/>
      <c r="LDA15" s="60"/>
      <c r="LDB15" s="60"/>
      <c r="LDC15" s="60"/>
      <c r="LDD15" s="60"/>
      <c r="LDE15" s="60"/>
      <c r="LDF15" s="60"/>
      <c r="LDG15" s="60"/>
      <c r="LDH15" s="60"/>
      <c r="LDI15" s="60"/>
      <c r="LDJ15" s="60"/>
      <c r="LDK15" s="60"/>
      <c r="LDL15" s="60"/>
      <c r="LDM15" s="60"/>
      <c r="LDN15" s="60"/>
      <c r="LDO15" s="60"/>
      <c r="LDP15" s="60"/>
      <c r="LDQ15" s="60"/>
      <c r="LDR15" s="60"/>
      <c r="LDS15" s="60"/>
      <c r="LDT15" s="60"/>
      <c r="LDU15" s="60"/>
      <c r="LDV15" s="60"/>
      <c r="LDW15" s="60"/>
      <c r="LDX15" s="60"/>
      <c r="LDY15" s="60"/>
      <c r="LDZ15" s="60"/>
      <c r="LEA15" s="60"/>
      <c r="LEB15" s="60"/>
      <c r="LEC15" s="60"/>
      <c r="LED15" s="60"/>
      <c r="LEE15" s="60"/>
      <c r="LEF15" s="60"/>
      <c r="LEG15" s="60"/>
      <c r="LEH15" s="60"/>
      <c r="LEI15" s="60"/>
      <c r="LEJ15" s="60"/>
      <c r="LEK15" s="60"/>
      <c r="LEL15" s="60"/>
      <c r="LEM15" s="60"/>
      <c r="LEN15" s="60"/>
      <c r="LEO15" s="60"/>
      <c r="LEP15" s="60"/>
      <c r="LEQ15" s="60"/>
      <c r="LER15" s="60"/>
      <c r="LES15" s="60"/>
      <c r="LET15" s="60"/>
      <c r="LEU15" s="60"/>
      <c r="LEV15" s="60"/>
      <c r="LEW15" s="60"/>
      <c r="LEX15" s="60"/>
      <c r="LEY15" s="60"/>
      <c r="LEZ15" s="60"/>
      <c r="LFA15" s="60"/>
      <c r="LFB15" s="60"/>
      <c r="LFC15" s="60"/>
      <c r="LFD15" s="60"/>
      <c r="LFE15" s="60"/>
      <c r="LFF15" s="60"/>
      <c r="LFG15" s="60"/>
      <c r="LFH15" s="60"/>
      <c r="LFI15" s="60"/>
      <c r="LFJ15" s="60"/>
      <c r="LFK15" s="60"/>
      <c r="LFL15" s="60"/>
      <c r="LFM15" s="60"/>
      <c r="LFN15" s="60"/>
      <c r="LFO15" s="60"/>
      <c r="LFP15" s="60"/>
      <c r="LFQ15" s="60"/>
      <c r="LFR15" s="60"/>
      <c r="LFS15" s="60"/>
      <c r="LFT15" s="60"/>
      <c r="LFU15" s="60"/>
      <c r="LFV15" s="60"/>
      <c r="LFW15" s="60"/>
      <c r="LFX15" s="60"/>
      <c r="LFY15" s="60"/>
      <c r="LFZ15" s="60"/>
      <c r="LGA15" s="60"/>
      <c r="LGB15" s="60"/>
      <c r="LGC15" s="60"/>
      <c r="LGD15" s="60"/>
      <c r="LGE15" s="60"/>
      <c r="LGF15" s="60"/>
      <c r="LGG15" s="60"/>
      <c r="LGH15" s="60"/>
      <c r="LGI15" s="60"/>
      <c r="LGJ15" s="60"/>
      <c r="LGK15" s="60"/>
      <c r="LGL15" s="60"/>
      <c r="LGM15" s="60"/>
      <c r="LGN15" s="60"/>
      <c r="LGO15" s="60"/>
      <c r="LGP15" s="60"/>
      <c r="LGQ15" s="60"/>
      <c r="LGR15" s="60"/>
      <c r="LGS15" s="60"/>
      <c r="LGT15" s="60"/>
      <c r="LGU15" s="60"/>
      <c r="LGV15" s="60"/>
      <c r="LGW15" s="60"/>
      <c r="LGX15" s="60"/>
      <c r="LGY15" s="60"/>
      <c r="LGZ15" s="60"/>
      <c r="LHA15" s="60"/>
      <c r="LHB15" s="60"/>
      <c r="LHC15" s="60"/>
      <c r="LHD15" s="60"/>
      <c r="LHE15" s="60"/>
      <c r="LHF15" s="60"/>
      <c r="LHG15" s="60"/>
      <c r="LHH15" s="60"/>
      <c r="LHI15" s="60"/>
      <c r="LHJ15" s="60"/>
      <c r="LHK15" s="60"/>
      <c r="LHL15" s="60"/>
      <c r="LHM15" s="60"/>
      <c r="LHN15" s="60"/>
      <c r="LHO15" s="60"/>
      <c r="LHP15" s="60"/>
      <c r="LHQ15" s="60"/>
      <c r="LHR15" s="60"/>
      <c r="LHS15" s="60"/>
      <c r="LHT15" s="60"/>
      <c r="LHU15" s="60"/>
      <c r="LHV15" s="60"/>
      <c r="LHW15" s="60"/>
      <c r="LHX15" s="60"/>
      <c r="LHY15" s="60"/>
      <c r="LHZ15" s="60"/>
      <c r="LIA15" s="60"/>
      <c r="LIB15" s="60"/>
      <c r="LIC15" s="60"/>
      <c r="LID15" s="60"/>
      <c r="LIE15" s="60"/>
      <c r="LIF15" s="60"/>
      <c r="LIG15" s="60"/>
      <c r="LIH15" s="60"/>
      <c r="LII15" s="60"/>
      <c r="LIJ15" s="60"/>
      <c r="LIK15" s="60"/>
      <c r="LIL15" s="60"/>
      <c r="LIM15" s="60"/>
      <c r="LIN15" s="60"/>
      <c r="LIO15" s="60"/>
      <c r="LIP15" s="60"/>
      <c r="LIQ15" s="60"/>
      <c r="LIR15" s="60"/>
      <c r="LIS15" s="60"/>
      <c r="LIT15" s="60"/>
      <c r="LIU15" s="60"/>
      <c r="LIV15" s="60"/>
      <c r="LIW15" s="60"/>
      <c r="LIX15" s="60"/>
      <c r="LIY15" s="60"/>
      <c r="LIZ15" s="60"/>
      <c r="LJA15" s="60"/>
      <c r="LJB15" s="60"/>
      <c r="LJC15" s="60"/>
      <c r="LJD15" s="60"/>
      <c r="LJE15" s="60"/>
      <c r="LJF15" s="60"/>
      <c r="LJG15" s="60"/>
      <c r="LJH15" s="60"/>
      <c r="LJI15" s="60"/>
      <c r="LJJ15" s="60"/>
      <c r="LJK15" s="60"/>
      <c r="LJL15" s="60"/>
      <c r="LJM15" s="60"/>
      <c r="LJN15" s="60"/>
      <c r="LJO15" s="60"/>
      <c r="LJP15" s="60"/>
      <c r="LJQ15" s="60"/>
      <c r="LJR15" s="60"/>
      <c r="LJS15" s="60"/>
      <c r="LJT15" s="60"/>
      <c r="LJU15" s="60"/>
      <c r="LJV15" s="60"/>
      <c r="LJW15" s="60"/>
      <c r="LJX15" s="60"/>
      <c r="LJY15" s="60"/>
      <c r="LJZ15" s="60"/>
      <c r="LKA15" s="60"/>
      <c r="LKB15" s="60"/>
      <c r="LKC15" s="60"/>
      <c r="LKD15" s="60"/>
      <c r="LKE15" s="60"/>
      <c r="LKF15" s="60"/>
      <c r="LKG15" s="60"/>
      <c r="LKH15" s="60"/>
      <c r="LKI15" s="60"/>
      <c r="LKJ15" s="60"/>
      <c r="LKK15" s="60"/>
      <c r="LKL15" s="60"/>
      <c r="LKM15" s="60"/>
      <c r="LKN15" s="60"/>
      <c r="LKO15" s="60"/>
      <c r="LKP15" s="60"/>
      <c r="LKQ15" s="60"/>
      <c r="LKR15" s="60"/>
      <c r="LKS15" s="60"/>
      <c r="LKT15" s="60"/>
      <c r="LKU15" s="60"/>
      <c r="LKV15" s="60"/>
      <c r="LKW15" s="60"/>
      <c r="LKX15" s="60"/>
      <c r="LKY15" s="60"/>
      <c r="LKZ15" s="60"/>
      <c r="LLA15" s="60"/>
      <c r="LLB15" s="60"/>
      <c r="LLC15" s="60"/>
      <c r="LLD15" s="60"/>
      <c r="LLE15" s="60"/>
      <c r="LLF15" s="60"/>
      <c r="LLG15" s="60"/>
      <c r="LLH15" s="60"/>
      <c r="LLI15" s="60"/>
      <c r="LLJ15" s="60"/>
      <c r="LLK15" s="60"/>
      <c r="LLL15" s="60"/>
      <c r="LLM15" s="60"/>
      <c r="LLN15" s="60"/>
      <c r="LLO15" s="60"/>
      <c r="LLP15" s="60"/>
      <c r="LLQ15" s="60"/>
      <c r="LLR15" s="60"/>
      <c r="LLS15" s="60"/>
      <c r="LLT15" s="60"/>
      <c r="LLU15" s="60"/>
      <c r="LLV15" s="60"/>
      <c r="LLW15" s="60"/>
      <c r="LLX15" s="60"/>
      <c r="LLY15" s="60"/>
      <c r="LLZ15" s="60"/>
      <c r="LMA15" s="60"/>
      <c r="LMB15" s="60"/>
      <c r="LMC15" s="60"/>
      <c r="LMD15" s="60"/>
      <c r="LME15" s="60"/>
      <c r="LMF15" s="60"/>
      <c r="LMG15" s="60"/>
      <c r="LMH15" s="60"/>
      <c r="LMI15" s="60"/>
      <c r="LMJ15" s="60"/>
      <c r="LMK15" s="60"/>
      <c r="LML15" s="60"/>
      <c r="LMM15" s="60"/>
      <c r="LMN15" s="60"/>
      <c r="LMO15" s="60"/>
      <c r="LMP15" s="60"/>
      <c r="LMQ15" s="60"/>
      <c r="LMR15" s="60"/>
      <c r="LMS15" s="60"/>
      <c r="LMT15" s="60"/>
      <c r="LMU15" s="60"/>
      <c r="LMV15" s="60"/>
      <c r="LMW15" s="60"/>
      <c r="LMX15" s="60"/>
      <c r="LMY15" s="60"/>
      <c r="LMZ15" s="60"/>
      <c r="LNA15" s="60"/>
      <c r="LNB15" s="60"/>
      <c r="LNC15" s="60"/>
      <c r="LND15" s="60"/>
      <c r="LNE15" s="60"/>
      <c r="LNF15" s="60"/>
      <c r="LNG15" s="60"/>
      <c r="LNH15" s="60"/>
      <c r="LNI15" s="60"/>
      <c r="LNJ15" s="60"/>
      <c r="LNK15" s="60"/>
      <c r="LNL15" s="60"/>
      <c r="LNM15" s="60"/>
      <c r="LNN15" s="60"/>
      <c r="LNO15" s="60"/>
      <c r="LNP15" s="60"/>
      <c r="LNQ15" s="60"/>
      <c r="LNR15" s="60"/>
      <c r="LNS15" s="60"/>
      <c r="LNT15" s="60"/>
      <c r="LNU15" s="60"/>
      <c r="LNV15" s="60"/>
      <c r="LNW15" s="60"/>
      <c r="LNX15" s="60"/>
      <c r="LNY15" s="60"/>
      <c r="LNZ15" s="60"/>
      <c r="LOA15" s="60"/>
      <c r="LOB15" s="60"/>
      <c r="LOC15" s="60"/>
      <c r="LOD15" s="60"/>
      <c r="LOE15" s="60"/>
      <c r="LOF15" s="60"/>
      <c r="LOG15" s="60"/>
      <c r="LOH15" s="60"/>
      <c r="LOI15" s="60"/>
      <c r="LOJ15" s="60"/>
      <c r="LOK15" s="60"/>
      <c r="LOL15" s="60"/>
      <c r="LOM15" s="60"/>
      <c r="LON15" s="60"/>
      <c r="LOO15" s="60"/>
      <c r="LOP15" s="60"/>
      <c r="LOQ15" s="60"/>
      <c r="LOR15" s="60"/>
      <c r="LOS15" s="60"/>
      <c r="LOT15" s="60"/>
      <c r="LOU15" s="60"/>
      <c r="LOV15" s="60"/>
      <c r="LOW15" s="60"/>
      <c r="LOX15" s="60"/>
      <c r="LOY15" s="60"/>
      <c r="LOZ15" s="60"/>
      <c r="LPA15" s="60"/>
      <c r="LPB15" s="60"/>
      <c r="LPC15" s="60"/>
      <c r="LPD15" s="60"/>
      <c r="LPE15" s="60"/>
      <c r="LPF15" s="60"/>
      <c r="LPG15" s="60"/>
      <c r="LPH15" s="60"/>
      <c r="LPI15" s="60"/>
      <c r="LPJ15" s="60"/>
      <c r="LPK15" s="60"/>
      <c r="LPL15" s="60"/>
      <c r="LPM15" s="60"/>
      <c r="LPN15" s="60"/>
      <c r="LPO15" s="60"/>
      <c r="LPP15" s="60"/>
      <c r="LPQ15" s="60"/>
      <c r="LPR15" s="60"/>
      <c r="LPS15" s="60"/>
      <c r="LPT15" s="60"/>
      <c r="LPU15" s="60"/>
      <c r="LPV15" s="60"/>
      <c r="LPW15" s="60"/>
      <c r="LPX15" s="60"/>
      <c r="LPY15" s="60"/>
      <c r="LPZ15" s="60"/>
      <c r="LQA15" s="60"/>
      <c r="LQB15" s="60"/>
      <c r="LQC15" s="60"/>
      <c r="LQD15" s="60"/>
      <c r="LQE15" s="60"/>
      <c r="LQF15" s="60"/>
      <c r="LQG15" s="60"/>
      <c r="LQH15" s="60"/>
      <c r="LQI15" s="60"/>
      <c r="LQJ15" s="60"/>
      <c r="LQK15" s="60"/>
      <c r="LQL15" s="60"/>
      <c r="LQM15" s="60"/>
      <c r="LQN15" s="60"/>
      <c r="LQO15" s="60"/>
      <c r="LQP15" s="60"/>
      <c r="LQQ15" s="60"/>
      <c r="LQR15" s="60"/>
      <c r="LQS15" s="60"/>
      <c r="LQT15" s="60"/>
      <c r="LQU15" s="60"/>
      <c r="LQV15" s="60"/>
      <c r="LQW15" s="60"/>
      <c r="LQX15" s="60"/>
      <c r="LQY15" s="60"/>
      <c r="LQZ15" s="60"/>
      <c r="LRA15" s="60"/>
      <c r="LRB15" s="60"/>
      <c r="LRC15" s="60"/>
      <c r="LRD15" s="60"/>
      <c r="LRE15" s="60"/>
      <c r="LRF15" s="60"/>
      <c r="LRG15" s="60"/>
      <c r="LRH15" s="60"/>
      <c r="LRI15" s="60"/>
      <c r="LRJ15" s="60"/>
      <c r="LRK15" s="60"/>
      <c r="LRL15" s="60"/>
      <c r="LRM15" s="60"/>
      <c r="LRN15" s="60"/>
      <c r="LRO15" s="60"/>
      <c r="LRP15" s="60"/>
      <c r="LRQ15" s="60"/>
      <c r="LRR15" s="60"/>
      <c r="LRS15" s="60"/>
      <c r="LRT15" s="60"/>
      <c r="LRU15" s="60"/>
      <c r="LRV15" s="60"/>
      <c r="LRW15" s="60"/>
      <c r="LRX15" s="60"/>
      <c r="LRY15" s="60"/>
      <c r="LRZ15" s="60"/>
      <c r="LSA15" s="60"/>
      <c r="LSB15" s="60"/>
      <c r="LSC15" s="60"/>
      <c r="LSD15" s="60"/>
      <c r="LSE15" s="60"/>
      <c r="LSF15" s="60"/>
      <c r="LSG15" s="60"/>
      <c r="LSH15" s="60"/>
      <c r="LSI15" s="60"/>
      <c r="LSJ15" s="60"/>
      <c r="LSK15" s="60"/>
      <c r="LSL15" s="60"/>
      <c r="LSM15" s="60"/>
      <c r="LSN15" s="60"/>
      <c r="LSO15" s="60"/>
      <c r="LSP15" s="60"/>
      <c r="LSQ15" s="60"/>
      <c r="LSR15" s="60"/>
      <c r="LSS15" s="60"/>
      <c r="LST15" s="60"/>
      <c r="LSU15" s="60"/>
      <c r="LSV15" s="60"/>
      <c r="LSW15" s="60"/>
      <c r="LSX15" s="60"/>
      <c r="LSY15" s="60"/>
      <c r="LSZ15" s="60"/>
      <c r="LTA15" s="60"/>
      <c r="LTB15" s="60"/>
      <c r="LTC15" s="60"/>
      <c r="LTD15" s="60"/>
      <c r="LTE15" s="60"/>
      <c r="LTF15" s="60"/>
      <c r="LTG15" s="60"/>
      <c r="LTH15" s="60"/>
      <c r="LTI15" s="60"/>
      <c r="LTJ15" s="60"/>
      <c r="LTK15" s="60"/>
      <c r="LTL15" s="60"/>
      <c r="LTM15" s="60"/>
      <c r="LTN15" s="60"/>
      <c r="LTO15" s="60"/>
      <c r="LTP15" s="60"/>
      <c r="LTQ15" s="60"/>
      <c r="LTR15" s="60"/>
      <c r="LTS15" s="60"/>
      <c r="LTT15" s="60"/>
      <c r="LTU15" s="60"/>
      <c r="LTV15" s="60"/>
      <c r="LTW15" s="60"/>
      <c r="LTX15" s="60"/>
      <c r="LTY15" s="60"/>
      <c r="LTZ15" s="60"/>
      <c r="LUA15" s="60"/>
      <c r="LUB15" s="60"/>
      <c r="LUC15" s="60"/>
      <c r="LUD15" s="60"/>
      <c r="LUE15" s="60"/>
      <c r="LUF15" s="60"/>
      <c r="LUG15" s="60"/>
      <c r="LUH15" s="60"/>
      <c r="LUI15" s="60"/>
      <c r="LUJ15" s="60"/>
      <c r="LUK15" s="60"/>
      <c r="LUL15" s="60"/>
      <c r="LUM15" s="60"/>
      <c r="LUN15" s="60"/>
      <c r="LUO15" s="60"/>
      <c r="LUP15" s="60"/>
      <c r="LUQ15" s="60"/>
      <c r="LUR15" s="60"/>
      <c r="LUS15" s="60"/>
      <c r="LUT15" s="60"/>
      <c r="LUU15" s="60"/>
      <c r="LUV15" s="60"/>
      <c r="LUW15" s="60"/>
      <c r="LUX15" s="60"/>
      <c r="LUY15" s="60"/>
      <c r="LUZ15" s="60"/>
      <c r="LVA15" s="60"/>
      <c r="LVB15" s="60"/>
      <c r="LVC15" s="60"/>
      <c r="LVD15" s="60"/>
      <c r="LVE15" s="60"/>
      <c r="LVF15" s="60"/>
      <c r="LVG15" s="60"/>
      <c r="LVH15" s="60"/>
      <c r="LVI15" s="60"/>
      <c r="LVJ15" s="60"/>
      <c r="LVK15" s="60"/>
      <c r="LVL15" s="60"/>
      <c r="LVM15" s="60"/>
      <c r="LVN15" s="60"/>
      <c r="LVO15" s="60"/>
      <c r="LVP15" s="60"/>
      <c r="LVQ15" s="60"/>
      <c r="LVR15" s="60"/>
      <c r="LVS15" s="60"/>
      <c r="LVT15" s="60"/>
      <c r="LVU15" s="60"/>
      <c r="LVV15" s="60"/>
      <c r="LVW15" s="60"/>
      <c r="LVX15" s="60"/>
      <c r="LVY15" s="60"/>
      <c r="LVZ15" s="60"/>
      <c r="LWA15" s="60"/>
      <c r="LWB15" s="60"/>
      <c r="LWC15" s="60"/>
      <c r="LWD15" s="60"/>
      <c r="LWE15" s="60"/>
      <c r="LWF15" s="60"/>
      <c r="LWG15" s="60"/>
      <c r="LWH15" s="60"/>
      <c r="LWI15" s="60"/>
      <c r="LWJ15" s="60"/>
      <c r="LWK15" s="60"/>
      <c r="LWL15" s="60"/>
      <c r="LWM15" s="60"/>
      <c r="LWN15" s="60"/>
      <c r="LWO15" s="60"/>
      <c r="LWP15" s="60"/>
      <c r="LWQ15" s="60"/>
      <c r="LWR15" s="60"/>
      <c r="LWS15" s="60"/>
      <c r="LWT15" s="60"/>
      <c r="LWU15" s="60"/>
      <c r="LWV15" s="60"/>
      <c r="LWW15" s="60"/>
      <c r="LWX15" s="60"/>
      <c r="LWY15" s="60"/>
      <c r="LWZ15" s="60"/>
      <c r="LXA15" s="60"/>
      <c r="LXB15" s="60"/>
      <c r="LXC15" s="60"/>
      <c r="LXD15" s="60"/>
      <c r="LXE15" s="60"/>
      <c r="LXF15" s="60"/>
      <c r="LXG15" s="60"/>
      <c r="LXH15" s="60"/>
      <c r="LXI15" s="60"/>
      <c r="LXJ15" s="60"/>
      <c r="LXK15" s="60"/>
      <c r="LXL15" s="60"/>
      <c r="LXM15" s="60"/>
      <c r="LXN15" s="60"/>
      <c r="LXO15" s="60"/>
      <c r="LXP15" s="60"/>
      <c r="LXQ15" s="60"/>
      <c r="LXR15" s="60"/>
      <c r="LXS15" s="60"/>
      <c r="LXT15" s="60"/>
      <c r="LXU15" s="60"/>
      <c r="LXV15" s="60"/>
      <c r="LXW15" s="60"/>
      <c r="LXX15" s="60"/>
      <c r="LXY15" s="60"/>
      <c r="LXZ15" s="60"/>
      <c r="LYA15" s="60"/>
      <c r="LYB15" s="60"/>
      <c r="LYC15" s="60"/>
      <c r="LYD15" s="60"/>
      <c r="LYE15" s="60"/>
      <c r="LYF15" s="60"/>
      <c r="LYG15" s="60"/>
      <c r="LYH15" s="60"/>
      <c r="LYI15" s="60"/>
      <c r="LYJ15" s="60"/>
      <c r="LYK15" s="60"/>
      <c r="LYL15" s="60"/>
      <c r="LYM15" s="60"/>
      <c r="LYN15" s="60"/>
      <c r="LYO15" s="60"/>
      <c r="LYP15" s="60"/>
      <c r="LYQ15" s="60"/>
      <c r="LYR15" s="60"/>
      <c r="LYS15" s="60"/>
      <c r="LYT15" s="60"/>
      <c r="LYU15" s="60"/>
      <c r="LYV15" s="60"/>
      <c r="LYW15" s="60"/>
      <c r="LYX15" s="60"/>
      <c r="LYY15" s="60"/>
      <c r="LYZ15" s="60"/>
      <c r="LZA15" s="60"/>
      <c r="LZB15" s="60"/>
      <c r="LZC15" s="60"/>
      <c r="LZD15" s="60"/>
      <c r="LZE15" s="60"/>
      <c r="LZF15" s="60"/>
      <c r="LZG15" s="60"/>
      <c r="LZH15" s="60"/>
      <c r="LZI15" s="60"/>
      <c r="LZJ15" s="60"/>
      <c r="LZK15" s="60"/>
      <c r="LZL15" s="60"/>
      <c r="LZM15" s="60"/>
      <c r="LZN15" s="60"/>
      <c r="LZO15" s="60"/>
      <c r="LZP15" s="60"/>
      <c r="LZQ15" s="60"/>
      <c r="LZR15" s="60"/>
      <c r="LZS15" s="60"/>
      <c r="LZT15" s="60"/>
      <c r="LZU15" s="60"/>
      <c r="LZV15" s="60"/>
      <c r="LZW15" s="60"/>
      <c r="LZX15" s="60"/>
      <c r="LZY15" s="60"/>
      <c r="LZZ15" s="60"/>
      <c r="MAA15" s="60"/>
      <c r="MAB15" s="60"/>
      <c r="MAC15" s="60"/>
      <c r="MAD15" s="60"/>
      <c r="MAE15" s="60"/>
      <c r="MAF15" s="60"/>
      <c r="MAG15" s="60"/>
      <c r="MAH15" s="60"/>
      <c r="MAI15" s="60"/>
      <c r="MAJ15" s="60"/>
      <c r="MAK15" s="60"/>
      <c r="MAL15" s="60"/>
      <c r="MAM15" s="60"/>
      <c r="MAN15" s="60"/>
      <c r="MAO15" s="60"/>
      <c r="MAP15" s="60"/>
      <c r="MAQ15" s="60"/>
      <c r="MAR15" s="60"/>
      <c r="MAS15" s="60"/>
      <c r="MAT15" s="60"/>
      <c r="MAU15" s="60"/>
      <c r="MAV15" s="60"/>
      <c r="MAW15" s="60"/>
      <c r="MAX15" s="60"/>
      <c r="MAY15" s="60"/>
      <c r="MAZ15" s="60"/>
      <c r="MBA15" s="60"/>
      <c r="MBB15" s="60"/>
      <c r="MBC15" s="60"/>
      <c r="MBD15" s="60"/>
      <c r="MBE15" s="60"/>
      <c r="MBF15" s="60"/>
      <c r="MBG15" s="60"/>
      <c r="MBH15" s="60"/>
      <c r="MBI15" s="60"/>
      <c r="MBJ15" s="60"/>
      <c r="MBK15" s="60"/>
      <c r="MBL15" s="60"/>
      <c r="MBM15" s="60"/>
      <c r="MBN15" s="60"/>
      <c r="MBO15" s="60"/>
      <c r="MBP15" s="60"/>
      <c r="MBQ15" s="60"/>
      <c r="MBR15" s="60"/>
      <c r="MBS15" s="60"/>
      <c r="MBT15" s="60"/>
      <c r="MBU15" s="60"/>
      <c r="MBV15" s="60"/>
      <c r="MBW15" s="60"/>
      <c r="MBX15" s="60"/>
      <c r="MBY15" s="60"/>
      <c r="MBZ15" s="60"/>
      <c r="MCA15" s="60"/>
      <c r="MCB15" s="60"/>
      <c r="MCC15" s="60"/>
      <c r="MCD15" s="60"/>
      <c r="MCE15" s="60"/>
      <c r="MCF15" s="60"/>
      <c r="MCG15" s="60"/>
      <c r="MCH15" s="60"/>
      <c r="MCI15" s="60"/>
      <c r="MCJ15" s="60"/>
      <c r="MCK15" s="60"/>
      <c r="MCL15" s="60"/>
      <c r="MCM15" s="60"/>
      <c r="MCN15" s="60"/>
      <c r="MCO15" s="60"/>
      <c r="MCP15" s="60"/>
      <c r="MCQ15" s="60"/>
      <c r="MCR15" s="60"/>
      <c r="MCS15" s="60"/>
      <c r="MCT15" s="60"/>
      <c r="MCU15" s="60"/>
      <c r="MCV15" s="60"/>
      <c r="MCW15" s="60"/>
      <c r="MCX15" s="60"/>
      <c r="MCY15" s="60"/>
      <c r="MCZ15" s="60"/>
      <c r="MDA15" s="60"/>
      <c r="MDB15" s="60"/>
      <c r="MDC15" s="60"/>
      <c r="MDD15" s="60"/>
      <c r="MDE15" s="60"/>
      <c r="MDF15" s="60"/>
      <c r="MDG15" s="60"/>
      <c r="MDH15" s="60"/>
      <c r="MDI15" s="60"/>
      <c r="MDJ15" s="60"/>
      <c r="MDK15" s="60"/>
      <c r="MDL15" s="60"/>
      <c r="MDM15" s="60"/>
      <c r="MDN15" s="60"/>
      <c r="MDO15" s="60"/>
      <c r="MDP15" s="60"/>
      <c r="MDQ15" s="60"/>
      <c r="MDR15" s="60"/>
      <c r="MDS15" s="60"/>
      <c r="MDT15" s="60"/>
      <c r="MDU15" s="60"/>
      <c r="MDV15" s="60"/>
      <c r="MDW15" s="60"/>
      <c r="MDX15" s="60"/>
      <c r="MDY15" s="60"/>
      <c r="MDZ15" s="60"/>
      <c r="MEA15" s="60"/>
      <c r="MEB15" s="60"/>
      <c r="MEC15" s="60"/>
      <c r="MED15" s="60"/>
      <c r="MEE15" s="60"/>
      <c r="MEF15" s="60"/>
      <c r="MEG15" s="60"/>
      <c r="MEH15" s="60"/>
      <c r="MEI15" s="60"/>
      <c r="MEJ15" s="60"/>
      <c r="MEK15" s="60"/>
      <c r="MEL15" s="60"/>
      <c r="MEM15" s="60"/>
      <c r="MEN15" s="60"/>
      <c r="MEO15" s="60"/>
      <c r="MEP15" s="60"/>
      <c r="MEQ15" s="60"/>
      <c r="MER15" s="60"/>
      <c r="MES15" s="60"/>
      <c r="MET15" s="60"/>
      <c r="MEU15" s="60"/>
      <c r="MEV15" s="60"/>
      <c r="MEW15" s="60"/>
      <c r="MEX15" s="60"/>
      <c r="MEY15" s="60"/>
      <c r="MEZ15" s="60"/>
      <c r="MFA15" s="60"/>
      <c r="MFB15" s="60"/>
      <c r="MFC15" s="60"/>
      <c r="MFD15" s="60"/>
      <c r="MFE15" s="60"/>
      <c r="MFF15" s="60"/>
      <c r="MFG15" s="60"/>
      <c r="MFH15" s="60"/>
      <c r="MFI15" s="60"/>
      <c r="MFJ15" s="60"/>
      <c r="MFK15" s="60"/>
      <c r="MFL15" s="60"/>
      <c r="MFM15" s="60"/>
      <c r="MFN15" s="60"/>
      <c r="MFO15" s="60"/>
      <c r="MFP15" s="60"/>
      <c r="MFQ15" s="60"/>
      <c r="MFR15" s="60"/>
      <c r="MFS15" s="60"/>
      <c r="MFT15" s="60"/>
      <c r="MFU15" s="60"/>
      <c r="MFV15" s="60"/>
      <c r="MFW15" s="60"/>
      <c r="MFX15" s="60"/>
      <c r="MFY15" s="60"/>
      <c r="MFZ15" s="60"/>
      <c r="MGA15" s="60"/>
      <c r="MGB15" s="60"/>
      <c r="MGC15" s="60"/>
      <c r="MGD15" s="60"/>
      <c r="MGE15" s="60"/>
      <c r="MGF15" s="60"/>
      <c r="MGG15" s="60"/>
      <c r="MGH15" s="60"/>
      <c r="MGI15" s="60"/>
      <c r="MGJ15" s="60"/>
      <c r="MGK15" s="60"/>
      <c r="MGL15" s="60"/>
      <c r="MGM15" s="60"/>
      <c r="MGN15" s="60"/>
      <c r="MGO15" s="60"/>
      <c r="MGP15" s="60"/>
      <c r="MGQ15" s="60"/>
      <c r="MGR15" s="60"/>
      <c r="MGS15" s="60"/>
      <c r="MGT15" s="60"/>
      <c r="MGU15" s="60"/>
      <c r="MGV15" s="60"/>
      <c r="MGW15" s="60"/>
      <c r="MGX15" s="60"/>
      <c r="MGY15" s="60"/>
      <c r="MGZ15" s="60"/>
      <c r="MHA15" s="60"/>
      <c r="MHB15" s="60"/>
      <c r="MHC15" s="60"/>
      <c r="MHD15" s="60"/>
      <c r="MHE15" s="60"/>
      <c r="MHF15" s="60"/>
      <c r="MHG15" s="60"/>
      <c r="MHH15" s="60"/>
      <c r="MHI15" s="60"/>
      <c r="MHJ15" s="60"/>
      <c r="MHK15" s="60"/>
      <c r="MHL15" s="60"/>
      <c r="MHM15" s="60"/>
      <c r="MHN15" s="60"/>
      <c r="MHO15" s="60"/>
      <c r="MHP15" s="60"/>
      <c r="MHQ15" s="60"/>
      <c r="MHR15" s="60"/>
      <c r="MHS15" s="60"/>
      <c r="MHT15" s="60"/>
      <c r="MHU15" s="60"/>
      <c r="MHV15" s="60"/>
      <c r="MHW15" s="60"/>
      <c r="MHX15" s="60"/>
      <c r="MHY15" s="60"/>
      <c r="MHZ15" s="60"/>
      <c r="MIA15" s="60"/>
      <c r="MIB15" s="60"/>
      <c r="MIC15" s="60"/>
      <c r="MID15" s="60"/>
      <c r="MIE15" s="60"/>
      <c r="MIF15" s="60"/>
      <c r="MIG15" s="60"/>
      <c r="MIH15" s="60"/>
      <c r="MII15" s="60"/>
      <c r="MIJ15" s="60"/>
      <c r="MIK15" s="60"/>
      <c r="MIL15" s="60"/>
      <c r="MIM15" s="60"/>
      <c r="MIN15" s="60"/>
      <c r="MIO15" s="60"/>
      <c r="MIP15" s="60"/>
      <c r="MIQ15" s="60"/>
      <c r="MIR15" s="60"/>
      <c r="MIS15" s="60"/>
      <c r="MIT15" s="60"/>
      <c r="MIU15" s="60"/>
      <c r="MIV15" s="60"/>
      <c r="MIW15" s="60"/>
      <c r="MIX15" s="60"/>
      <c r="MIY15" s="60"/>
      <c r="MIZ15" s="60"/>
      <c r="MJA15" s="60"/>
      <c r="MJB15" s="60"/>
      <c r="MJC15" s="60"/>
      <c r="MJD15" s="60"/>
      <c r="MJE15" s="60"/>
      <c r="MJF15" s="60"/>
      <c r="MJG15" s="60"/>
      <c r="MJH15" s="60"/>
      <c r="MJI15" s="60"/>
      <c r="MJJ15" s="60"/>
      <c r="MJK15" s="60"/>
      <c r="MJL15" s="60"/>
      <c r="MJM15" s="60"/>
      <c r="MJN15" s="60"/>
      <c r="MJO15" s="60"/>
      <c r="MJP15" s="60"/>
      <c r="MJQ15" s="60"/>
      <c r="MJR15" s="60"/>
      <c r="MJS15" s="60"/>
      <c r="MJT15" s="60"/>
      <c r="MJU15" s="60"/>
      <c r="MJV15" s="60"/>
      <c r="MJW15" s="60"/>
      <c r="MJX15" s="60"/>
      <c r="MJY15" s="60"/>
      <c r="MJZ15" s="60"/>
      <c r="MKA15" s="60"/>
      <c r="MKB15" s="60"/>
      <c r="MKC15" s="60"/>
      <c r="MKD15" s="60"/>
      <c r="MKE15" s="60"/>
      <c r="MKF15" s="60"/>
      <c r="MKG15" s="60"/>
      <c r="MKH15" s="60"/>
      <c r="MKI15" s="60"/>
      <c r="MKJ15" s="60"/>
      <c r="MKK15" s="60"/>
      <c r="MKL15" s="60"/>
      <c r="MKM15" s="60"/>
      <c r="MKN15" s="60"/>
      <c r="MKO15" s="60"/>
      <c r="MKP15" s="60"/>
      <c r="MKQ15" s="60"/>
      <c r="MKR15" s="60"/>
      <c r="MKS15" s="60"/>
      <c r="MKT15" s="60"/>
      <c r="MKU15" s="60"/>
      <c r="MKV15" s="60"/>
      <c r="MKW15" s="60"/>
      <c r="MKX15" s="60"/>
      <c r="MKY15" s="60"/>
      <c r="MKZ15" s="60"/>
      <c r="MLA15" s="60"/>
      <c r="MLB15" s="60"/>
      <c r="MLC15" s="60"/>
      <c r="MLD15" s="60"/>
      <c r="MLE15" s="60"/>
      <c r="MLF15" s="60"/>
      <c r="MLG15" s="60"/>
      <c r="MLH15" s="60"/>
      <c r="MLI15" s="60"/>
      <c r="MLJ15" s="60"/>
      <c r="MLK15" s="60"/>
      <c r="MLL15" s="60"/>
      <c r="MLM15" s="60"/>
      <c r="MLN15" s="60"/>
      <c r="MLO15" s="60"/>
      <c r="MLP15" s="60"/>
      <c r="MLQ15" s="60"/>
      <c r="MLR15" s="60"/>
      <c r="MLS15" s="60"/>
      <c r="MLT15" s="60"/>
      <c r="MLU15" s="60"/>
      <c r="MLV15" s="60"/>
      <c r="MLW15" s="60"/>
      <c r="MLX15" s="60"/>
      <c r="MLY15" s="60"/>
      <c r="MLZ15" s="60"/>
      <c r="MMA15" s="60"/>
      <c r="MMB15" s="60"/>
      <c r="MMC15" s="60"/>
      <c r="MMD15" s="60"/>
      <c r="MME15" s="60"/>
      <c r="MMF15" s="60"/>
      <c r="MMG15" s="60"/>
      <c r="MMH15" s="60"/>
      <c r="MMI15" s="60"/>
      <c r="MMJ15" s="60"/>
      <c r="MMK15" s="60"/>
      <c r="MML15" s="60"/>
      <c r="MMM15" s="60"/>
      <c r="MMN15" s="60"/>
      <c r="MMO15" s="60"/>
      <c r="MMP15" s="60"/>
      <c r="MMQ15" s="60"/>
      <c r="MMR15" s="60"/>
      <c r="MMS15" s="60"/>
      <c r="MMT15" s="60"/>
      <c r="MMU15" s="60"/>
      <c r="MMV15" s="60"/>
      <c r="MMW15" s="60"/>
      <c r="MMX15" s="60"/>
      <c r="MMY15" s="60"/>
      <c r="MMZ15" s="60"/>
      <c r="MNA15" s="60"/>
      <c r="MNB15" s="60"/>
      <c r="MNC15" s="60"/>
      <c r="MND15" s="60"/>
      <c r="MNE15" s="60"/>
      <c r="MNF15" s="60"/>
      <c r="MNG15" s="60"/>
      <c r="MNH15" s="60"/>
      <c r="MNI15" s="60"/>
      <c r="MNJ15" s="60"/>
      <c r="MNK15" s="60"/>
      <c r="MNL15" s="60"/>
      <c r="MNM15" s="60"/>
      <c r="MNN15" s="60"/>
      <c r="MNO15" s="60"/>
      <c r="MNP15" s="60"/>
      <c r="MNQ15" s="60"/>
      <c r="MNR15" s="60"/>
      <c r="MNS15" s="60"/>
      <c r="MNT15" s="60"/>
      <c r="MNU15" s="60"/>
      <c r="MNV15" s="60"/>
      <c r="MNW15" s="60"/>
      <c r="MNX15" s="60"/>
      <c r="MNY15" s="60"/>
      <c r="MNZ15" s="60"/>
      <c r="MOA15" s="60"/>
      <c r="MOB15" s="60"/>
      <c r="MOC15" s="60"/>
      <c r="MOD15" s="60"/>
      <c r="MOE15" s="60"/>
      <c r="MOF15" s="60"/>
      <c r="MOG15" s="60"/>
      <c r="MOH15" s="60"/>
      <c r="MOI15" s="60"/>
      <c r="MOJ15" s="60"/>
      <c r="MOK15" s="60"/>
      <c r="MOL15" s="60"/>
      <c r="MOM15" s="60"/>
      <c r="MON15" s="60"/>
      <c r="MOO15" s="60"/>
      <c r="MOP15" s="60"/>
      <c r="MOQ15" s="60"/>
      <c r="MOR15" s="60"/>
      <c r="MOS15" s="60"/>
      <c r="MOT15" s="60"/>
      <c r="MOU15" s="60"/>
      <c r="MOV15" s="60"/>
      <c r="MOW15" s="60"/>
      <c r="MOX15" s="60"/>
      <c r="MOY15" s="60"/>
      <c r="MOZ15" s="60"/>
      <c r="MPA15" s="60"/>
      <c r="MPB15" s="60"/>
      <c r="MPC15" s="60"/>
      <c r="MPD15" s="60"/>
      <c r="MPE15" s="60"/>
      <c r="MPF15" s="60"/>
      <c r="MPG15" s="60"/>
      <c r="MPH15" s="60"/>
      <c r="MPI15" s="60"/>
      <c r="MPJ15" s="60"/>
      <c r="MPK15" s="60"/>
      <c r="MPL15" s="60"/>
      <c r="MPM15" s="60"/>
      <c r="MPN15" s="60"/>
      <c r="MPO15" s="60"/>
      <c r="MPP15" s="60"/>
      <c r="MPQ15" s="60"/>
      <c r="MPR15" s="60"/>
      <c r="MPS15" s="60"/>
      <c r="MPT15" s="60"/>
      <c r="MPU15" s="60"/>
      <c r="MPV15" s="60"/>
      <c r="MPW15" s="60"/>
      <c r="MPX15" s="60"/>
      <c r="MPY15" s="60"/>
      <c r="MPZ15" s="60"/>
      <c r="MQA15" s="60"/>
      <c r="MQB15" s="60"/>
      <c r="MQC15" s="60"/>
      <c r="MQD15" s="60"/>
      <c r="MQE15" s="60"/>
      <c r="MQF15" s="60"/>
      <c r="MQG15" s="60"/>
      <c r="MQH15" s="60"/>
      <c r="MQI15" s="60"/>
      <c r="MQJ15" s="60"/>
      <c r="MQK15" s="60"/>
      <c r="MQL15" s="60"/>
      <c r="MQM15" s="60"/>
      <c r="MQN15" s="60"/>
      <c r="MQO15" s="60"/>
      <c r="MQP15" s="60"/>
      <c r="MQQ15" s="60"/>
      <c r="MQR15" s="60"/>
      <c r="MQS15" s="60"/>
      <c r="MQT15" s="60"/>
      <c r="MQU15" s="60"/>
      <c r="MQV15" s="60"/>
      <c r="MQW15" s="60"/>
      <c r="MQX15" s="60"/>
      <c r="MQY15" s="60"/>
      <c r="MQZ15" s="60"/>
      <c r="MRA15" s="60"/>
      <c r="MRB15" s="60"/>
      <c r="MRC15" s="60"/>
      <c r="MRD15" s="60"/>
      <c r="MRE15" s="60"/>
      <c r="MRF15" s="60"/>
      <c r="MRG15" s="60"/>
      <c r="MRH15" s="60"/>
      <c r="MRI15" s="60"/>
      <c r="MRJ15" s="60"/>
      <c r="MRK15" s="60"/>
      <c r="MRL15" s="60"/>
      <c r="MRM15" s="60"/>
      <c r="MRN15" s="60"/>
      <c r="MRO15" s="60"/>
      <c r="MRP15" s="60"/>
      <c r="MRQ15" s="60"/>
      <c r="MRR15" s="60"/>
      <c r="MRS15" s="60"/>
      <c r="MRT15" s="60"/>
      <c r="MRU15" s="60"/>
      <c r="MRV15" s="60"/>
      <c r="MRW15" s="60"/>
      <c r="MRX15" s="60"/>
      <c r="MRY15" s="60"/>
      <c r="MRZ15" s="60"/>
      <c r="MSA15" s="60"/>
      <c r="MSB15" s="60"/>
      <c r="MSC15" s="60"/>
      <c r="MSD15" s="60"/>
      <c r="MSE15" s="60"/>
      <c r="MSF15" s="60"/>
      <c r="MSG15" s="60"/>
      <c r="MSH15" s="60"/>
      <c r="MSI15" s="60"/>
      <c r="MSJ15" s="60"/>
      <c r="MSK15" s="60"/>
      <c r="MSL15" s="60"/>
      <c r="MSM15" s="60"/>
      <c r="MSN15" s="60"/>
      <c r="MSO15" s="60"/>
      <c r="MSP15" s="60"/>
      <c r="MSQ15" s="60"/>
      <c r="MSR15" s="60"/>
      <c r="MSS15" s="60"/>
      <c r="MST15" s="60"/>
      <c r="MSU15" s="60"/>
      <c r="MSV15" s="60"/>
      <c r="MSW15" s="60"/>
      <c r="MSX15" s="60"/>
      <c r="MSY15" s="60"/>
      <c r="MSZ15" s="60"/>
      <c r="MTA15" s="60"/>
      <c r="MTB15" s="60"/>
      <c r="MTC15" s="60"/>
      <c r="MTD15" s="60"/>
      <c r="MTE15" s="60"/>
      <c r="MTF15" s="60"/>
      <c r="MTG15" s="60"/>
      <c r="MTH15" s="60"/>
      <c r="MTI15" s="60"/>
      <c r="MTJ15" s="60"/>
      <c r="MTK15" s="60"/>
      <c r="MTL15" s="60"/>
      <c r="MTM15" s="60"/>
      <c r="MTN15" s="60"/>
      <c r="MTO15" s="60"/>
      <c r="MTP15" s="60"/>
      <c r="MTQ15" s="60"/>
      <c r="MTR15" s="60"/>
      <c r="MTS15" s="60"/>
      <c r="MTT15" s="60"/>
      <c r="MTU15" s="60"/>
      <c r="MTV15" s="60"/>
      <c r="MTW15" s="60"/>
      <c r="MTX15" s="60"/>
      <c r="MTY15" s="60"/>
      <c r="MTZ15" s="60"/>
      <c r="MUA15" s="60"/>
      <c r="MUB15" s="60"/>
      <c r="MUC15" s="60"/>
      <c r="MUD15" s="60"/>
      <c r="MUE15" s="60"/>
      <c r="MUF15" s="60"/>
      <c r="MUG15" s="60"/>
      <c r="MUH15" s="60"/>
      <c r="MUI15" s="60"/>
      <c r="MUJ15" s="60"/>
      <c r="MUK15" s="60"/>
      <c r="MUL15" s="60"/>
      <c r="MUM15" s="60"/>
      <c r="MUN15" s="60"/>
      <c r="MUO15" s="60"/>
      <c r="MUP15" s="60"/>
      <c r="MUQ15" s="60"/>
      <c r="MUR15" s="60"/>
      <c r="MUS15" s="60"/>
      <c r="MUT15" s="60"/>
      <c r="MUU15" s="60"/>
      <c r="MUV15" s="60"/>
      <c r="MUW15" s="60"/>
      <c r="MUX15" s="60"/>
      <c r="MUY15" s="60"/>
      <c r="MUZ15" s="60"/>
      <c r="MVA15" s="60"/>
      <c r="MVB15" s="60"/>
      <c r="MVC15" s="60"/>
      <c r="MVD15" s="60"/>
      <c r="MVE15" s="60"/>
      <c r="MVF15" s="60"/>
      <c r="MVG15" s="60"/>
      <c r="MVH15" s="60"/>
      <c r="MVI15" s="60"/>
      <c r="MVJ15" s="60"/>
      <c r="MVK15" s="60"/>
      <c r="MVL15" s="60"/>
      <c r="MVM15" s="60"/>
      <c r="MVN15" s="60"/>
      <c r="MVO15" s="60"/>
      <c r="MVP15" s="60"/>
      <c r="MVQ15" s="60"/>
      <c r="MVR15" s="60"/>
      <c r="MVS15" s="60"/>
      <c r="MVT15" s="60"/>
      <c r="MVU15" s="60"/>
      <c r="MVV15" s="60"/>
      <c r="MVW15" s="60"/>
      <c r="MVX15" s="60"/>
      <c r="MVY15" s="60"/>
      <c r="MVZ15" s="60"/>
      <c r="MWA15" s="60"/>
      <c r="MWB15" s="60"/>
      <c r="MWC15" s="60"/>
      <c r="MWD15" s="60"/>
      <c r="MWE15" s="60"/>
      <c r="MWF15" s="60"/>
      <c r="MWG15" s="60"/>
      <c r="MWH15" s="60"/>
      <c r="MWI15" s="60"/>
      <c r="MWJ15" s="60"/>
      <c r="MWK15" s="60"/>
      <c r="MWL15" s="60"/>
      <c r="MWM15" s="60"/>
      <c r="MWN15" s="60"/>
      <c r="MWO15" s="60"/>
      <c r="MWP15" s="60"/>
      <c r="MWQ15" s="60"/>
      <c r="MWR15" s="60"/>
      <c r="MWS15" s="60"/>
      <c r="MWT15" s="60"/>
      <c r="MWU15" s="60"/>
      <c r="MWV15" s="60"/>
      <c r="MWW15" s="60"/>
      <c r="MWX15" s="60"/>
      <c r="MWY15" s="60"/>
      <c r="MWZ15" s="60"/>
      <c r="MXA15" s="60"/>
      <c r="MXB15" s="60"/>
      <c r="MXC15" s="60"/>
      <c r="MXD15" s="60"/>
      <c r="MXE15" s="60"/>
      <c r="MXF15" s="60"/>
      <c r="MXG15" s="60"/>
      <c r="MXH15" s="60"/>
      <c r="MXI15" s="60"/>
      <c r="MXJ15" s="60"/>
      <c r="MXK15" s="60"/>
      <c r="MXL15" s="60"/>
      <c r="MXM15" s="60"/>
      <c r="MXN15" s="60"/>
      <c r="MXO15" s="60"/>
      <c r="MXP15" s="60"/>
      <c r="MXQ15" s="60"/>
      <c r="MXR15" s="60"/>
      <c r="MXS15" s="60"/>
      <c r="MXT15" s="60"/>
      <c r="MXU15" s="60"/>
      <c r="MXV15" s="60"/>
      <c r="MXW15" s="60"/>
      <c r="MXX15" s="60"/>
      <c r="MXY15" s="60"/>
      <c r="MXZ15" s="60"/>
      <c r="MYA15" s="60"/>
      <c r="MYB15" s="60"/>
      <c r="MYC15" s="60"/>
      <c r="MYD15" s="60"/>
      <c r="MYE15" s="60"/>
      <c r="MYF15" s="60"/>
      <c r="MYG15" s="60"/>
      <c r="MYH15" s="60"/>
      <c r="MYI15" s="60"/>
      <c r="MYJ15" s="60"/>
      <c r="MYK15" s="60"/>
      <c r="MYL15" s="60"/>
      <c r="MYM15" s="60"/>
      <c r="MYN15" s="60"/>
      <c r="MYO15" s="60"/>
      <c r="MYP15" s="60"/>
      <c r="MYQ15" s="60"/>
      <c r="MYR15" s="60"/>
      <c r="MYS15" s="60"/>
      <c r="MYT15" s="60"/>
      <c r="MYU15" s="60"/>
      <c r="MYV15" s="60"/>
      <c r="MYW15" s="60"/>
      <c r="MYX15" s="60"/>
      <c r="MYY15" s="60"/>
      <c r="MYZ15" s="60"/>
      <c r="MZA15" s="60"/>
      <c r="MZB15" s="60"/>
      <c r="MZC15" s="60"/>
      <c r="MZD15" s="60"/>
      <c r="MZE15" s="60"/>
      <c r="MZF15" s="60"/>
      <c r="MZG15" s="60"/>
      <c r="MZH15" s="60"/>
      <c r="MZI15" s="60"/>
      <c r="MZJ15" s="60"/>
      <c r="MZK15" s="60"/>
      <c r="MZL15" s="60"/>
      <c r="MZM15" s="60"/>
      <c r="MZN15" s="60"/>
      <c r="MZO15" s="60"/>
      <c r="MZP15" s="60"/>
      <c r="MZQ15" s="60"/>
      <c r="MZR15" s="60"/>
      <c r="MZS15" s="60"/>
      <c r="MZT15" s="60"/>
      <c r="MZU15" s="60"/>
      <c r="MZV15" s="60"/>
      <c r="MZW15" s="60"/>
      <c r="MZX15" s="60"/>
      <c r="MZY15" s="60"/>
      <c r="MZZ15" s="60"/>
      <c r="NAA15" s="60"/>
      <c r="NAB15" s="60"/>
      <c r="NAC15" s="60"/>
      <c r="NAD15" s="60"/>
      <c r="NAE15" s="60"/>
      <c r="NAF15" s="60"/>
      <c r="NAG15" s="60"/>
      <c r="NAH15" s="60"/>
      <c r="NAI15" s="60"/>
      <c r="NAJ15" s="60"/>
      <c r="NAK15" s="60"/>
      <c r="NAL15" s="60"/>
      <c r="NAM15" s="60"/>
      <c r="NAN15" s="60"/>
      <c r="NAO15" s="60"/>
      <c r="NAP15" s="60"/>
      <c r="NAQ15" s="60"/>
      <c r="NAR15" s="60"/>
      <c r="NAS15" s="60"/>
      <c r="NAT15" s="60"/>
      <c r="NAU15" s="60"/>
      <c r="NAV15" s="60"/>
      <c r="NAW15" s="60"/>
      <c r="NAX15" s="60"/>
      <c r="NAY15" s="60"/>
      <c r="NAZ15" s="60"/>
      <c r="NBA15" s="60"/>
      <c r="NBB15" s="60"/>
      <c r="NBC15" s="60"/>
      <c r="NBD15" s="60"/>
      <c r="NBE15" s="60"/>
      <c r="NBF15" s="60"/>
      <c r="NBG15" s="60"/>
      <c r="NBH15" s="60"/>
      <c r="NBI15" s="60"/>
      <c r="NBJ15" s="60"/>
      <c r="NBK15" s="60"/>
      <c r="NBL15" s="60"/>
      <c r="NBM15" s="60"/>
      <c r="NBN15" s="60"/>
      <c r="NBO15" s="60"/>
      <c r="NBP15" s="60"/>
      <c r="NBQ15" s="60"/>
      <c r="NBR15" s="60"/>
      <c r="NBS15" s="60"/>
      <c r="NBT15" s="60"/>
      <c r="NBU15" s="60"/>
      <c r="NBV15" s="60"/>
      <c r="NBW15" s="60"/>
      <c r="NBX15" s="60"/>
      <c r="NBY15" s="60"/>
      <c r="NBZ15" s="60"/>
      <c r="NCA15" s="60"/>
      <c r="NCB15" s="60"/>
      <c r="NCC15" s="60"/>
      <c r="NCD15" s="60"/>
      <c r="NCE15" s="60"/>
      <c r="NCF15" s="60"/>
      <c r="NCG15" s="60"/>
      <c r="NCH15" s="60"/>
      <c r="NCI15" s="60"/>
      <c r="NCJ15" s="60"/>
      <c r="NCK15" s="60"/>
      <c r="NCL15" s="60"/>
      <c r="NCM15" s="60"/>
      <c r="NCN15" s="60"/>
      <c r="NCO15" s="60"/>
      <c r="NCP15" s="60"/>
      <c r="NCQ15" s="60"/>
      <c r="NCR15" s="60"/>
      <c r="NCS15" s="60"/>
      <c r="NCT15" s="60"/>
      <c r="NCU15" s="60"/>
      <c r="NCV15" s="60"/>
      <c r="NCW15" s="60"/>
      <c r="NCX15" s="60"/>
      <c r="NCY15" s="60"/>
      <c r="NCZ15" s="60"/>
      <c r="NDA15" s="60"/>
      <c r="NDB15" s="60"/>
      <c r="NDC15" s="60"/>
      <c r="NDD15" s="60"/>
      <c r="NDE15" s="60"/>
      <c r="NDF15" s="60"/>
      <c r="NDG15" s="60"/>
      <c r="NDH15" s="60"/>
      <c r="NDI15" s="60"/>
      <c r="NDJ15" s="60"/>
      <c r="NDK15" s="60"/>
      <c r="NDL15" s="60"/>
      <c r="NDM15" s="60"/>
      <c r="NDN15" s="60"/>
      <c r="NDO15" s="60"/>
      <c r="NDP15" s="60"/>
      <c r="NDQ15" s="60"/>
      <c r="NDR15" s="60"/>
      <c r="NDS15" s="60"/>
      <c r="NDT15" s="60"/>
      <c r="NDU15" s="60"/>
      <c r="NDV15" s="60"/>
      <c r="NDW15" s="60"/>
      <c r="NDX15" s="60"/>
      <c r="NDY15" s="60"/>
      <c r="NDZ15" s="60"/>
      <c r="NEA15" s="60"/>
      <c r="NEB15" s="60"/>
      <c r="NEC15" s="60"/>
      <c r="NED15" s="60"/>
      <c r="NEE15" s="60"/>
      <c r="NEF15" s="60"/>
      <c r="NEG15" s="60"/>
      <c r="NEH15" s="60"/>
      <c r="NEI15" s="60"/>
      <c r="NEJ15" s="60"/>
      <c r="NEK15" s="60"/>
      <c r="NEL15" s="60"/>
      <c r="NEM15" s="60"/>
      <c r="NEN15" s="60"/>
      <c r="NEO15" s="60"/>
      <c r="NEP15" s="60"/>
      <c r="NEQ15" s="60"/>
      <c r="NER15" s="60"/>
      <c r="NES15" s="60"/>
      <c r="NET15" s="60"/>
      <c r="NEU15" s="60"/>
      <c r="NEV15" s="60"/>
      <c r="NEW15" s="60"/>
      <c r="NEX15" s="60"/>
      <c r="NEY15" s="60"/>
      <c r="NEZ15" s="60"/>
      <c r="NFA15" s="60"/>
      <c r="NFB15" s="60"/>
      <c r="NFC15" s="60"/>
      <c r="NFD15" s="60"/>
      <c r="NFE15" s="60"/>
      <c r="NFF15" s="60"/>
      <c r="NFG15" s="60"/>
      <c r="NFH15" s="60"/>
      <c r="NFI15" s="60"/>
      <c r="NFJ15" s="60"/>
      <c r="NFK15" s="60"/>
      <c r="NFL15" s="60"/>
      <c r="NFM15" s="60"/>
      <c r="NFN15" s="60"/>
      <c r="NFO15" s="60"/>
      <c r="NFP15" s="60"/>
      <c r="NFQ15" s="60"/>
      <c r="NFR15" s="60"/>
      <c r="NFS15" s="60"/>
      <c r="NFT15" s="60"/>
      <c r="NFU15" s="60"/>
      <c r="NFV15" s="60"/>
      <c r="NFW15" s="60"/>
      <c r="NFX15" s="60"/>
      <c r="NFY15" s="60"/>
      <c r="NFZ15" s="60"/>
      <c r="NGA15" s="60"/>
      <c r="NGB15" s="60"/>
      <c r="NGC15" s="60"/>
      <c r="NGD15" s="60"/>
      <c r="NGE15" s="60"/>
      <c r="NGF15" s="60"/>
      <c r="NGG15" s="60"/>
      <c r="NGH15" s="60"/>
      <c r="NGI15" s="60"/>
      <c r="NGJ15" s="60"/>
      <c r="NGK15" s="60"/>
      <c r="NGL15" s="60"/>
      <c r="NGM15" s="60"/>
      <c r="NGN15" s="60"/>
      <c r="NGO15" s="60"/>
      <c r="NGP15" s="60"/>
      <c r="NGQ15" s="60"/>
      <c r="NGR15" s="60"/>
      <c r="NGS15" s="60"/>
      <c r="NGT15" s="60"/>
      <c r="NGU15" s="60"/>
      <c r="NGV15" s="60"/>
      <c r="NGW15" s="60"/>
      <c r="NGX15" s="60"/>
      <c r="NGY15" s="60"/>
      <c r="NGZ15" s="60"/>
      <c r="NHA15" s="60"/>
      <c r="NHB15" s="60"/>
      <c r="NHC15" s="60"/>
      <c r="NHD15" s="60"/>
      <c r="NHE15" s="60"/>
      <c r="NHF15" s="60"/>
      <c r="NHG15" s="60"/>
      <c r="NHH15" s="60"/>
      <c r="NHI15" s="60"/>
      <c r="NHJ15" s="60"/>
      <c r="NHK15" s="60"/>
      <c r="NHL15" s="60"/>
      <c r="NHM15" s="60"/>
      <c r="NHN15" s="60"/>
      <c r="NHO15" s="60"/>
      <c r="NHP15" s="60"/>
      <c r="NHQ15" s="60"/>
      <c r="NHR15" s="60"/>
      <c r="NHS15" s="60"/>
      <c r="NHT15" s="60"/>
      <c r="NHU15" s="60"/>
      <c r="NHV15" s="60"/>
      <c r="NHW15" s="60"/>
      <c r="NHX15" s="60"/>
      <c r="NHY15" s="60"/>
      <c r="NHZ15" s="60"/>
      <c r="NIA15" s="60"/>
      <c r="NIB15" s="60"/>
      <c r="NIC15" s="60"/>
      <c r="NID15" s="60"/>
      <c r="NIE15" s="60"/>
      <c r="NIF15" s="60"/>
      <c r="NIG15" s="60"/>
      <c r="NIH15" s="60"/>
      <c r="NII15" s="60"/>
      <c r="NIJ15" s="60"/>
      <c r="NIK15" s="60"/>
      <c r="NIL15" s="60"/>
      <c r="NIM15" s="60"/>
      <c r="NIN15" s="60"/>
      <c r="NIO15" s="60"/>
      <c r="NIP15" s="60"/>
      <c r="NIQ15" s="60"/>
      <c r="NIR15" s="60"/>
      <c r="NIS15" s="60"/>
      <c r="NIT15" s="60"/>
      <c r="NIU15" s="60"/>
      <c r="NIV15" s="60"/>
      <c r="NIW15" s="60"/>
      <c r="NIX15" s="60"/>
      <c r="NIY15" s="60"/>
      <c r="NIZ15" s="60"/>
      <c r="NJA15" s="60"/>
      <c r="NJB15" s="60"/>
      <c r="NJC15" s="60"/>
      <c r="NJD15" s="60"/>
      <c r="NJE15" s="60"/>
      <c r="NJF15" s="60"/>
      <c r="NJG15" s="60"/>
      <c r="NJH15" s="60"/>
      <c r="NJI15" s="60"/>
      <c r="NJJ15" s="60"/>
      <c r="NJK15" s="60"/>
      <c r="NJL15" s="60"/>
      <c r="NJM15" s="60"/>
      <c r="NJN15" s="60"/>
      <c r="NJO15" s="60"/>
      <c r="NJP15" s="60"/>
      <c r="NJQ15" s="60"/>
      <c r="NJR15" s="60"/>
      <c r="NJS15" s="60"/>
      <c r="NJT15" s="60"/>
      <c r="NJU15" s="60"/>
      <c r="NJV15" s="60"/>
      <c r="NJW15" s="60"/>
      <c r="NJX15" s="60"/>
      <c r="NJY15" s="60"/>
      <c r="NJZ15" s="60"/>
      <c r="NKA15" s="60"/>
      <c r="NKB15" s="60"/>
      <c r="NKC15" s="60"/>
      <c r="NKD15" s="60"/>
      <c r="NKE15" s="60"/>
      <c r="NKF15" s="60"/>
      <c r="NKG15" s="60"/>
      <c r="NKH15" s="60"/>
      <c r="NKI15" s="60"/>
      <c r="NKJ15" s="60"/>
      <c r="NKK15" s="60"/>
      <c r="NKL15" s="60"/>
      <c r="NKM15" s="60"/>
      <c r="NKN15" s="60"/>
      <c r="NKO15" s="60"/>
      <c r="NKP15" s="60"/>
      <c r="NKQ15" s="60"/>
      <c r="NKR15" s="60"/>
      <c r="NKS15" s="60"/>
      <c r="NKT15" s="60"/>
      <c r="NKU15" s="60"/>
      <c r="NKV15" s="60"/>
      <c r="NKW15" s="60"/>
      <c r="NKX15" s="60"/>
      <c r="NKY15" s="60"/>
      <c r="NKZ15" s="60"/>
      <c r="NLA15" s="60"/>
      <c r="NLB15" s="60"/>
      <c r="NLC15" s="60"/>
      <c r="NLD15" s="60"/>
      <c r="NLE15" s="60"/>
      <c r="NLF15" s="60"/>
      <c r="NLG15" s="60"/>
      <c r="NLH15" s="60"/>
      <c r="NLI15" s="60"/>
      <c r="NLJ15" s="60"/>
      <c r="NLK15" s="60"/>
      <c r="NLL15" s="60"/>
      <c r="NLM15" s="60"/>
      <c r="NLN15" s="60"/>
      <c r="NLO15" s="60"/>
      <c r="NLP15" s="60"/>
      <c r="NLQ15" s="60"/>
      <c r="NLR15" s="60"/>
      <c r="NLS15" s="60"/>
      <c r="NLT15" s="60"/>
      <c r="NLU15" s="60"/>
      <c r="NLV15" s="60"/>
      <c r="NLW15" s="60"/>
      <c r="NLX15" s="60"/>
      <c r="NLY15" s="60"/>
      <c r="NLZ15" s="60"/>
      <c r="NMA15" s="60"/>
      <c r="NMB15" s="60"/>
      <c r="NMC15" s="60"/>
      <c r="NMD15" s="60"/>
      <c r="NME15" s="60"/>
      <c r="NMF15" s="60"/>
      <c r="NMG15" s="60"/>
      <c r="NMH15" s="60"/>
      <c r="NMI15" s="60"/>
      <c r="NMJ15" s="60"/>
      <c r="NMK15" s="60"/>
      <c r="NML15" s="60"/>
      <c r="NMM15" s="60"/>
      <c r="NMN15" s="60"/>
      <c r="NMO15" s="60"/>
      <c r="NMP15" s="60"/>
      <c r="NMQ15" s="60"/>
      <c r="NMR15" s="60"/>
      <c r="NMS15" s="60"/>
      <c r="NMT15" s="60"/>
      <c r="NMU15" s="60"/>
      <c r="NMV15" s="60"/>
      <c r="NMW15" s="60"/>
      <c r="NMX15" s="60"/>
      <c r="NMY15" s="60"/>
      <c r="NMZ15" s="60"/>
      <c r="NNA15" s="60"/>
      <c r="NNB15" s="60"/>
      <c r="NNC15" s="60"/>
      <c r="NND15" s="60"/>
      <c r="NNE15" s="60"/>
      <c r="NNF15" s="60"/>
      <c r="NNG15" s="60"/>
      <c r="NNH15" s="60"/>
      <c r="NNI15" s="60"/>
      <c r="NNJ15" s="60"/>
      <c r="NNK15" s="60"/>
      <c r="NNL15" s="60"/>
      <c r="NNM15" s="60"/>
      <c r="NNN15" s="60"/>
      <c r="NNO15" s="60"/>
      <c r="NNP15" s="60"/>
      <c r="NNQ15" s="60"/>
      <c r="NNR15" s="60"/>
      <c r="NNS15" s="60"/>
      <c r="NNT15" s="60"/>
      <c r="NNU15" s="60"/>
      <c r="NNV15" s="60"/>
      <c r="NNW15" s="60"/>
      <c r="NNX15" s="60"/>
      <c r="NNY15" s="60"/>
      <c r="NNZ15" s="60"/>
      <c r="NOA15" s="60"/>
      <c r="NOB15" s="60"/>
      <c r="NOC15" s="60"/>
      <c r="NOD15" s="60"/>
      <c r="NOE15" s="60"/>
      <c r="NOF15" s="60"/>
      <c r="NOG15" s="60"/>
      <c r="NOH15" s="60"/>
      <c r="NOI15" s="60"/>
      <c r="NOJ15" s="60"/>
      <c r="NOK15" s="60"/>
      <c r="NOL15" s="60"/>
      <c r="NOM15" s="60"/>
      <c r="NON15" s="60"/>
      <c r="NOO15" s="60"/>
      <c r="NOP15" s="60"/>
      <c r="NOQ15" s="60"/>
      <c r="NOR15" s="60"/>
      <c r="NOS15" s="60"/>
      <c r="NOT15" s="60"/>
      <c r="NOU15" s="60"/>
      <c r="NOV15" s="60"/>
      <c r="NOW15" s="60"/>
      <c r="NOX15" s="60"/>
      <c r="NOY15" s="60"/>
      <c r="NOZ15" s="60"/>
      <c r="NPA15" s="60"/>
      <c r="NPB15" s="60"/>
      <c r="NPC15" s="60"/>
      <c r="NPD15" s="60"/>
      <c r="NPE15" s="60"/>
      <c r="NPF15" s="60"/>
      <c r="NPG15" s="60"/>
      <c r="NPH15" s="60"/>
      <c r="NPI15" s="60"/>
      <c r="NPJ15" s="60"/>
      <c r="NPK15" s="60"/>
      <c r="NPL15" s="60"/>
      <c r="NPM15" s="60"/>
      <c r="NPN15" s="60"/>
      <c r="NPO15" s="60"/>
      <c r="NPP15" s="60"/>
      <c r="NPQ15" s="60"/>
      <c r="NPR15" s="60"/>
      <c r="NPS15" s="60"/>
      <c r="NPT15" s="60"/>
      <c r="NPU15" s="60"/>
      <c r="NPV15" s="60"/>
      <c r="NPW15" s="60"/>
      <c r="NPX15" s="60"/>
      <c r="NPY15" s="60"/>
      <c r="NPZ15" s="60"/>
      <c r="NQA15" s="60"/>
      <c r="NQB15" s="60"/>
      <c r="NQC15" s="60"/>
      <c r="NQD15" s="60"/>
      <c r="NQE15" s="60"/>
      <c r="NQF15" s="60"/>
      <c r="NQG15" s="60"/>
      <c r="NQH15" s="60"/>
      <c r="NQI15" s="60"/>
      <c r="NQJ15" s="60"/>
      <c r="NQK15" s="60"/>
      <c r="NQL15" s="60"/>
      <c r="NQM15" s="60"/>
      <c r="NQN15" s="60"/>
      <c r="NQO15" s="60"/>
      <c r="NQP15" s="60"/>
      <c r="NQQ15" s="60"/>
      <c r="NQR15" s="60"/>
      <c r="NQS15" s="60"/>
      <c r="NQT15" s="60"/>
      <c r="NQU15" s="60"/>
      <c r="NQV15" s="60"/>
      <c r="NQW15" s="60"/>
      <c r="NQX15" s="60"/>
      <c r="NQY15" s="60"/>
      <c r="NQZ15" s="60"/>
      <c r="NRA15" s="60"/>
      <c r="NRB15" s="60"/>
      <c r="NRC15" s="60"/>
      <c r="NRD15" s="60"/>
      <c r="NRE15" s="60"/>
      <c r="NRF15" s="60"/>
      <c r="NRG15" s="60"/>
      <c r="NRH15" s="60"/>
      <c r="NRI15" s="60"/>
      <c r="NRJ15" s="60"/>
      <c r="NRK15" s="60"/>
      <c r="NRL15" s="60"/>
      <c r="NRM15" s="60"/>
      <c r="NRN15" s="60"/>
      <c r="NRO15" s="60"/>
      <c r="NRP15" s="60"/>
      <c r="NRQ15" s="60"/>
      <c r="NRR15" s="60"/>
      <c r="NRS15" s="60"/>
      <c r="NRT15" s="60"/>
      <c r="NRU15" s="60"/>
      <c r="NRV15" s="60"/>
      <c r="NRW15" s="60"/>
      <c r="NRX15" s="60"/>
      <c r="NRY15" s="60"/>
      <c r="NRZ15" s="60"/>
      <c r="NSA15" s="60"/>
      <c r="NSB15" s="60"/>
      <c r="NSC15" s="60"/>
      <c r="NSD15" s="60"/>
      <c r="NSE15" s="60"/>
      <c r="NSF15" s="60"/>
      <c r="NSG15" s="60"/>
      <c r="NSH15" s="60"/>
      <c r="NSI15" s="60"/>
      <c r="NSJ15" s="60"/>
      <c r="NSK15" s="60"/>
      <c r="NSL15" s="60"/>
      <c r="NSM15" s="60"/>
      <c r="NSN15" s="60"/>
      <c r="NSO15" s="60"/>
      <c r="NSP15" s="60"/>
      <c r="NSQ15" s="60"/>
      <c r="NSR15" s="60"/>
      <c r="NSS15" s="60"/>
      <c r="NST15" s="60"/>
      <c r="NSU15" s="60"/>
      <c r="NSV15" s="60"/>
      <c r="NSW15" s="60"/>
      <c r="NSX15" s="60"/>
      <c r="NSY15" s="60"/>
      <c r="NSZ15" s="60"/>
      <c r="NTA15" s="60"/>
      <c r="NTB15" s="60"/>
      <c r="NTC15" s="60"/>
      <c r="NTD15" s="60"/>
      <c r="NTE15" s="60"/>
      <c r="NTF15" s="60"/>
      <c r="NTG15" s="60"/>
      <c r="NTH15" s="60"/>
      <c r="NTI15" s="60"/>
      <c r="NTJ15" s="60"/>
      <c r="NTK15" s="60"/>
      <c r="NTL15" s="60"/>
      <c r="NTM15" s="60"/>
      <c r="NTN15" s="60"/>
      <c r="NTO15" s="60"/>
      <c r="NTP15" s="60"/>
      <c r="NTQ15" s="60"/>
      <c r="NTR15" s="60"/>
      <c r="NTS15" s="60"/>
      <c r="NTT15" s="60"/>
      <c r="NTU15" s="60"/>
      <c r="NTV15" s="60"/>
      <c r="NTW15" s="60"/>
      <c r="NTX15" s="60"/>
      <c r="NTY15" s="60"/>
      <c r="NTZ15" s="60"/>
      <c r="NUA15" s="60"/>
      <c r="NUB15" s="60"/>
      <c r="NUC15" s="60"/>
      <c r="NUD15" s="60"/>
      <c r="NUE15" s="60"/>
      <c r="NUF15" s="60"/>
      <c r="NUG15" s="60"/>
      <c r="NUH15" s="60"/>
      <c r="NUI15" s="60"/>
      <c r="NUJ15" s="60"/>
      <c r="NUK15" s="60"/>
      <c r="NUL15" s="60"/>
      <c r="NUM15" s="60"/>
      <c r="NUN15" s="60"/>
      <c r="NUO15" s="60"/>
      <c r="NUP15" s="60"/>
      <c r="NUQ15" s="60"/>
      <c r="NUR15" s="60"/>
      <c r="NUS15" s="60"/>
      <c r="NUT15" s="60"/>
      <c r="NUU15" s="60"/>
      <c r="NUV15" s="60"/>
      <c r="NUW15" s="60"/>
      <c r="NUX15" s="60"/>
      <c r="NUY15" s="60"/>
      <c r="NUZ15" s="60"/>
      <c r="NVA15" s="60"/>
      <c r="NVB15" s="60"/>
      <c r="NVC15" s="60"/>
      <c r="NVD15" s="60"/>
      <c r="NVE15" s="60"/>
      <c r="NVF15" s="60"/>
      <c r="NVG15" s="60"/>
      <c r="NVH15" s="60"/>
      <c r="NVI15" s="60"/>
      <c r="NVJ15" s="60"/>
      <c r="NVK15" s="60"/>
      <c r="NVL15" s="60"/>
      <c r="NVM15" s="60"/>
      <c r="NVN15" s="60"/>
      <c r="NVO15" s="60"/>
      <c r="NVP15" s="60"/>
      <c r="NVQ15" s="60"/>
      <c r="NVR15" s="60"/>
      <c r="NVS15" s="60"/>
      <c r="NVT15" s="60"/>
      <c r="NVU15" s="60"/>
      <c r="NVV15" s="60"/>
      <c r="NVW15" s="60"/>
      <c r="NVX15" s="60"/>
      <c r="NVY15" s="60"/>
      <c r="NVZ15" s="60"/>
      <c r="NWA15" s="60"/>
      <c r="NWB15" s="60"/>
      <c r="NWC15" s="60"/>
      <c r="NWD15" s="60"/>
      <c r="NWE15" s="60"/>
      <c r="NWF15" s="60"/>
      <c r="NWG15" s="60"/>
      <c r="NWH15" s="60"/>
      <c r="NWI15" s="60"/>
      <c r="NWJ15" s="60"/>
      <c r="NWK15" s="60"/>
      <c r="NWL15" s="60"/>
      <c r="NWM15" s="60"/>
      <c r="NWN15" s="60"/>
      <c r="NWO15" s="60"/>
      <c r="NWP15" s="60"/>
      <c r="NWQ15" s="60"/>
      <c r="NWR15" s="60"/>
      <c r="NWS15" s="60"/>
      <c r="NWT15" s="60"/>
      <c r="NWU15" s="60"/>
      <c r="NWV15" s="60"/>
      <c r="NWW15" s="60"/>
      <c r="NWX15" s="60"/>
      <c r="NWY15" s="60"/>
      <c r="NWZ15" s="60"/>
      <c r="NXA15" s="60"/>
      <c r="NXB15" s="60"/>
      <c r="NXC15" s="60"/>
      <c r="NXD15" s="60"/>
      <c r="NXE15" s="60"/>
      <c r="NXF15" s="60"/>
      <c r="NXG15" s="60"/>
      <c r="NXH15" s="60"/>
      <c r="NXI15" s="60"/>
      <c r="NXJ15" s="60"/>
      <c r="NXK15" s="60"/>
      <c r="NXL15" s="60"/>
      <c r="NXM15" s="60"/>
      <c r="NXN15" s="60"/>
      <c r="NXO15" s="60"/>
      <c r="NXP15" s="60"/>
      <c r="NXQ15" s="60"/>
      <c r="NXR15" s="60"/>
      <c r="NXS15" s="60"/>
      <c r="NXT15" s="60"/>
      <c r="NXU15" s="60"/>
      <c r="NXV15" s="60"/>
      <c r="NXW15" s="60"/>
      <c r="NXX15" s="60"/>
      <c r="NXY15" s="60"/>
      <c r="NXZ15" s="60"/>
      <c r="NYA15" s="60"/>
      <c r="NYB15" s="60"/>
      <c r="NYC15" s="60"/>
      <c r="NYD15" s="60"/>
      <c r="NYE15" s="60"/>
      <c r="NYF15" s="60"/>
      <c r="NYG15" s="60"/>
      <c r="NYH15" s="60"/>
      <c r="NYI15" s="60"/>
      <c r="NYJ15" s="60"/>
      <c r="NYK15" s="60"/>
      <c r="NYL15" s="60"/>
      <c r="NYM15" s="60"/>
      <c r="NYN15" s="60"/>
      <c r="NYO15" s="60"/>
      <c r="NYP15" s="60"/>
      <c r="NYQ15" s="60"/>
      <c r="NYR15" s="60"/>
      <c r="NYS15" s="60"/>
      <c r="NYT15" s="60"/>
      <c r="NYU15" s="60"/>
      <c r="NYV15" s="60"/>
      <c r="NYW15" s="60"/>
      <c r="NYX15" s="60"/>
      <c r="NYY15" s="60"/>
      <c r="NYZ15" s="60"/>
      <c r="NZA15" s="60"/>
      <c r="NZB15" s="60"/>
      <c r="NZC15" s="60"/>
      <c r="NZD15" s="60"/>
      <c r="NZE15" s="60"/>
      <c r="NZF15" s="60"/>
      <c r="NZG15" s="60"/>
      <c r="NZH15" s="60"/>
      <c r="NZI15" s="60"/>
      <c r="NZJ15" s="60"/>
      <c r="NZK15" s="60"/>
      <c r="NZL15" s="60"/>
      <c r="NZM15" s="60"/>
      <c r="NZN15" s="60"/>
      <c r="NZO15" s="60"/>
      <c r="NZP15" s="60"/>
      <c r="NZQ15" s="60"/>
      <c r="NZR15" s="60"/>
      <c r="NZS15" s="60"/>
      <c r="NZT15" s="60"/>
      <c r="NZU15" s="60"/>
      <c r="NZV15" s="60"/>
      <c r="NZW15" s="60"/>
      <c r="NZX15" s="60"/>
      <c r="NZY15" s="60"/>
      <c r="NZZ15" s="60"/>
      <c r="OAA15" s="60"/>
      <c r="OAB15" s="60"/>
      <c r="OAC15" s="60"/>
      <c r="OAD15" s="60"/>
      <c r="OAE15" s="60"/>
      <c r="OAF15" s="60"/>
      <c r="OAG15" s="60"/>
      <c r="OAH15" s="60"/>
      <c r="OAI15" s="60"/>
      <c r="OAJ15" s="60"/>
      <c r="OAK15" s="60"/>
      <c r="OAL15" s="60"/>
      <c r="OAM15" s="60"/>
      <c r="OAN15" s="60"/>
      <c r="OAO15" s="60"/>
      <c r="OAP15" s="60"/>
      <c r="OAQ15" s="60"/>
      <c r="OAR15" s="60"/>
      <c r="OAS15" s="60"/>
      <c r="OAT15" s="60"/>
      <c r="OAU15" s="60"/>
      <c r="OAV15" s="60"/>
      <c r="OAW15" s="60"/>
      <c r="OAX15" s="60"/>
      <c r="OAY15" s="60"/>
      <c r="OAZ15" s="60"/>
      <c r="OBA15" s="60"/>
      <c r="OBB15" s="60"/>
      <c r="OBC15" s="60"/>
      <c r="OBD15" s="60"/>
      <c r="OBE15" s="60"/>
      <c r="OBF15" s="60"/>
      <c r="OBG15" s="60"/>
      <c r="OBH15" s="60"/>
      <c r="OBI15" s="60"/>
      <c r="OBJ15" s="60"/>
      <c r="OBK15" s="60"/>
      <c r="OBL15" s="60"/>
      <c r="OBM15" s="60"/>
      <c r="OBN15" s="60"/>
      <c r="OBO15" s="60"/>
      <c r="OBP15" s="60"/>
      <c r="OBQ15" s="60"/>
      <c r="OBR15" s="60"/>
      <c r="OBS15" s="60"/>
      <c r="OBT15" s="60"/>
      <c r="OBU15" s="60"/>
      <c r="OBV15" s="60"/>
      <c r="OBW15" s="60"/>
      <c r="OBX15" s="60"/>
      <c r="OBY15" s="60"/>
      <c r="OBZ15" s="60"/>
      <c r="OCA15" s="60"/>
      <c r="OCB15" s="60"/>
      <c r="OCC15" s="60"/>
      <c r="OCD15" s="60"/>
      <c r="OCE15" s="60"/>
      <c r="OCF15" s="60"/>
      <c r="OCG15" s="60"/>
      <c r="OCH15" s="60"/>
      <c r="OCI15" s="60"/>
      <c r="OCJ15" s="60"/>
      <c r="OCK15" s="60"/>
      <c r="OCL15" s="60"/>
      <c r="OCM15" s="60"/>
      <c r="OCN15" s="60"/>
      <c r="OCO15" s="60"/>
      <c r="OCP15" s="60"/>
      <c r="OCQ15" s="60"/>
      <c r="OCR15" s="60"/>
      <c r="OCS15" s="60"/>
      <c r="OCT15" s="60"/>
      <c r="OCU15" s="60"/>
      <c r="OCV15" s="60"/>
      <c r="OCW15" s="60"/>
      <c r="OCX15" s="60"/>
      <c r="OCY15" s="60"/>
      <c r="OCZ15" s="60"/>
      <c r="ODA15" s="60"/>
      <c r="ODB15" s="60"/>
      <c r="ODC15" s="60"/>
      <c r="ODD15" s="60"/>
      <c r="ODE15" s="60"/>
      <c r="ODF15" s="60"/>
      <c r="ODG15" s="60"/>
      <c r="ODH15" s="60"/>
      <c r="ODI15" s="60"/>
      <c r="ODJ15" s="60"/>
      <c r="ODK15" s="60"/>
      <c r="ODL15" s="60"/>
      <c r="ODM15" s="60"/>
      <c r="ODN15" s="60"/>
      <c r="ODO15" s="60"/>
      <c r="ODP15" s="60"/>
      <c r="ODQ15" s="60"/>
      <c r="ODR15" s="60"/>
      <c r="ODS15" s="60"/>
      <c r="ODT15" s="60"/>
      <c r="ODU15" s="60"/>
      <c r="ODV15" s="60"/>
      <c r="ODW15" s="60"/>
      <c r="ODX15" s="60"/>
      <c r="ODY15" s="60"/>
      <c r="ODZ15" s="60"/>
      <c r="OEA15" s="60"/>
      <c r="OEB15" s="60"/>
      <c r="OEC15" s="60"/>
      <c r="OED15" s="60"/>
      <c r="OEE15" s="60"/>
      <c r="OEF15" s="60"/>
      <c r="OEG15" s="60"/>
      <c r="OEH15" s="60"/>
      <c r="OEI15" s="60"/>
      <c r="OEJ15" s="60"/>
      <c r="OEK15" s="60"/>
      <c r="OEL15" s="60"/>
      <c r="OEM15" s="60"/>
      <c r="OEN15" s="60"/>
      <c r="OEO15" s="60"/>
      <c r="OEP15" s="60"/>
      <c r="OEQ15" s="60"/>
      <c r="OER15" s="60"/>
      <c r="OES15" s="60"/>
      <c r="OET15" s="60"/>
      <c r="OEU15" s="60"/>
      <c r="OEV15" s="60"/>
      <c r="OEW15" s="60"/>
      <c r="OEX15" s="60"/>
      <c r="OEY15" s="60"/>
      <c r="OEZ15" s="60"/>
      <c r="OFA15" s="60"/>
      <c r="OFB15" s="60"/>
      <c r="OFC15" s="60"/>
      <c r="OFD15" s="60"/>
      <c r="OFE15" s="60"/>
      <c r="OFF15" s="60"/>
      <c r="OFG15" s="60"/>
      <c r="OFH15" s="60"/>
      <c r="OFI15" s="60"/>
      <c r="OFJ15" s="60"/>
      <c r="OFK15" s="60"/>
      <c r="OFL15" s="60"/>
      <c r="OFM15" s="60"/>
      <c r="OFN15" s="60"/>
      <c r="OFO15" s="60"/>
      <c r="OFP15" s="60"/>
      <c r="OFQ15" s="60"/>
      <c r="OFR15" s="60"/>
      <c r="OFS15" s="60"/>
      <c r="OFT15" s="60"/>
      <c r="OFU15" s="60"/>
      <c r="OFV15" s="60"/>
      <c r="OFW15" s="60"/>
      <c r="OFX15" s="60"/>
      <c r="OFY15" s="60"/>
      <c r="OFZ15" s="60"/>
      <c r="OGA15" s="60"/>
      <c r="OGB15" s="60"/>
      <c r="OGC15" s="60"/>
      <c r="OGD15" s="60"/>
      <c r="OGE15" s="60"/>
      <c r="OGF15" s="60"/>
      <c r="OGG15" s="60"/>
      <c r="OGH15" s="60"/>
      <c r="OGI15" s="60"/>
      <c r="OGJ15" s="60"/>
      <c r="OGK15" s="60"/>
      <c r="OGL15" s="60"/>
      <c r="OGM15" s="60"/>
      <c r="OGN15" s="60"/>
      <c r="OGO15" s="60"/>
      <c r="OGP15" s="60"/>
      <c r="OGQ15" s="60"/>
      <c r="OGR15" s="60"/>
      <c r="OGS15" s="60"/>
      <c r="OGT15" s="60"/>
      <c r="OGU15" s="60"/>
      <c r="OGV15" s="60"/>
      <c r="OGW15" s="60"/>
      <c r="OGX15" s="60"/>
      <c r="OGY15" s="60"/>
      <c r="OGZ15" s="60"/>
      <c r="OHA15" s="60"/>
      <c r="OHB15" s="60"/>
      <c r="OHC15" s="60"/>
      <c r="OHD15" s="60"/>
      <c r="OHE15" s="60"/>
      <c r="OHF15" s="60"/>
      <c r="OHG15" s="60"/>
      <c r="OHH15" s="60"/>
      <c r="OHI15" s="60"/>
      <c r="OHJ15" s="60"/>
      <c r="OHK15" s="60"/>
      <c r="OHL15" s="60"/>
      <c r="OHM15" s="60"/>
      <c r="OHN15" s="60"/>
      <c r="OHO15" s="60"/>
      <c r="OHP15" s="60"/>
      <c r="OHQ15" s="60"/>
      <c r="OHR15" s="60"/>
      <c r="OHS15" s="60"/>
      <c r="OHT15" s="60"/>
      <c r="OHU15" s="60"/>
      <c r="OHV15" s="60"/>
      <c r="OHW15" s="60"/>
      <c r="OHX15" s="60"/>
      <c r="OHY15" s="60"/>
      <c r="OHZ15" s="60"/>
      <c r="OIA15" s="60"/>
      <c r="OIB15" s="60"/>
      <c r="OIC15" s="60"/>
      <c r="OID15" s="60"/>
      <c r="OIE15" s="60"/>
      <c r="OIF15" s="60"/>
      <c r="OIG15" s="60"/>
      <c r="OIH15" s="60"/>
      <c r="OII15" s="60"/>
      <c r="OIJ15" s="60"/>
      <c r="OIK15" s="60"/>
      <c r="OIL15" s="60"/>
      <c r="OIM15" s="60"/>
      <c r="OIN15" s="60"/>
      <c r="OIO15" s="60"/>
      <c r="OIP15" s="60"/>
      <c r="OIQ15" s="60"/>
      <c r="OIR15" s="60"/>
      <c r="OIS15" s="60"/>
      <c r="OIT15" s="60"/>
      <c r="OIU15" s="60"/>
      <c r="OIV15" s="60"/>
      <c r="OIW15" s="60"/>
      <c r="OIX15" s="60"/>
      <c r="OIY15" s="60"/>
      <c r="OIZ15" s="60"/>
      <c r="OJA15" s="60"/>
      <c r="OJB15" s="60"/>
      <c r="OJC15" s="60"/>
      <c r="OJD15" s="60"/>
      <c r="OJE15" s="60"/>
      <c r="OJF15" s="60"/>
      <c r="OJG15" s="60"/>
      <c r="OJH15" s="60"/>
      <c r="OJI15" s="60"/>
      <c r="OJJ15" s="60"/>
      <c r="OJK15" s="60"/>
      <c r="OJL15" s="60"/>
      <c r="OJM15" s="60"/>
      <c r="OJN15" s="60"/>
      <c r="OJO15" s="60"/>
      <c r="OJP15" s="60"/>
      <c r="OJQ15" s="60"/>
      <c r="OJR15" s="60"/>
      <c r="OJS15" s="60"/>
      <c r="OJT15" s="60"/>
      <c r="OJU15" s="60"/>
      <c r="OJV15" s="60"/>
      <c r="OJW15" s="60"/>
      <c r="OJX15" s="60"/>
      <c r="OJY15" s="60"/>
      <c r="OJZ15" s="60"/>
      <c r="OKA15" s="60"/>
      <c r="OKB15" s="60"/>
      <c r="OKC15" s="60"/>
      <c r="OKD15" s="60"/>
      <c r="OKE15" s="60"/>
      <c r="OKF15" s="60"/>
      <c r="OKG15" s="60"/>
      <c r="OKH15" s="60"/>
      <c r="OKI15" s="60"/>
      <c r="OKJ15" s="60"/>
      <c r="OKK15" s="60"/>
      <c r="OKL15" s="60"/>
      <c r="OKM15" s="60"/>
      <c r="OKN15" s="60"/>
      <c r="OKO15" s="60"/>
      <c r="OKP15" s="60"/>
      <c r="OKQ15" s="60"/>
      <c r="OKR15" s="60"/>
      <c r="OKS15" s="60"/>
      <c r="OKT15" s="60"/>
      <c r="OKU15" s="60"/>
      <c r="OKV15" s="60"/>
      <c r="OKW15" s="60"/>
      <c r="OKX15" s="60"/>
      <c r="OKY15" s="60"/>
      <c r="OKZ15" s="60"/>
      <c r="OLA15" s="60"/>
      <c r="OLB15" s="60"/>
      <c r="OLC15" s="60"/>
      <c r="OLD15" s="60"/>
      <c r="OLE15" s="60"/>
      <c r="OLF15" s="60"/>
      <c r="OLG15" s="60"/>
      <c r="OLH15" s="60"/>
      <c r="OLI15" s="60"/>
      <c r="OLJ15" s="60"/>
      <c r="OLK15" s="60"/>
      <c r="OLL15" s="60"/>
      <c r="OLM15" s="60"/>
      <c r="OLN15" s="60"/>
      <c r="OLO15" s="60"/>
      <c r="OLP15" s="60"/>
      <c r="OLQ15" s="60"/>
      <c r="OLR15" s="60"/>
      <c r="OLS15" s="60"/>
      <c r="OLT15" s="60"/>
      <c r="OLU15" s="60"/>
      <c r="OLV15" s="60"/>
      <c r="OLW15" s="60"/>
      <c r="OLX15" s="60"/>
      <c r="OLY15" s="60"/>
      <c r="OLZ15" s="60"/>
      <c r="OMA15" s="60"/>
      <c r="OMB15" s="60"/>
      <c r="OMC15" s="60"/>
      <c r="OMD15" s="60"/>
      <c r="OME15" s="60"/>
      <c r="OMF15" s="60"/>
      <c r="OMG15" s="60"/>
      <c r="OMH15" s="60"/>
      <c r="OMI15" s="60"/>
      <c r="OMJ15" s="60"/>
      <c r="OMK15" s="60"/>
      <c r="OML15" s="60"/>
      <c r="OMM15" s="60"/>
      <c r="OMN15" s="60"/>
      <c r="OMO15" s="60"/>
      <c r="OMP15" s="60"/>
      <c r="OMQ15" s="60"/>
      <c r="OMR15" s="60"/>
      <c r="OMS15" s="60"/>
      <c r="OMT15" s="60"/>
      <c r="OMU15" s="60"/>
      <c r="OMV15" s="60"/>
      <c r="OMW15" s="60"/>
      <c r="OMX15" s="60"/>
      <c r="OMY15" s="60"/>
      <c r="OMZ15" s="60"/>
      <c r="ONA15" s="60"/>
      <c r="ONB15" s="60"/>
      <c r="ONC15" s="60"/>
      <c r="OND15" s="60"/>
      <c r="ONE15" s="60"/>
      <c r="ONF15" s="60"/>
      <c r="ONG15" s="60"/>
      <c r="ONH15" s="60"/>
      <c r="ONI15" s="60"/>
      <c r="ONJ15" s="60"/>
      <c r="ONK15" s="60"/>
      <c r="ONL15" s="60"/>
      <c r="ONM15" s="60"/>
      <c r="ONN15" s="60"/>
      <c r="ONO15" s="60"/>
      <c r="ONP15" s="60"/>
      <c r="ONQ15" s="60"/>
      <c r="ONR15" s="60"/>
      <c r="ONS15" s="60"/>
      <c r="ONT15" s="60"/>
      <c r="ONU15" s="60"/>
      <c r="ONV15" s="60"/>
      <c r="ONW15" s="60"/>
      <c r="ONX15" s="60"/>
      <c r="ONY15" s="60"/>
      <c r="ONZ15" s="60"/>
      <c r="OOA15" s="60"/>
      <c r="OOB15" s="60"/>
      <c r="OOC15" s="60"/>
      <c r="OOD15" s="60"/>
      <c r="OOE15" s="60"/>
      <c r="OOF15" s="60"/>
      <c r="OOG15" s="60"/>
      <c r="OOH15" s="60"/>
      <c r="OOI15" s="60"/>
      <c r="OOJ15" s="60"/>
      <c r="OOK15" s="60"/>
      <c r="OOL15" s="60"/>
      <c r="OOM15" s="60"/>
      <c r="OON15" s="60"/>
      <c r="OOO15" s="60"/>
      <c r="OOP15" s="60"/>
      <c r="OOQ15" s="60"/>
      <c r="OOR15" s="60"/>
      <c r="OOS15" s="60"/>
      <c r="OOT15" s="60"/>
      <c r="OOU15" s="60"/>
      <c r="OOV15" s="60"/>
      <c r="OOW15" s="60"/>
      <c r="OOX15" s="60"/>
      <c r="OOY15" s="60"/>
      <c r="OOZ15" s="60"/>
      <c r="OPA15" s="60"/>
      <c r="OPB15" s="60"/>
      <c r="OPC15" s="60"/>
      <c r="OPD15" s="60"/>
      <c r="OPE15" s="60"/>
      <c r="OPF15" s="60"/>
      <c r="OPG15" s="60"/>
      <c r="OPH15" s="60"/>
      <c r="OPI15" s="60"/>
      <c r="OPJ15" s="60"/>
      <c r="OPK15" s="60"/>
      <c r="OPL15" s="60"/>
      <c r="OPM15" s="60"/>
      <c r="OPN15" s="60"/>
      <c r="OPO15" s="60"/>
      <c r="OPP15" s="60"/>
      <c r="OPQ15" s="60"/>
      <c r="OPR15" s="60"/>
      <c r="OPS15" s="60"/>
      <c r="OPT15" s="60"/>
      <c r="OPU15" s="60"/>
      <c r="OPV15" s="60"/>
      <c r="OPW15" s="60"/>
      <c r="OPX15" s="60"/>
      <c r="OPY15" s="60"/>
      <c r="OPZ15" s="60"/>
      <c r="OQA15" s="60"/>
      <c r="OQB15" s="60"/>
      <c r="OQC15" s="60"/>
      <c r="OQD15" s="60"/>
      <c r="OQE15" s="60"/>
      <c r="OQF15" s="60"/>
      <c r="OQG15" s="60"/>
      <c r="OQH15" s="60"/>
      <c r="OQI15" s="60"/>
      <c r="OQJ15" s="60"/>
      <c r="OQK15" s="60"/>
      <c r="OQL15" s="60"/>
      <c r="OQM15" s="60"/>
      <c r="OQN15" s="60"/>
      <c r="OQO15" s="60"/>
      <c r="OQP15" s="60"/>
      <c r="OQQ15" s="60"/>
      <c r="OQR15" s="60"/>
      <c r="OQS15" s="60"/>
      <c r="OQT15" s="60"/>
      <c r="OQU15" s="60"/>
      <c r="OQV15" s="60"/>
      <c r="OQW15" s="60"/>
      <c r="OQX15" s="60"/>
      <c r="OQY15" s="60"/>
      <c r="OQZ15" s="60"/>
      <c r="ORA15" s="60"/>
      <c r="ORB15" s="60"/>
      <c r="ORC15" s="60"/>
      <c r="ORD15" s="60"/>
      <c r="ORE15" s="60"/>
      <c r="ORF15" s="60"/>
      <c r="ORG15" s="60"/>
      <c r="ORH15" s="60"/>
      <c r="ORI15" s="60"/>
      <c r="ORJ15" s="60"/>
      <c r="ORK15" s="60"/>
      <c r="ORL15" s="60"/>
      <c r="ORM15" s="60"/>
      <c r="ORN15" s="60"/>
      <c r="ORO15" s="60"/>
      <c r="ORP15" s="60"/>
      <c r="ORQ15" s="60"/>
      <c r="ORR15" s="60"/>
      <c r="ORS15" s="60"/>
      <c r="ORT15" s="60"/>
      <c r="ORU15" s="60"/>
      <c r="ORV15" s="60"/>
      <c r="ORW15" s="60"/>
      <c r="ORX15" s="60"/>
      <c r="ORY15" s="60"/>
      <c r="ORZ15" s="60"/>
      <c r="OSA15" s="60"/>
      <c r="OSB15" s="60"/>
      <c r="OSC15" s="60"/>
      <c r="OSD15" s="60"/>
      <c r="OSE15" s="60"/>
      <c r="OSF15" s="60"/>
      <c r="OSG15" s="60"/>
      <c r="OSH15" s="60"/>
      <c r="OSI15" s="60"/>
      <c r="OSJ15" s="60"/>
      <c r="OSK15" s="60"/>
      <c r="OSL15" s="60"/>
      <c r="OSM15" s="60"/>
      <c r="OSN15" s="60"/>
      <c r="OSO15" s="60"/>
      <c r="OSP15" s="60"/>
      <c r="OSQ15" s="60"/>
      <c r="OSR15" s="60"/>
      <c r="OSS15" s="60"/>
      <c r="OST15" s="60"/>
      <c r="OSU15" s="60"/>
      <c r="OSV15" s="60"/>
      <c r="OSW15" s="60"/>
      <c r="OSX15" s="60"/>
      <c r="OSY15" s="60"/>
      <c r="OSZ15" s="60"/>
      <c r="OTA15" s="60"/>
      <c r="OTB15" s="60"/>
      <c r="OTC15" s="60"/>
      <c r="OTD15" s="60"/>
      <c r="OTE15" s="60"/>
      <c r="OTF15" s="60"/>
      <c r="OTG15" s="60"/>
      <c r="OTH15" s="60"/>
      <c r="OTI15" s="60"/>
      <c r="OTJ15" s="60"/>
      <c r="OTK15" s="60"/>
      <c r="OTL15" s="60"/>
      <c r="OTM15" s="60"/>
      <c r="OTN15" s="60"/>
      <c r="OTO15" s="60"/>
      <c r="OTP15" s="60"/>
      <c r="OTQ15" s="60"/>
      <c r="OTR15" s="60"/>
      <c r="OTS15" s="60"/>
      <c r="OTT15" s="60"/>
      <c r="OTU15" s="60"/>
      <c r="OTV15" s="60"/>
      <c r="OTW15" s="60"/>
      <c r="OTX15" s="60"/>
      <c r="OTY15" s="60"/>
      <c r="OTZ15" s="60"/>
      <c r="OUA15" s="60"/>
      <c r="OUB15" s="60"/>
      <c r="OUC15" s="60"/>
      <c r="OUD15" s="60"/>
      <c r="OUE15" s="60"/>
      <c r="OUF15" s="60"/>
      <c r="OUG15" s="60"/>
      <c r="OUH15" s="60"/>
      <c r="OUI15" s="60"/>
      <c r="OUJ15" s="60"/>
      <c r="OUK15" s="60"/>
      <c r="OUL15" s="60"/>
      <c r="OUM15" s="60"/>
      <c r="OUN15" s="60"/>
      <c r="OUO15" s="60"/>
      <c r="OUP15" s="60"/>
      <c r="OUQ15" s="60"/>
      <c r="OUR15" s="60"/>
      <c r="OUS15" s="60"/>
      <c r="OUT15" s="60"/>
      <c r="OUU15" s="60"/>
      <c r="OUV15" s="60"/>
      <c r="OUW15" s="60"/>
      <c r="OUX15" s="60"/>
      <c r="OUY15" s="60"/>
      <c r="OUZ15" s="60"/>
      <c r="OVA15" s="60"/>
      <c r="OVB15" s="60"/>
      <c r="OVC15" s="60"/>
      <c r="OVD15" s="60"/>
      <c r="OVE15" s="60"/>
      <c r="OVF15" s="60"/>
      <c r="OVG15" s="60"/>
      <c r="OVH15" s="60"/>
      <c r="OVI15" s="60"/>
      <c r="OVJ15" s="60"/>
      <c r="OVK15" s="60"/>
      <c r="OVL15" s="60"/>
      <c r="OVM15" s="60"/>
      <c r="OVN15" s="60"/>
      <c r="OVO15" s="60"/>
      <c r="OVP15" s="60"/>
      <c r="OVQ15" s="60"/>
      <c r="OVR15" s="60"/>
      <c r="OVS15" s="60"/>
      <c r="OVT15" s="60"/>
      <c r="OVU15" s="60"/>
      <c r="OVV15" s="60"/>
      <c r="OVW15" s="60"/>
      <c r="OVX15" s="60"/>
      <c r="OVY15" s="60"/>
      <c r="OVZ15" s="60"/>
      <c r="OWA15" s="60"/>
      <c r="OWB15" s="60"/>
      <c r="OWC15" s="60"/>
      <c r="OWD15" s="60"/>
      <c r="OWE15" s="60"/>
      <c r="OWF15" s="60"/>
      <c r="OWG15" s="60"/>
      <c r="OWH15" s="60"/>
      <c r="OWI15" s="60"/>
      <c r="OWJ15" s="60"/>
      <c r="OWK15" s="60"/>
      <c r="OWL15" s="60"/>
      <c r="OWM15" s="60"/>
      <c r="OWN15" s="60"/>
      <c r="OWO15" s="60"/>
      <c r="OWP15" s="60"/>
      <c r="OWQ15" s="60"/>
      <c r="OWR15" s="60"/>
      <c r="OWS15" s="60"/>
      <c r="OWT15" s="60"/>
      <c r="OWU15" s="60"/>
      <c r="OWV15" s="60"/>
      <c r="OWW15" s="60"/>
      <c r="OWX15" s="60"/>
      <c r="OWY15" s="60"/>
      <c r="OWZ15" s="60"/>
      <c r="OXA15" s="60"/>
      <c r="OXB15" s="60"/>
      <c r="OXC15" s="60"/>
      <c r="OXD15" s="60"/>
      <c r="OXE15" s="60"/>
      <c r="OXF15" s="60"/>
      <c r="OXG15" s="60"/>
      <c r="OXH15" s="60"/>
      <c r="OXI15" s="60"/>
      <c r="OXJ15" s="60"/>
      <c r="OXK15" s="60"/>
      <c r="OXL15" s="60"/>
      <c r="OXM15" s="60"/>
      <c r="OXN15" s="60"/>
      <c r="OXO15" s="60"/>
      <c r="OXP15" s="60"/>
      <c r="OXQ15" s="60"/>
      <c r="OXR15" s="60"/>
      <c r="OXS15" s="60"/>
      <c r="OXT15" s="60"/>
      <c r="OXU15" s="60"/>
      <c r="OXV15" s="60"/>
      <c r="OXW15" s="60"/>
      <c r="OXX15" s="60"/>
      <c r="OXY15" s="60"/>
      <c r="OXZ15" s="60"/>
      <c r="OYA15" s="60"/>
      <c r="OYB15" s="60"/>
      <c r="OYC15" s="60"/>
      <c r="OYD15" s="60"/>
      <c r="OYE15" s="60"/>
      <c r="OYF15" s="60"/>
      <c r="OYG15" s="60"/>
      <c r="OYH15" s="60"/>
      <c r="OYI15" s="60"/>
      <c r="OYJ15" s="60"/>
      <c r="OYK15" s="60"/>
      <c r="OYL15" s="60"/>
      <c r="OYM15" s="60"/>
      <c r="OYN15" s="60"/>
      <c r="OYO15" s="60"/>
      <c r="OYP15" s="60"/>
      <c r="OYQ15" s="60"/>
      <c r="OYR15" s="60"/>
      <c r="OYS15" s="60"/>
      <c r="OYT15" s="60"/>
      <c r="OYU15" s="60"/>
      <c r="OYV15" s="60"/>
      <c r="OYW15" s="60"/>
      <c r="OYX15" s="60"/>
      <c r="OYY15" s="60"/>
      <c r="OYZ15" s="60"/>
      <c r="OZA15" s="60"/>
      <c r="OZB15" s="60"/>
      <c r="OZC15" s="60"/>
      <c r="OZD15" s="60"/>
      <c r="OZE15" s="60"/>
      <c r="OZF15" s="60"/>
      <c r="OZG15" s="60"/>
      <c r="OZH15" s="60"/>
      <c r="OZI15" s="60"/>
      <c r="OZJ15" s="60"/>
      <c r="OZK15" s="60"/>
      <c r="OZL15" s="60"/>
      <c r="OZM15" s="60"/>
      <c r="OZN15" s="60"/>
      <c r="OZO15" s="60"/>
      <c r="OZP15" s="60"/>
      <c r="OZQ15" s="60"/>
      <c r="OZR15" s="60"/>
      <c r="OZS15" s="60"/>
      <c r="OZT15" s="60"/>
      <c r="OZU15" s="60"/>
      <c r="OZV15" s="60"/>
      <c r="OZW15" s="60"/>
      <c r="OZX15" s="60"/>
      <c r="OZY15" s="60"/>
      <c r="OZZ15" s="60"/>
      <c r="PAA15" s="60"/>
      <c r="PAB15" s="60"/>
      <c r="PAC15" s="60"/>
      <c r="PAD15" s="60"/>
      <c r="PAE15" s="60"/>
      <c r="PAF15" s="60"/>
      <c r="PAG15" s="60"/>
      <c r="PAH15" s="60"/>
      <c r="PAI15" s="60"/>
      <c r="PAJ15" s="60"/>
      <c r="PAK15" s="60"/>
      <c r="PAL15" s="60"/>
      <c r="PAM15" s="60"/>
      <c r="PAN15" s="60"/>
      <c r="PAO15" s="60"/>
      <c r="PAP15" s="60"/>
      <c r="PAQ15" s="60"/>
      <c r="PAR15" s="60"/>
      <c r="PAS15" s="60"/>
      <c r="PAT15" s="60"/>
      <c r="PAU15" s="60"/>
      <c r="PAV15" s="60"/>
      <c r="PAW15" s="60"/>
      <c r="PAX15" s="60"/>
      <c r="PAY15" s="60"/>
      <c r="PAZ15" s="60"/>
      <c r="PBA15" s="60"/>
      <c r="PBB15" s="60"/>
      <c r="PBC15" s="60"/>
      <c r="PBD15" s="60"/>
      <c r="PBE15" s="60"/>
      <c r="PBF15" s="60"/>
      <c r="PBG15" s="60"/>
      <c r="PBH15" s="60"/>
      <c r="PBI15" s="60"/>
      <c r="PBJ15" s="60"/>
      <c r="PBK15" s="60"/>
      <c r="PBL15" s="60"/>
      <c r="PBM15" s="60"/>
      <c r="PBN15" s="60"/>
      <c r="PBO15" s="60"/>
      <c r="PBP15" s="60"/>
      <c r="PBQ15" s="60"/>
      <c r="PBR15" s="60"/>
      <c r="PBS15" s="60"/>
      <c r="PBT15" s="60"/>
      <c r="PBU15" s="60"/>
      <c r="PBV15" s="60"/>
      <c r="PBW15" s="60"/>
      <c r="PBX15" s="60"/>
      <c r="PBY15" s="60"/>
      <c r="PBZ15" s="60"/>
      <c r="PCA15" s="60"/>
      <c r="PCB15" s="60"/>
      <c r="PCC15" s="60"/>
      <c r="PCD15" s="60"/>
      <c r="PCE15" s="60"/>
      <c r="PCF15" s="60"/>
      <c r="PCG15" s="60"/>
      <c r="PCH15" s="60"/>
      <c r="PCI15" s="60"/>
      <c r="PCJ15" s="60"/>
      <c r="PCK15" s="60"/>
      <c r="PCL15" s="60"/>
      <c r="PCM15" s="60"/>
      <c r="PCN15" s="60"/>
      <c r="PCO15" s="60"/>
      <c r="PCP15" s="60"/>
      <c r="PCQ15" s="60"/>
      <c r="PCR15" s="60"/>
      <c r="PCS15" s="60"/>
      <c r="PCT15" s="60"/>
      <c r="PCU15" s="60"/>
      <c r="PCV15" s="60"/>
      <c r="PCW15" s="60"/>
      <c r="PCX15" s="60"/>
      <c r="PCY15" s="60"/>
      <c r="PCZ15" s="60"/>
      <c r="PDA15" s="60"/>
      <c r="PDB15" s="60"/>
      <c r="PDC15" s="60"/>
      <c r="PDD15" s="60"/>
      <c r="PDE15" s="60"/>
      <c r="PDF15" s="60"/>
      <c r="PDG15" s="60"/>
      <c r="PDH15" s="60"/>
      <c r="PDI15" s="60"/>
      <c r="PDJ15" s="60"/>
      <c r="PDK15" s="60"/>
      <c r="PDL15" s="60"/>
      <c r="PDM15" s="60"/>
      <c r="PDN15" s="60"/>
      <c r="PDO15" s="60"/>
      <c r="PDP15" s="60"/>
      <c r="PDQ15" s="60"/>
      <c r="PDR15" s="60"/>
      <c r="PDS15" s="60"/>
      <c r="PDT15" s="60"/>
      <c r="PDU15" s="60"/>
      <c r="PDV15" s="60"/>
      <c r="PDW15" s="60"/>
      <c r="PDX15" s="60"/>
      <c r="PDY15" s="60"/>
      <c r="PDZ15" s="60"/>
      <c r="PEA15" s="60"/>
      <c r="PEB15" s="60"/>
      <c r="PEC15" s="60"/>
      <c r="PED15" s="60"/>
      <c r="PEE15" s="60"/>
      <c r="PEF15" s="60"/>
      <c r="PEG15" s="60"/>
      <c r="PEH15" s="60"/>
      <c r="PEI15" s="60"/>
      <c r="PEJ15" s="60"/>
      <c r="PEK15" s="60"/>
      <c r="PEL15" s="60"/>
      <c r="PEM15" s="60"/>
      <c r="PEN15" s="60"/>
      <c r="PEO15" s="60"/>
      <c r="PEP15" s="60"/>
      <c r="PEQ15" s="60"/>
      <c r="PER15" s="60"/>
      <c r="PES15" s="60"/>
      <c r="PET15" s="60"/>
      <c r="PEU15" s="60"/>
      <c r="PEV15" s="60"/>
      <c r="PEW15" s="60"/>
      <c r="PEX15" s="60"/>
      <c r="PEY15" s="60"/>
      <c r="PEZ15" s="60"/>
      <c r="PFA15" s="60"/>
      <c r="PFB15" s="60"/>
      <c r="PFC15" s="60"/>
      <c r="PFD15" s="60"/>
      <c r="PFE15" s="60"/>
      <c r="PFF15" s="60"/>
      <c r="PFG15" s="60"/>
      <c r="PFH15" s="60"/>
      <c r="PFI15" s="60"/>
      <c r="PFJ15" s="60"/>
      <c r="PFK15" s="60"/>
      <c r="PFL15" s="60"/>
      <c r="PFM15" s="60"/>
      <c r="PFN15" s="60"/>
      <c r="PFO15" s="60"/>
      <c r="PFP15" s="60"/>
      <c r="PFQ15" s="60"/>
      <c r="PFR15" s="60"/>
      <c r="PFS15" s="60"/>
      <c r="PFT15" s="60"/>
      <c r="PFU15" s="60"/>
      <c r="PFV15" s="60"/>
      <c r="PFW15" s="60"/>
      <c r="PFX15" s="60"/>
      <c r="PFY15" s="60"/>
      <c r="PFZ15" s="60"/>
      <c r="PGA15" s="60"/>
      <c r="PGB15" s="60"/>
      <c r="PGC15" s="60"/>
      <c r="PGD15" s="60"/>
      <c r="PGE15" s="60"/>
      <c r="PGF15" s="60"/>
      <c r="PGG15" s="60"/>
      <c r="PGH15" s="60"/>
      <c r="PGI15" s="60"/>
      <c r="PGJ15" s="60"/>
      <c r="PGK15" s="60"/>
      <c r="PGL15" s="60"/>
      <c r="PGM15" s="60"/>
      <c r="PGN15" s="60"/>
      <c r="PGO15" s="60"/>
      <c r="PGP15" s="60"/>
      <c r="PGQ15" s="60"/>
      <c r="PGR15" s="60"/>
      <c r="PGS15" s="60"/>
      <c r="PGT15" s="60"/>
      <c r="PGU15" s="60"/>
      <c r="PGV15" s="60"/>
      <c r="PGW15" s="60"/>
      <c r="PGX15" s="60"/>
      <c r="PGY15" s="60"/>
      <c r="PGZ15" s="60"/>
      <c r="PHA15" s="60"/>
      <c r="PHB15" s="60"/>
      <c r="PHC15" s="60"/>
      <c r="PHD15" s="60"/>
      <c r="PHE15" s="60"/>
      <c r="PHF15" s="60"/>
      <c r="PHG15" s="60"/>
      <c r="PHH15" s="60"/>
      <c r="PHI15" s="60"/>
      <c r="PHJ15" s="60"/>
      <c r="PHK15" s="60"/>
      <c r="PHL15" s="60"/>
      <c r="PHM15" s="60"/>
      <c r="PHN15" s="60"/>
      <c r="PHO15" s="60"/>
      <c r="PHP15" s="60"/>
      <c r="PHQ15" s="60"/>
      <c r="PHR15" s="60"/>
      <c r="PHS15" s="60"/>
      <c r="PHT15" s="60"/>
      <c r="PHU15" s="60"/>
      <c r="PHV15" s="60"/>
      <c r="PHW15" s="60"/>
      <c r="PHX15" s="60"/>
      <c r="PHY15" s="60"/>
      <c r="PHZ15" s="60"/>
      <c r="PIA15" s="60"/>
      <c r="PIB15" s="60"/>
      <c r="PIC15" s="60"/>
      <c r="PID15" s="60"/>
      <c r="PIE15" s="60"/>
      <c r="PIF15" s="60"/>
      <c r="PIG15" s="60"/>
      <c r="PIH15" s="60"/>
      <c r="PII15" s="60"/>
      <c r="PIJ15" s="60"/>
      <c r="PIK15" s="60"/>
      <c r="PIL15" s="60"/>
      <c r="PIM15" s="60"/>
      <c r="PIN15" s="60"/>
      <c r="PIO15" s="60"/>
      <c r="PIP15" s="60"/>
      <c r="PIQ15" s="60"/>
      <c r="PIR15" s="60"/>
      <c r="PIS15" s="60"/>
      <c r="PIT15" s="60"/>
      <c r="PIU15" s="60"/>
      <c r="PIV15" s="60"/>
      <c r="PIW15" s="60"/>
      <c r="PIX15" s="60"/>
      <c r="PIY15" s="60"/>
      <c r="PIZ15" s="60"/>
      <c r="PJA15" s="60"/>
      <c r="PJB15" s="60"/>
      <c r="PJC15" s="60"/>
      <c r="PJD15" s="60"/>
      <c r="PJE15" s="60"/>
      <c r="PJF15" s="60"/>
      <c r="PJG15" s="60"/>
      <c r="PJH15" s="60"/>
      <c r="PJI15" s="60"/>
      <c r="PJJ15" s="60"/>
      <c r="PJK15" s="60"/>
      <c r="PJL15" s="60"/>
      <c r="PJM15" s="60"/>
      <c r="PJN15" s="60"/>
      <c r="PJO15" s="60"/>
      <c r="PJP15" s="60"/>
      <c r="PJQ15" s="60"/>
      <c r="PJR15" s="60"/>
      <c r="PJS15" s="60"/>
      <c r="PJT15" s="60"/>
      <c r="PJU15" s="60"/>
      <c r="PJV15" s="60"/>
      <c r="PJW15" s="60"/>
      <c r="PJX15" s="60"/>
      <c r="PJY15" s="60"/>
      <c r="PJZ15" s="60"/>
      <c r="PKA15" s="60"/>
      <c r="PKB15" s="60"/>
      <c r="PKC15" s="60"/>
      <c r="PKD15" s="60"/>
      <c r="PKE15" s="60"/>
      <c r="PKF15" s="60"/>
      <c r="PKG15" s="60"/>
      <c r="PKH15" s="60"/>
      <c r="PKI15" s="60"/>
      <c r="PKJ15" s="60"/>
      <c r="PKK15" s="60"/>
      <c r="PKL15" s="60"/>
      <c r="PKM15" s="60"/>
      <c r="PKN15" s="60"/>
      <c r="PKO15" s="60"/>
      <c r="PKP15" s="60"/>
      <c r="PKQ15" s="60"/>
      <c r="PKR15" s="60"/>
      <c r="PKS15" s="60"/>
      <c r="PKT15" s="60"/>
      <c r="PKU15" s="60"/>
      <c r="PKV15" s="60"/>
      <c r="PKW15" s="60"/>
      <c r="PKX15" s="60"/>
      <c r="PKY15" s="60"/>
      <c r="PKZ15" s="60"/>
      <c r="PLA15" s="60"/>
      <c r="PLB15" s="60"/>
      <c r="PLC15" s="60"/>
      <c r="PLD15" s="60"/>
      <c r="PLE15" s="60"/>
      <c r="PLF15" s="60"/>
      <c r="PLG15" s="60"/>
      <c r="PLH15" s="60"/>
      <c r="PLI15" s="60"/>
      <c r="PLJ15" s="60"/>
      <c r="PLK15" s="60"/>
      <c r="PLL15" s="60"/>
      <c r="PLM15" s="60"/>
      <c r="PLN15" s="60"/>
      <c r="PLO15" s="60"/>
      <c r="PLP15" s="60"/>
      <c r="PLQ15" s="60"/>
      <c r="PLR15" s="60"/>
      <c r="PLS15" s="60"/>
      <c r="PLT15" s="60"/>
      <c r="PLU15" s="60"/>
      <c r="PLV15" s="60"/>
      <c r="PLW15" s="60"/>
      <c r="PLX15" s="60"/>
      <c r="PLY15" s="60"/>
      <c r="PLZ15" s="60"/>
      <c r="PMA15" s="60"/>
      <c r="PMB15" s="60"/>
      <c r="PMC15" s="60"/>
      <c r="PMD15" s="60"/>
      <c r="PME15" s="60"/>
      <c r="PMF15" s="60"/>
      <c r="PMG15" s="60"/>
      <c r="PMH15" s="60"/>
      <c r="PMI15" s="60"/>
      <c r="PMJ15" s="60"/>
      <c r="PMK15" s="60"/>
      <c r="PML15" s="60"/>
      <c r="PMM15" s="60"/>
      <c r="PMN15" s="60"/>
      <c r="PMO15" s="60"/>
      <c r="PMP15" s="60"/>
      <c r="PMQ15" s="60"/>
      <c r="PMR15" s="60"/>
      <c r="PMS15" s="60"/>
      <c r="PMT15" s="60"/>
      <c r="PMU15" s="60"/>
      <c r="PMV15" s="60"/>
      <c r="PMW15" s="60"/>
      <c r="PMX15" s="60"/>
      <c r="PMY15" s="60"/>
      <c r="PMZ15" s="60"/>
      <c r="PNA15" s="60"/>
      <c r="PNB15" s="60"/>
      <c r="PNC15" s="60"/>
      <c r="PND15" s="60"/>
      <c r="PNE15" s="60"/>
      <c r="PNF15" s="60"/>
      <c r="PNG15" s="60"/>
      <c r="PNH15" s="60"/>
      <c r="PNI15" s="60"/>
      <c r="PNJ15" s="60"/>
      <c r="PNK15" s="60"/>
      <c r="PNL15" s="60"/>
      <c r="PNM15" s="60"/>
      <c r="PNN15" s="60"/>
      <c r="PNO15" s="60"/>
      <c r="PNP15" s="60"/>
      <c r="PNQ15" s="60"/>
      <c r="PNR15" s="60"/>
      <c r="PNS15" s="60"/>
      <c r="PNT15" s="60"/>
      <c r="PNU15" s="60"/>
      <c r="PNV15" s="60"/>
      <c r="PNW15" s="60"/>
      <c r="PNX15" s="60"/>
      <c r="PNY15" s="60"/>
      <c r="PNZ15" s="60"/>
      <c r="POA15" s="60"/>
      <c r="POB15" s="60"/>
      <c r="POC15" s="60"/>
      <c r="POD15" s="60"/>
      <c r="POE15" s="60"/>
      <c r="POF15" s="60"/>
      <c r="POG15" s="60"/>
      <c r="POH15" s="60"/>
      <c r="POI15" s="60"/>
      <c r="POJ15" s="60"/>
      <c r="POK15" s="60"/>
      <c r="POL15" s="60"/>
      <c r="POM15" s="60"/>
      <c r="PON15" s="60"/>
      <c r="POO15" s="60"/>
      <c r="POP15" s="60"/>
      <c r="POQ15" s="60"/>
      <c r="POR15" s="60"/>
      <c r="POS15" s="60"/>
      <c r="POT15" s="60"/>
      <c r="POU15" s="60"/>
      <c r="POV15" s="60"/>
      <c r="POW15" s="60"/>
      <c r="POX15" s="60"/>
      <c r="POY15" s="60"/>
      <c r="POZ15" s="60"/>
      <c r="PPA15" s="60"/>
      <c r="PPB15" s="60"/>
      <c r="PPC15" s="60"/>
      <c r="PPD15" s="60"/>
      <c r="PPE15" s="60"/>
      <c r="PPF15" s="60"/>
      <c r="PPG15" s="60"/>
      <c r="PPH15" s="60"/>
      <c r="PPI15" s="60"/>
      <c r="PPJ15" s="60"/>
      <c r="PPK15" s="60"/>
      <c r="PPL15" s="60"/>
      <c r="PPM15" s="60"/>
      <c r="PPN15" s="60"/>
      <c r="PPO15" s="60"/>
      <c r="PPP15" s="60"/>
      <c r="PPQ15" s="60"/>
      <c r="PPR15" s="60"/>
      <c r="PPS15" s="60"/>
      <c r="PPT15" s="60"/>
      <c r="PPU15" s="60"/>
      <c r="PPV15" s="60"/>
      <c r="PPW15" s="60"/>
      <c r="PPX15" s="60"/>
      <c r="PPY15" s="60"/>
      <c r="PPZ15" s="60"/>
      <c r="PQA15" s="60"/>
      <c r="PQB15" s="60"/>
      <c r="PQC15" s="60"/>
      <c r="PQD15" s="60"/>
      <c r="PQE15" s="60"/>
      <c r="PQF15" s="60"/>
      <c r="PQG15" s="60"/>
      <c r="PQH15" s="60"/>
      <c r="PQI15" s="60"/>
      <c r="PQJ15" s="60"/>
      <c r="PQK15" s="60"/>
      <c r="PQL15" s="60"/>
      <c r="PQM15" s="60"/>
      <c r="PQN15" s="60"/>
      <c r="PQO15" s="60"/>
      <c r="PQP15" s="60"/>
      <c r="PQQ15" s="60"/>
      <c r="PQR15" s="60"/>
      <c r="PQS15" s="60"/>
      <c r="PQT15" s="60"/>
      <c r="PQU15" s="60"/>
      <c r="PQV15" s="60"/>
      <c r="PQW15" s="60"/>
      <c r="PQX15" s="60"/>
      <c r="PQY15" s="60"/>
      <c r="PQZ15" s="60"/>
      <c r="PRA15" s="60"/>
      <c r="PRB15" s="60"/>
      <c r="PRC15" s="60"/>
      <c r="PRD15" s="60"/>
      <c r="PRE15" s="60"/>
      <c r="PRF15" s="60"/>
      <c r="PRG15" s="60"/>
      <c r="PRH15" s="60"/>
      <c r="PRI15" s="60"/>
      <c r="PRJ15" s="60"/>
      <c r="PRK15" s="60"/>
      <c r="PRL15" s="60"/>
      <c r="PRM15" s="60"/>
      <c r="PRN15" s="60"/>
      <c r="PRO15" s="60"/>
      <c r="PRP15" s="60"/>
      <c r="PRQ15" s="60"/>
      <c r="PRR15" s="60"/>
      <c r="PRS15" s="60"/>
      <c r="PRT15" s="60"/>
      <c r="PRU15" s="60"/>
      <c r="PRV15" s="60"/>
      <c r="PRW15" s="60"/>
      <c r="PRX15" s="60"/>
      <c r="PRY15" s="60"/>
      <c r="PRZ15" s="60"/>
      <c r="PSA15" s="60"/>
      <c r="PSB15" s="60"/>
      <c r="PSC15" s="60"/>
      <c r="PSD15" s="60"/>
      <c r="PSE15" s="60"/>
      <c r="PSF15" s="60"/>
      <c r="PSG15" s="60"/>
      <c r="PSH15" s="60"/>
      <c r="PSI15" s="60"/>
      <c r="PSJ15" s="60"/>
      <c r="PSK15" s="60"/>
      <c r="PSL15" s="60"/>
      <c r="PSM15" s="60"/>
      <c r="PSN15" s="60"/>
      <c r="PSO15" s="60"/>
      <c r="PSP15" s="60"/>
      <c r="PSQ15" s="60"/>
      <c r="PSR15" s="60"/>
      <c r="PSS15" s="60"/>
      <c r="PST15" s="60"/>
      <c r="PSU15" s="60"/>
      <c r="PSV15" s="60"/>
      <c r="PSW15" s="60"/>
      <c r="PSX15" s="60"/>
      <c r="PSY15" s="60"/>
      <c r="PSZ15" s="60"/>
      <c r="PTA15" s="60"/>
      <c r="PTB15" s="60"/>
      <c r="PTC15" s="60"/>
      <c r="PTD15" s="60"/>
      <c r="PTE15" s="60"/>
      <c r="PTF15" s="60"/>
      <c r="PTG15" s="60"/>
      <c r="PTH15" s="60"/>
      <c r="PTI15" s="60"/>
      <c r="PTJ15" s="60"/>
      <c r="PTK15" s="60"/>
      <c r="PTL15" s="60"/>
      <c r="PTM15" s="60"/>
      <c r="PTN15" s="60"/>
      <c r="PTO15" s="60"/>
      <c r="PTP15" s="60"/>
      <c r="PTQ15" s="60"/>
      <c r="PTR15" s="60"/>
      <c r="PTS15" s="60"/>
      <c r="PTT15" s="60"/>
      <c r="PTU15" s="60"/>
      <c r="PTV15" s="60"/>
      <c r="PTW15" s="60"/>
      <c r="PTX15" s="60"/>
      <c r="PTY15" s="60"/>
      <c r="PTZ15" s="60"/>
      <c r="PUA15" s="60"/>
      <c r="PUB15" s="60"/>
      <c r="PUC15" s="60"/>
      <c r="PUD15" s="60"/>
      <c r="PUE15" s="60"/>
      <c r="PUF15" s="60"/>
      <c r="PUG15" s="60"/>
      <c r="PUH15" s="60"/>
      <c r="PUI15" s="60"/>
      <c r="PUJ15" s="60"/>
      <c r="PUK15" s="60"/>
      <c r="PUL15" s="60"/>
      <c r="PUM15" s="60"/>
      <c r="PUN15" s="60"/>
      <c r="PUO15" s="60"/>
      <c r="PUP15" s="60"/>
      <c r="PUQ15" s="60"/>
      <c r="PUR15" s="60"/>
      <c r="PUS15" s="60"/>
      <c r="PUT15" s="60"/>
      <c r="PUU15" s="60"/>
      <c r="PUV15" s="60"/>
      <c r="PUW15" s="60"/>
      <c r="PUX15" s="60"/>
      <c r="PUY15" s="60"/>
      <c r="PUZ15" s="60"/>
      <c r="PVA15" s="60"/>
      <c r="PVB15" s="60"/>
      <c r="PVC15" s="60"/>
      <c r="PVD15" s="60"/>
      <c r="PVE15" s="60"/>
      <c r="PVF15" s="60"/>
      <c r="PVG15" s="60"/>
      <c r="PVH15" s="60"/>
      <c r="PVI15" s="60"/>
      <c r="PVJ15" s="60"/>
      <c r="PVK15" s="60"/>
      <c r="PVL15" s="60"/>
      <c r="PVM15" s="60"/>
      <c r="PVN15" s="60"/>
      <c r="PVO15" s="60"/>
      <c r="PVP15" s="60"/>
      <c r="PVQ15" s="60"/>
      <c r="PVR15" s="60"/>
      <c r="PVS15" s="60"/>
      <c r="PVT15" s="60"/>
      <c r="PVU15" s="60"/>
      <c r="PVV15" s="60"/>
      <c r="PVW15" s="60"/>
      <c r="PVX15" s="60"/>
      <c r="PVY15" s="60"/>
      <c r="PVZ15" s="60"/>
      <c r="PWA15" s="60"/>
      <c r="PWB15" s="60"/>
      <c r="PWC15" s="60"/>
      <c r="PWD15" s="60"/>
      <c r="PWE15" s="60"/>
      <c r="PWF15" s="60"/>
      <c r="PWG15" s="60"/>
      <c r="PWH15" s="60"/>
      <c r="PWI15" s="60"/>
      <c r="PWJ15" s="60"/>
      <c r="PWK15" s="60"/>
      <c r="PWL15" s="60"/>
      <c r="PWM15" s="60"/>
      <c r="PWN15" s="60"/>
      <c r="PWO15" s="60"/>
      <c r="PWP15" s="60"/>
      <c r="PWQ15" s="60"/>
      <c r="PWR15" s="60"/>
      <c r="PWS15" s="60"/>
      <c r="PWT15" s="60"/>
      <c r="PWU15" s="60"/>
      <c r="PWV15" s="60"/>
      <c r="PWW15" s="60"/>
      <c r="PWX15" s="60"/>
      <c r="PWY15" s="60"/>
      <c r="PWZ15" s="60"/>
      <c r="PXA15" s="60"/>
      <c r="PXB15" s="60"/>
      <c r="PXC15" s="60"/>
      <c r="PXD15" s="60"/>
      <c r="PXE15" s="60"/>
      <c r="PXF15" s="60"/>
      <c r="PXG15" s="60"/>
      <c r="PXH15" s="60"/>
      <c r="PXI15" s="60"/>
      <c r="PXJ15" s="60"/>
      <c r="PXK15" s="60"/>
      <c r="PXL15" s="60"/>
      <c r="PXM15" s="60"/>
      <c r="PXN15" s="60"/>
      <c r="PXO15" s="60"/>
      <c r="PXP15" s="60"/>
      <c r="PXQ15" s="60"/>
      <c r="PXR15" s="60"/>
      <c r="PXS15" s="60"/>
      <c r="PXT15" s="60"/>
      <c r="PXU15" s="60"/>
      <c r="PXV15" s="60"/>
      <c r="PXW15" s="60"/>
      <c r="PXX15" s="60"/>
      <c r="PXY15" s="60"/>
      <c r="PXZ15" s="60"/>
      <c r="PYA15" s="60"/>
      <c r="PYB15" s="60"/>
      <c r="PYC15" s="60"/>
      <c r="PYD15" s="60"/>
      <c r="PYE15" s="60"/>
      <c r="PYF15" s="60"/>
      <c r="PYG15" s="60"/>
      <c r="PYH15" s="60"/>
      <c r="PYI15" s="60"/>
      <c r="PYJ15" s="60"/>
      <c r="PYK15" s="60"/>
      <c r="PYL15" s="60"/>
      <c r="PYM15" s="60"/>
      <c r="PYN15" s="60"/>
      <c r="PYO15" s="60"/>
      <c r="PYP15" s="60"/>
      <c r="PYQ15" s="60"/>
      <c r="PYR15" s="60"/>
      <c r="PYS15" s="60"/>
      <c r="PYT15" s="60"/>
      <c r="PYU15" s="60"/>
      <c r="PYV15" s="60"/>
      <c r="PYW15" s="60"/>
      <c r="PYX15" s="60"/>
      <c r="PYY15" s="60"/>
      <c r="PYZ15" s="60"/>
      <c r="PZA15" s="60"/>
      <c r="PZB15" s="60"/>
      <c r="PZC15" s="60"/>
      <c r="PZD15" s="60"/>
      <c r="PZE15" s="60"/>
      <c r="PZF15" s="60"/>
      <c r="PZG15" s="60"/>
      <c r="PZH15" s="60"/>
      <c r="PZI15" s="60"/>
      <c r="PZJ15" s="60"/>
      <c r="PZK15" s="60"/>
      <c r="PZL15" s="60"/>
      <c r="PZM15" s="60"/>
      <c r="PZN15" s="60"/>
      <c r="PZO15" s="60"/>
      <c r="PZP15" s="60"/>
      <c r="PZQ15" s="60"/>
      <c r="PZR15" s="60"/>
      <c r="PZS15" s="60"/>
      <c r="PZT15" s="60"/>
      <c r="PZU15" s="60"/>
      <c r="PZV15" s="60"/>
      <c r="PZW15" s="60"/>
      <c r="PZX15" s="60"/>
      <c r="PZY15" s="60"/>
      <c r="PZZ15" s="60"/>
      <c r="QAA15" s="60"/>
      <c r="QAB15" s="60"/>
      <c r="QAC15" s="60"/>
      <c r="QAD15" s="60"/>
      <c r="QAE15" s="60"/>
      <c r="QAF15" s="60"/>
      <c r="QAG15" s="60"/>
      <c r="QAH15" s="60"/>
      <c r="QAI15" s="60"/>
      <c r="QAJ15" s="60"/>
      <c r="QAK15" s="60"/>
      <c r="QAL15" s="60"/>
      <c r="QAM15" s="60"/>
      <c r="QAN15" s="60"/>
      <c r="QAO15" s="60"/>
      <c r="QAP15" s="60"/>
      <c r="QAQ15" s="60"/>
      <c r="QAR15" s="60"/>
      <c r="QAS15" s="60"/>
      <c r="QAT15" s="60"/>
      <c r="QAU15" s="60"/>
      <c r="QAV15" s="60"/>
      <c r="QAW15" s="60"/>
      <c r="QAX15" s="60"/>
      <c r="QAY15" s="60"/>
      <c r="QAZ15" s="60"/>
      <c r="QBA15" s="60"/>
      <c r="QBB15" s="60"/>
      <c r="QBC15" s="60"/>
      <c r="QBD15" s="60"/>
      <c r="QBE15" s="60"/>
      <c r="QBF15" s="60"/>
      <c r="QBG15" s="60"/>
      <c r="QBH15" s="60"/>
      <c r="QBI15" s="60"/>
      <c r="QBJ15" s="60"/>
      <c r="QBK15" s="60"/>
      <c r="QBL15" s="60"/>
      <c r="QBM15" s="60"/>
      <c r="QBN15" s="60"/>
      <c r="QBO15" s="60"/>
      <c r="QBP15" s="60"/>
      <c r="QBQ15" s="60"/>
      <c r="QBR15" s="60"/>
      <c r="QBS15" s="60"/>
      <c r="QBT15" s="60"/>
      <c r="QBU15" s="60"/>
      <c r="QBV15" s="60"/>
      <c r="QBW15" s="60"/>
      <c r="QBX15" s="60"/>
      <c r="QBY15" s="60"/>
      <c r="QBZ15" s="60"/>
      <c r="QCA15" s="60"/>
      <c r="QCB15" s="60"/>
      <c r="QCC15" s="60"/>
      <c r="QCD15" s="60"/>
      <c r="QCE15" s="60"/>
      <c r="QCF15" s="60"/>
      <c r="QCG15" s="60"/>
      <c r="QCH15" s="60"/>
      <c r="QCI15" s="60"/>
      <c r="QCJ15" s="60"/>
      <c r="QCK15" s="60"/>
      <c r="QCL15" s="60"/>
      <c r="QCM15" s="60"/>
      <c r="QCN15" s="60"/>
      <c r="QCO15" s="60"/>
      <c r="QCP15" s="60"/>
      <c r="QCQ15" s="60"/>
      <c r="QCR15" s="60"/>
      <c r="QCS15" s="60"/>
      <c r="QCT15" s="60"/>
      <c r="QCU15" s="60"/>
      <c r="QCV15" s="60"/>
      <c r="QCW15" s="60"/>
      <c r="QCX15" s="60"/>
      <c r="QCY15" s="60"/>
      <c r="QCZ15" s="60"/>
      <c r="QDA15" s="60"/>
      <c r="QDB15" s="60"/>
      <c r="QDC15" s="60"/>
      <c r="QDD15" s="60"/>
      <c r="QDE15" s="60"/>
      <c r="QDF15" s="60"/>
      <c r="QDG15" s="60"/>
      <c r="QDH15" s="60"/>
      <c r="QDI15" s="60"/>
      <c r="QDJ15" s="60"/>
      <c r="QDK15" s="60"/>
      <c r="QDL15" s="60"/>
      <c r="QDM15" s="60"/>
      <c r="QDN15" s="60"/>
      <c r="QDO15" s="60"/>
      <c r="QDP15" s="60"/>
      <c r="QDQ15" s="60"/>
      <c r="QDR15" s="60"/>
      <c r="QDS15" s="60"/>
      <c r="QDT15" s="60"/>
      <c r="QDU15" s="60"/>
      <c r="QDV15" s="60"/>
      <c r="QDW15" s="60"/>
      <c r="QDX15" s="60"/>
      <c r="QDY15" s="60"/>
      <c r="QDZ15" s="60"/>
      <c r="QEA15" s="60"/>
      <c r="QEB15" s="60"/>
      <c r="QEC15" s="60"/>
      <c r="QED15" s="60"/>
      <c r="QEE15" s="60"/>
      <c r="QEF15" s="60"/>
      <c r="QEG15" s="60"/>
      <c r="QEH15" s="60"/>
      <c r="QEI15" s="60"/>
      <c r="QEJ15" s="60"/>
      <c r="QEK15" s="60"/>
      <c r="QEL15" s="60"/>
      <c r="QEM15" s="60"/>
      <c r="QEN15" s="60"/>
      <c r="QEO15" s="60"/>
      <c r="QEP15" s="60"/>
      <c r="QEQ15" s="60"/>
      <c r="QER15" s="60"/>
      <c r="QES15" s="60"/>
      <c r="QET15" s="60"/>
      <c r="QEU15" s="60"/>
      <c r="QEV15" s="60"/>
      <c r="QEW15" s="60"/>
      <c r="QEX15" s="60"/>
      <c r="QEY15" s="60"/>
      <c r="QEZ15" s="60"/>
      <c r="QFA15" s="60"/>
      <c r="QFB15" s="60"/>
      <c r="QFC15" s="60"/>
      <c r="QFD15" s="60"/>
      <c r="QFE15" s="60"/>
      <c r="QFF15" s="60"/>
      <c r="QFG15" s="60"/>
      <c r="QFH15" s="60"/>
      <c r="QFI15" s="60"/>
      <c r="QFJ15" s="60"/>
      <c r="QFK15" s="60"/>
      <c r="QFL15" s="60"/>
      <c r="QFM15" s="60"/>
      <c r="QFN15" s="60"/>
      <c r="QFO15" s="60"/>
      <c r="QFP15" s="60"/>
      <c r="QFQ15" s="60"/>
      <c r="QFR15" s="60"/>
      <c r="QFS15" s="60"/>
      <c r="QFT15" s="60"/>
      <c r="QFU15" s="60"/>
      <c r="QFV15" s="60"/>
      <c r="QFW15" s="60"/>
      <c r="QFX15" s="60"/>
      <c r="QFY15" s="60"/>
      <c r="QFZ15" s="60"/>
      <c r="QGA15" s="60"/>
      <c r="QGB15" s="60"/>
      <c r="QGC15" s="60"/>
      <c r="QGD15" s="60"/>
      <c r="QGE15" s="60"/>
      <c r="QGF15" s="60"/>
      <c r="QGG15" s="60"/>
      <c r="QGH15" s="60"/>
      <c r="QGI15" s="60"/>
      <c r="QGJ15" s="60"/>
      <c r="QGK15" s="60"/>
      <c r="QGL15" s="60"/>
      <c r="QGM15" s="60"/>
      <c r="QGN15" s="60"/>
      <c r="QGO15" s="60"/>
      <c r="QGP15" s="60"/>
      <c r="QGQ15" s="60"/>
      <c r="QGR15" s="60"/>
      <c r="QGS15" s="60"/>
      <c r="QGT15" s="60"/>
      <c r="QGU15" s="60"/>
      <c r="QGV15" s="60"/>
      <c r="QGW15" s="60"/>
      <c r="QGX15" s="60"/>
      <c r="QGY15" s="60"/>
      <c r="QGZ15" s="60"/>
      <c r="QHA15" s="60"/>
      <c r="QHB15" s="60"/>
      <c r="QHC15" s="60"/>
      <c r="QHD15" s="60"/>
      <c r="QHE15" s="60"/>
      <c r="QHF15" s="60"/>
      <c r="QHG15" s="60"/>
      <c r="QHH15" s="60"/>
      <c r="QHI15" s="60"/>
      <c r="QHJ15" s="60"/>
      <c r="QHK15" s="60"/>
      <c r="QHL15" s="60"/>
      <c r="QHM15" s="60"/>
      <c r="QHN15" s="60"/>
      <c r="QHO15" s="60"/>
      <c r="QHP15" s="60"/>
      <c r="QHQ15" s="60"/>
      <c r="QHR15" s="60"/>
      <c r="QHS15" s="60"/>
      <c r="QHT15" s="60"/>
      <c r="QHU15" s="60"/>
      <c r="QHV15" s="60"/>
      <c r="QHW15" s="60"/>
      <c r="QHX15" s="60"/>
      <c r="QHY15" s="60"/>
      <c r="QHZ15" s="60"/>
      <c r="QIA15" s="60"/>
      <c r="QIB15" s="60"/>
      <c r="QIC15" s="60"/>
      <c r="QID15" s="60"/>
      <c r="QIE15" s="60"/>
      <c r="QIF15" s="60"/>
      <c r="QIG15" s="60"/>
      <c r="QIH15" s="60"/>
      <c r="QII15" s="60"/>
      <c r="QIJ15" s="60"/>
      <c r="QIK15" s="60"/>
      <c r="QIL15" s="60"/>
      <c r="QIM15" s="60"/>
      <c r="QIN15" s="60"/>
      <c r="QIO15" s="60"/>
      <c r="QIP15" s="60"/>
      <c r="QIQ15" s="60"/>
      <c r="QIR15" s="60"/>
      <c r="QIS15" s="60"/>
      <c r="QIT15" s="60"/>
      <c r="QIU15" s="60"/>
      <c r="QIV15" s="60"/>
      <c r="QIW15" s="60"/>
      <c r="QIX15" s="60"/>
      <c r="QIY15" s="60"/>
      <c r="QIZ15" s="60"/>
      <c r="QJA15" s="60"/>
      <c r="QJB15" s="60"/>
      <c r="QJC15" s="60"/>
      <c r="QJD15" s="60"/>
      <c r="QJE15" s="60"/>
      <c r="QJF15" s="60"/>
      <c r="QJG15" s="60"/>
      <c r="QJH15" s="60"/>
      <c r="QJI15" s="60"/>
      <c r="QJJ15" s="60"/>
      <c r="QJK15" s="60"/>
      <c r="QJL15" s="60"/>
      <c r="QJM15" s="60"/>
      <c r="QJN15" s="60"/>
      <c r="QJO15" s="60"/>
      <c r="QJP15" s="60"/>
      <c r="QJQ15" s="60"/>
      <c r="QJR15" s="60"/>
      <c r="QJS15" s="60"/>
      <c r="QJT15" s="60"/>
      <c r="QJU15" s="60"/>
      <c r="QJV15" s="60"/>
      <c r="QJW15" s="60"/>
      <c r="QJX15" s="60"/>
      <c r="QJY15" s="60"/>
      <c r="QJZ15" s="60"/>
      <c r="QKA15" s="60"/>
      <c r="QKB15" s="60"/>
      <c r="QKC15" s="60"/>
      <c r="QKD15" s="60"/>
      <c r="QKE15" s="60"/>
      <c r="QKF15" s="60"/>
      <c r="QKG15" s="60"/>
      <c r="QKH15" s="60"/>
      <c r="QKI15" s="60"/>
      <c r="QKJ15" s="60"/>
      <c r="QKK15" s="60"/>
      <c r="QKL15" s="60"/>
      <c r="QKM15" s="60"/>
      <c r="QKN15" s="60"/>
      <c r="QKO15" s="60"/>
      <c r="QKP15" s="60"/>
      <c r="QKQ15" s="60"/>
      <c r="QKR15" s="60"/>
      <c r="QKS15" s="60"/>
      <c r="QKT15" s="60"/>
      <c r="QKU15" s="60"/>
      <c r="QKV15" s="60"/>
      <c r="QKW15" s="60"/>
      <c r="QKX15" s="60"/>
      <c r="QKY15" s="60"/>
      <c r="QKZ15" s="60"/>
      <c r="QLA15" s="60"/>
      <c r="QLB15" s="60"/>
      <c r="QLC15" s="60"/>
      <c r="QLD15" s="60"/>
      <c r="QLE15" s="60"/>
      <c r="QLF15" s="60"/>
      <c r="QLG15" s="60"/>
      <c r="QLH15" s="60"/>
      <c r="QLI15" s="60"/>
      <c r="QLJ15" s="60"/>
      <c r="QLK15" s="60"/>
      <c r="QLL15" s="60"/>
      <c r="QLM15" s="60"/>
      <c r="QLN15" s="60"/>
      <c r="QLO15" s="60"/>
      <c r="QLP15" s="60"/>
      <c r="QLQ15" s="60"/>
      <c r="QLR15" s="60"/>
      <c r="QLS15" s="60"/>
      <c r="QLT15" s="60"/>
      <c r="QLU15" s="60"/>
      <c r="QLV15" s="60"/>
      <c r="QLW15" s="60"/>
      <c r="QLX15" s="60"/>
      <c r="QLY15" s="60"/>
      <c r="QLZ15" s="60"/>
      <c r="QMA15" s="60"/>
      <c r="QMB15" s="60"/>
      <c r="QMC15" s="60"/>
      <c r="QMD15" s="60"/>
      <c r="QME15" s="60"/>
      <c r="QMF15" s="60"/>
      <c r="QMG15" s="60"/>
      <c r="QMH15" s="60"/>
      <c r="QMI15" s="60"/>
      <c r="QMJ15" s="60"/>
      <c r="QMK15" s="60"/>
      <c r="QML15" s="60"/>
      <c r="QMM15" s="60"/>
      <c r="QMN15" s="60"/>
      <c r="QMO15" s="60"/>
      <c r="QMP15" s="60"/>
      <c r="QMQ15" s="60"/>
      <c r="QMR15" s="60"/>
      <c r="QMS15" s="60"/>
      <c r="QMT15" s="60"/>
      <c r="QMU15" s="60"/>
      <c r="QMV15" s="60"/>
      <c r="QMW15" s="60"/>
      <c r="QMX15" s="60"/>
      <c r="QMY15" s="60"/>
      <c r="QMZ15" s="60"/>
      <c r="QNA15" s="60"/>
      <c r="QNB15" s="60"/>
      <c r="QNC15" s="60"/>
      <c r="QND15" s="60"/>
      <c r="QNE15" s="60"/>
      <c r="QNF15" s="60"/>
      <c r="QNG15" s="60"/>
      <c r="QNH15" s="60"/>
      <c r="QNI15" s="60"/>
      <c r="QNJ15" s="60"/>
      <c r="QNK15" s="60"/>
      <c r="QNL15" s="60"/>
      <c r="QNM15" s="60"/>
      <c r="QNN15" s="60"/>
      <c r="QNO15" s="60"/>
      <c r="QNP15" s="60"/>
      <c r="QNQ15" s="60"/>
      <c r="QNR15" s="60"/>
      <c r="QNS15" s="60"/>
      <c r="QNT15" s="60"/>
      <c r="QNU15" s="60"/>
      <c r="QNV15" s="60"/>
      <c r="QNW15" s="60"/>
      <c r="QNX15" s="60"/>
      <c r="QNY15" s="60"/>
      <c r="QNZ15" s="60"/>
      <c r="QOA15" s="60"/>
      <c r="QOB15" s="60"/>
      <c r="QOC15" s="60"/>
      <c r="QOD15" s="60"/>
      <c r="QOE15" s="60"/>
      <c r="QOF15" s="60"/>
      <c r="QOG15" s="60"/>
      <c r="QOH15" s="60"/>
      <c r="QOI15" s="60"/>
      <c r="QOJ15" s="60"/>
      <c r="QOK15" s="60"/>
      <c r="QOL15" s="60"/>
      <c r="QOM15" s="60"/>
      <c r="QON15" s="60"/>
      <c r="QOO15" s="60"/>
      <c r="QOP15" s="60"/>
      <c r="QOQ15" s="60"/>
      <c r="QOR15" s="60"/>
      <c r="QOS15" s="60"/>
      <c r="QOT15" s="60"/>
      <c r="QOU15" s="60"/>
      <c r="QOV15" s="60"/>
      <c r="QOW15" s="60"/>
      <c r="QOX15" s="60"/>
      <c r="QOY15" s="60"/>
      <c r="QOZ15" s="60"/>
      <c r="QPA15" s="60"/>
      <c r="QPB15" s="60"/>
      <c r="QPC15" s="60"/>
      <c r="QPD15" s="60"/>
      <c r="QPE15" s="60"/>
      <c r="QPF15" s="60"/>
      <c r="QPG15" s="60"/>
      <c r="QPH15" s="60"/>
      <c r="QPI15" s="60"/>
      <c r="QPJ15" s="60"/>
      <c r="QPK15" s="60"/>
      <c r="QPL15" s="60"/>
      <c r="QPM15" s="60"/>
      <c r="QPN15" s="60"/>
      <c r="QPO15" s="60"/>
      <c r="QPP15" s="60"/>
      <c r="QPQ15" s="60"/>
      <c r="QPR15" s="60"/>
      <c r="QPS15" s="60"/>
      <c r="QPT15" s="60"/>
      <c r="QPU15" s="60"/>
      <c r="QPV15" s="60"/>
      <c r="QPW15" s="60"/>
      <c r="QPX15" s="60"/>
      <c r="QPY15" s="60"/>
      <c r="QPZ15" s="60"/>
      <c r="QQA15" s="60"/>
      <c r="QQB15" s="60"/>
      <c r="QQC15" s="60"/>
      <c r="QQD15" s="60"/>
      <c r="QQE15" s="60"/>
      <c r="QQF15" s="60"/>
      <c r="QQG15" s="60"/>
      <c r="QQH15" s="60"/>
      <c r="QQI15" s="60"/>
      <c r="QQJ15" s="60"/>
      <c r="QQK15" s="60"/>
      <c r="QQL15" s="60"/>
      <c r="QQM15" s="60"/>
      <c r="QQN15" s="60"/>
      <c r="QQO15" s="60"/>
      <c r="QQP15" s="60"/>
      <c r="QQQ15" s="60"/>
      <c r="QQR15" s="60"/>
      <c r="QQS15" s="60"/>
      <c r="QQT15" s="60"/>
      <c r="QQU15" s="60"/>
      <c r="QQV15" s="60"/>
      <c r="QQW15" s="60"/>
      <c r="QQX15" s="60"/>
      <c r="QQY15" s="60"/>
      <c r="QQZ15" s="60"/>
      <c r="QRA15" s="60"/>
      <c r="QRB15" s="60"/>
      <c r="QRC15" s="60"/>
      <c r="QRD15" s="60"/>
      <c r="QRE15" s="60"/>
      <c r="QRF15" s="60"/>
      <c r="QRG15" s="60"/>
      <c r="QRH15" s="60"/>
      <c r="QRI15" s="60"/>
      <c r="QRJ15" s="60"/>
      <c r="QRK15" s="60"/>
      <c r="QRL15" s="60"/>
      <c r="QRM15" s="60"/>
      <c r="QRN15" s="60"/>
      <c r="QRO15" s="60"/>
      <c r="QRP15" s="60"/>
      <c r="QRQ15" s="60"/>
      <c r="QRR15" s="60"/>
      <c r="QRS15" s="60"/>
      <c r="QRT15" s="60"/>
      <c r="QRU15" s="60"/>
      <c r="QRV15" s="60"/>
      <c r="QRW15" s="60"/>
      <c r="QRX15" s="60"/>
      <c r="QRY15" s="60"/>
      <c r="QRZ15" s="60"/>
      <c r="QSA15" s="60"/>
      <c r="QSB15" s="60"/>
      <c r="QSC15" s="60"/>
      <c r="QSD15" s="60"/>
      <c r="QSE15" s="60"/>
      <c r="QSF15" s="60"/>
      <c r="QSG15" s="60"/>
      <c r="QSH15" s="60"/>
      <c r="QSI15" s="60"/>
      <c r="QSJ15" s="60"/>
      <c r="QSK15" s="60"/>
      <c r="QSL15" s="60"/>
      <c r="QSM15" s="60"/>
      <c r="QSN15" s="60"/>
      <c r="QSO15" s="60"/>
      <c r="QSP15" s="60"/>
      <c r="QSQ15" s="60"/>
      <c r="QSR15" s="60"/>
      <c r="QSS15" s="60"/>
      <c r="QST15" s="60"/>
      <c r="QSU15" s="60"/>
      <c r="QSV15" s="60"/>
      <c r="QSW15" s="60"/>
      <c r="QSX15" s="60"/>
      <c r="QSY15" s="60"/>
      <c r="QSZ15" s="60"/>
      <c r="QTA15" s="60"/>
      <c r="QTB15" s="60"/>
      <c r="QTC15" s="60"/>
      <c r="QTD15" s="60"/>
      <c r="QTE15" s="60"/>
      <c r="QTF15" s="60"/>
      <c r="QTG15" s="60"/>
      <c r="QTH15" s="60"/>
      <c r="QTI15" s="60"/>
      <c r="QTJ15" s="60"/>
      <c r="QTK15" s="60"/>
      <c r="QTL15" s="60"/>
      <c r="QTM15" s="60"/>
      <c r="QTN15" s="60"/>
      <c r="QTO15" s="60"/>
      <c r="QTP15" s="60"/>
      <c r="QTQ15" s="60"/>
      <c r="QTR15" s="60"/>
      <c r="QTS15" s="60"/>
      <c r="QTT15" s="60"/>
      <c r="QTU15" s="60"/>
      <c r="QTV15" s="60"/>
      <c r="QTW15" s="60"/>
      <c r="QTX15" s="60"/>
      <c r="QTY15" s="60"/>
      <c r="QTZ15" s="60"/>
      <c r="QUA15" s="60"/>
      <c r="QUB15" s="60"/>
      <c r="QUC15" s="60"/>
      <c r="QUD15" s="60"/>
      <c r="QUE15" s="60"/>
      <c r="QUF15" s="60"/>
      <c r="QUG15" s="60"/>
      <c r="QUH15" s="60"/>
      <c r="QUI15" s="60"/>
      <c r="QUJ15" s="60"/>
      <c r="QUK15" s="60"/>
      <c r="QUL15" s="60"/>
      <c r="QUM15" s="60"/>
      <c r="QUN15" s="60"/>
      <c r="QUO15" s="60"/>
      <c r="QUP15" s="60"/>
      <c r="QUQ15" s="60"/>
      <c r="QUR15" s="60"/>
      <c r="QUS15" s="60"/>
      <c r="QUT15" s="60"/>
      <c r="QUU15" s="60"/>
      <c r="QUV15" s="60"/>
      <c r="QUW15" s="60"/>
      <c r="QUX15" s="60"/>
      <c r="QUY15" s="60"/>
      <c r="QUZ15" s="60"/>
      <c r="QVA15" s="60"/>
      <c r="QVB15" s="60"/>
      <c r="QVC15" s="60"/>
      <c r="QVD15" s="60"/>
      <c r="QVE15" s="60"/>
      <c r="QVF15" s="60"/>
      <c r="QVG15" s="60"/>
      <c r="QVH15" s="60"/>
      <c r="QVI15" s="60"/>
      <c r="QVJ15" s="60"/>
      <c r="QVK15" s="60"/>
      <c r="QVL15" s="60"/>
      <c r="QVM15" s="60"/>
      <c r="QVN15" s="60"/>
      <c r="QVO15" s="60"/>
      <c r="QVP15" s="60"/>
      <c r="QVQ15" s="60"/>
      <c r="QVR15" s="60"/>
      <c r="QVS15" s="60"/>
      <c r="QVT15" s="60"/>
      <c r="QVU15" s="60"/>
      <c r="QVV15" s="60"/>
      <c r="QVW15" s="60"/>
      <c r="QVX15" s="60"/>
      <c r="QVY15" s="60"/>
      <c r="QVZ15" s="60"/>
      <c r="QWA15" s="60"/>
      <c r="QWB15" s="60"/>
      <c r="QWC15" s="60"/>
      <c r="QWD15" s="60"/>
      <c r="QWE15" s="60"/>
      <c r="QWF15" s="60"/>
      <c r="QWG15" s="60"/>
      <c r="QWH15" s="60"/>
      <c r="QWI15" s="60"/>
      <c r="QWJ15" s="60"/>
      <c r="QWK15" s="60"/>
      <c r="QWL15" s="60"/>
      <c r="QWM15" s="60"/>
      <c r="QWN15" s="60"/>
      <c r="QWO15" s="60"/>
      <c r="QWP15" s="60"/>
      <c r="QWQ15" s="60"/>
      <c r="QWR15" s="60"/>
      <c r="QWS15" s="60"/>
      <c r="QWT15" s="60"/>
      <c r="QWU15" s="60"/>
      <c r="QWV15" s="60"/>
      <c r="QWW15" s="60"/>
      <c r="QWX15" s="60"/>
      <c r="QWY15" s="60"/>
      <c r="QWZ15" s="60"/>
      <c r="QXA15" s="60"/>
      <c r="QXB15" s="60"/>
      <c r="QXC15" s="60"/>
      <c r="QXD15" s="60"/>
      <c r="QXE15" s="60"/>
      <c r="QXF15" s="60"/>
      <c r="QXG15" s="60"/>
      <c r="QXH15" s="60"/>
      <c r="QXI15" s="60"/>
      <c r="QXJ15" s="60"/>
      <c r="QXK15" s="60"/>
      <c r="QXL15" s="60"/>
      <c r="QXM15" s="60"/>
      <c r="QXN15" s="60"/>
      <c r="QXO15" s="60"/>
      <c r="QXP15" s="60"/>
      <c r="QXQ15" s="60"/>
      <c r="QXR15" s="60"/>
      <c r="QXS15" s="60"/>
      <c r="QXT15" s="60"/>
      <c r="QXU15" s="60"/>
      <c r="QXV15" s="60"/>
      <c r="QXW15" s="60"/>
      <c r="QXX15" s="60"/>
      <c r="QXY15" s="60"/>
      <c r="QXZ15" s="60"/>
      <c r="QYA15" s="60"/>
      <c r="QYB15" s="60"/>
      <c r="QYC15" s="60"/>
      <c r="QYD15" s="60"/>
      <c r="QYE15" s="60"/>
      <c r="QYF15" s="60"/>
      <c r="QYG15" s="60"/>
      <c r="QYH15" s="60"/>
      <c r="QYI15" s="60"/>
      <c r="QYJ15" s="60"/>
      <c r="QYK15" s="60"/>
      <c r="QYL15" s="60"/>
      <c r="QYM15" s="60"/>
      <c r="QYN15" s="60"/>
      <c r="QYO15" s="60"/>
      <c r="QYP15" s="60"/>
      <c r="QYQ15" s="60"/>
      <c r="QYR15" s="60"/>
      <c r="QYS15" s="60"/>
      <c r="QYT15" s="60"/>
      <c r="QYU15" s="60"/>
      <c r="QYV15" s="60"/>
      <c r="QYW15" s="60"/>
      <c r="QYX15" s="60"/>
      <c r="QYY15" s="60"/>
      <c r="QYZ15" s="60"/>
      <c r="QZA15" s="60"/>
      <c r="QZB15" s="60"/>
      <c r="QZC15" s="60"/>
      <c r="QZD15" s="60"/>
      <c r="QZE15" s="60"/>
      <c r="QZF15" s="60"/>
      <c r="QZG15" s="60"/>
      <c r="QZH15" s="60"/>
      <c r="QZI15" s="60"/>
      <c r="QZJ15" s="60"/>
      <c r="QZK15" s="60"/>
      <c r="QZL15" s="60"/>
      <c r="QZM15" s="60"/>
      <c r="QZN15" s="60"/>
      <c r="QZO15" s="60"/>
      <c r="QZP15" s="60"/>
      <c r="QZQ15" s="60"/>
      <c r="QZR15" s="60"/>
      <c r="QZS15" s="60"/>
      <c r="QZT15" s="60"/>
      <c r="QZU15" s="60"/>
      <c r="QZV15" s="60"/>
      <c r="QZW15" s="60"/>
      <c r="QZX15" s="60"/>
      <c r="QZY15" s="60"/>
      <c r="QZZ15" s="60"/>
      <c r="RAA15" s="60"/>
      <c r="RAB15" s="60"/>
      <c r="RAC15" s="60"/>
      <c r="RAD15" s="60"/>
      <c r="RAE15" s="60"/>
      <c r="RAF15" s="60"/>
      <c r="RAG15" s="60"/>
      <c r="RAH15" s="60"/>
      <c r="RAI15" s="60"/>
      <c r="RAJ15" s="60"/>
      <c r="RAK15" s="60"/>
      <c r="RAL15" s="60"/>
      <c r="RAM15" s="60"/>
      <c r="RAN15" s="60"/>
      <c r="RAO15" s="60"/>
      <c r="RAP15" s="60"/>
      <c r="RAQ15" s="60"/>
      <c r="RAR15" s="60"/>
      <c r="RAS15" s="60"/>
      <c r="RAT15" s="60"/>
      <c r="RAU15" s="60"/>
      <c r="RAV15" s="60"/>
      <c r="RAW15" s="60"/>
      <c r="RAX15" s="60"/>
      <c r="RAY15" s="60"/>
      <c r="RAZ15" s="60"/>
      <c r="RBA15" s="60"/>
      <c r="RBB15" s="60"/>
      <c r="RBC15" s="60"/>
      <c r="RBD15" s="60"/>
      <c r="RBE15" s="60"/>
      <c r="RBF15" s="60"/>
      <c r="RBG15" s="60"/>
      <c r="RBH15" s="60"/>
      <c r="RBI15" s="60"/>
      <c r="RBJ15" s="60"/>
      <c r="RBK15" s="60"/>
      <c r="RBL15" s="60"/>
      <c r="RBM15" s="60"/>
      <c r="RBN15" s="60"/>
      <c r="RBO15" s="60"/>
      <c r="RBP15" s="60"/>
      <c r="RBQ15" s="60"/>
      <c r="RBR15" s="60"/>
      <c r="RBS15" s="60"/>
      <c r="RBT15" s="60"/>
      <c r="RBU15" s="60"/>
      <c r="RBV15" s="60"/>
      <c r="RBW15" s="60"/>
      <c r="RBX15" s="60"/>
      <c r="RBY15" s="60"/>
      <c r="RBZ15" s="60"/>
      <c r="RCA15" s="60"/>
      <c r="RCB15" s="60"/>
      <c r="RCC15" s="60"/>
      <c r="RCD15" s="60"/>
      <c r="RCE15" s="60"/>
      <c r="RCF15" s="60"/>
      <c r="RCG15" s="60"/>
      <c r="RCH15" s="60"/>
      <c r="RCI15" s="60"/>
      <c r="RCJ15" s="60"/>
      <c r="RCK15" s="60"/>
      <c r="RCL15" s="60"/>
      <c r="RCM15" s="60"/>
      <c r="RCN15" s="60"/>
      <c r="RCO15" s="60"/>
      <c r="RCP15" s="60"/>
      <c r="RCQ15" s="60"/>
      <c r="RCR15" s="60"/>
      <c r="RCS15" s="60"/>
      <c r="RCT15" s="60"/>
      <c r="RCU15" s="60"/>
      <c r="RCV15" s="60"/>
      <c r="RCW15" s="60"/>
      <c r="RCX15" s="60"/>
      <c r="RCY15" s="60"/>
      <c r="RCZ15" s="60"/>
      <c r="RDA15" s="60"/>
      <c r="RDB15" s="60"/>
      <c r="RDC15" s="60"/>
      <c r="RDD15" s="60"/>
      <c r="RDE15" s="60"/>
      <c r="RDF15" s="60"/>
      <c r="RDG15" s="60"/>
      <c r="RDH15" s="60"/>
      <c r="RDI15" s="60"/>
      <c r="RDJ15" s="60"/>
      <c r="RDK15" s="60"/>
      <c r="RDL15" s="60"/>
      <c r="RDM15" s="60"/>
      <c r="RDN15" s="60"/>
      <c r="RDO15" s="60"/>
      <c r="RDP15" s="60"/>
      <c r="RDQ15" s="60"/>
      <c r="RDR15" s="60"/>
      <c r="RDS15" s="60"/>
      <c r="RDT15" s="60"/>
      <c r="RDU15" s="60"/>
      <c r="RDV15" s="60"/>
      <c r="RDW15" s="60"/>
      <c r="RDX15" s="60"/>
      <c r="RDY15" s="60"/>
      <c r="RDZ15" s="60"/>
      <c r="REA15" s="60"/>
      <c r="REB15" s="60"/>
      <c r="REC15" s="60"/>
      <c r="RED15" s="60"/>
      <c r="REE15" s="60"/>
      <c r="REF15" s="60"/>
      <c r="REG15" s="60"/>
      <c r="REH15" s="60"/>
      <c r="REI15" s="60"/>
      <c r="REJ15" s="60"/>
      <c r="REK15" s="60"/>
      <c r="REL15" s="60"/>
      <c r="REM15" s="60"/>
      <c r="REN15" s="60"/>
      <c r="REO15" s="60"/>
      <c r="REP15" s="60"/>
      <c r="REQ15" s="60"/>
      <c r="RER15" s="60"/>
      <c r="RES15" s="60"/>
      <c r="RET15" s="60"/>
      <c r="REU15" s="60"/>
      <c r="REV15" s="60"/>
      <c r="REW15" s="60"/>
      <c r="REX15" s="60"/>
      <c r="REY15" s="60"/>
      <c r="REZ15" s="60"/>
      <c r="RFA15" s="60"/>
      <c r="RFB15" s="60"/>
      <c r="RFC15" s="60"/>
      <c r="RFD15" s="60"/>
      <c r="RFE15" s="60"/>
      <c r="RFF15" s="60"/>
      <c r="RFG15" s="60"/>
      <c r="RFH15" s="60"/>
      <c r="RFI15" s="60"/>
      <c r="RFJ15" s="60"/>
      <c r="RFK15" s="60"/>
      <c r="RFL15" s="60"/>
      <c r="RFM15" s="60"/>
      <c r="RFN15" s="60"/>
      <c r="RFO15" s="60"/>
      <c r="RFP15" s="60"/>
      <c r="RFQ15" s="60"/>
      <c r="RFR15" s="60"/>
      <c r="RFS15" s="60"/>
      <c r="RFT15" s="60"/>
      <c r="RFU15" s="60"/>
      <c r="RFV15" s="60"/>
      <c r="RFW15" s="60"/>
      <c r="RFX15" s="60"/>
      <c r="RFY15" s="60"/>
      <c r="RFZ15" s="60"/>
      <c r="RGA15" s="60"/>
      <c r="RGB15" s="60"/>
      <c r="RGC15" s="60"/>
      <c r="RGD15" s="60"/>
      <c r="RGE15" s="60"/>
      <c r="RGF15" s="60"/>
      <c r="RGG15" s="60"/>
      <c r="RGH15" s="60"/>
      <c r="RGI15" s="60"/>
      <c r="RGJ15" s="60"/>
      <c r="RGK15" s="60"/>
      <c r="RGL15" s="60"/>
      <c r="RGM15" s="60"/>
      <c r="RGN15" s="60"/>
      <c r="RGO15" s="60"/>
      <c r="RGP15" s="60"/>
      <c r="RGQ15" s="60"/>
      <c r="RGR15" s="60"/>
      <c r="RGS15" s="60"/>
      <c r="RGT15" s="60"/>
      <c r="RGU15" s="60"/>
      <c r="RGV15" s="60"/>
      <c r="RGW15" s="60"/>
      <c r="RGX15" s="60"/>
      <c r="RGY15" s="60"/>
      <c r="RGZ15" s="60"/>
      <c r="RHA15" s="60"/>
      <c r="RHB15" s="60"/>
      <c r="RHC15" s="60"/>
      <c r="RHD15" s="60"/>
      <c r="RHE15" s="60"/>
      <c r="RHF15" s="60"/>
      <c r="RHG15" s="60"/>
      <c r="RHH15" s="60"/>
      <c r="RHI15" s="60"/>
      <c r="RHJ15" s="60"/>
      <c r="RHK15" s="60"/>
      <c r="RHL15" s="60"/>
      <c r="RHM15" s="60"/>
      <c r="RHN15" s="60"/>
      <c r="RHO15" s="60"/>
      <c r="RHP15" s="60"/>
      <c r="RHQ15" s="60"/>
      <c r="RHR15" s="60"/>
      <c r="RHS15" s="60"/>
      <c r="RHT15" s="60"/>
      <c r="RHU15" s="60"/>
      <c r="RHV15" s="60"/>
      <c r="RHW15" s="60"/>
      <c r="RHX15" s="60"/>
      <c r="RHY15" s="60"/>
      <c r="RHZ15" s="60"/>
      <c r="RIA15" s="60"/>
      <c r="RIB15" s="60"/>
      <c r="RIC15" s="60"/>
      <c r="RID15" s="60"/>
      <c r="RIE15" s="60"/>
      <c r="RIF15" s="60"/>
      <c r="RIG15" s="60"/>
      <c r="RIH15" s="60"/>
      <c r="RII15" s="60"/>
      <c r="RIJ15" s="60"/>
      <c r="RIK15" s="60"/>
      <c r="RIL15" s="60"/>
      <c r="RIM15" s="60"/>
      <c r="RIN15" s="60"/>
      <c r="RIO15" s="60"/>
      <c r="RIP15" s="60"/>
      <c r="RIQ15" s="60"/>
      <c r="RIR15" s="60"/>
      <c r="RIS15" s="60"/>
      <c r="RIT15" s="60"/>
      <c r="RIU15" s="60"/>
      <c r="RIV15" s="60"/>
      <c r="RIW15" s="60"/>
      <c r="RIX15" s="60"/>
      <c r="RIY15" s="60"/>
      <c r="RIZ15" s="60"/>
      <c r="RJA15" s="60"/>
      <c r="RJB15" s="60"/>
      <c r="RJC15" s="60"/>
      <c r="RJD15" s="60"/>
      <c r="RJE15" s="60"/>
      <c r="RJF15" s="60"/>
      <c r="RJG15" s="60"/>
      <c r="RJH15" s="60"/>
      <c r="RJI15" s="60"/>
      <c r="RJJ15" s="60"/>
      <c r="RJK15" s="60"/>
      <c r="RJL15" s="60"/>
      <c r="RJM15" s="60"/>
      <c r="RJN15" s="60"/>
      <c r="RJO15" s="60"/>
      <c r="RJP15" s="60"/>
      <c r="RJQ15" s="60"/>
      <c r="RJR15" s="60"/>
      <c r="RJS15" s="60"/>
      <c r="RJT15" s="60"/>
      <c r="RJU15" s="60"/>
      <c r="RJV15" s="60"/>
      <c r="RJW15" s="60"/>
      <c r="RJX15" s="60"/>
      <c r="RJY15" s="60"/>
      <c r="RJZ15" s="60"/>
      <c r="RKA15" s="60"/>
      <c r="RKB15" s="60"/>
      <c r="RKC15" s="60"/>
      <c r="RKD15" s="60"/>
      <c r="RKE15" s="60"/>
      <c r="RKF15" s="60"/>
      <c r="RKG15" s="60"/>
      <c r="RKH15" s="60"/>
      <c r="RKI15" s="60"/>
      <c r="RKJ15" s="60"/>
      <c r="RKK15" s="60"/>
      <c r="RKL15" s="60"/>
      <c r="RKM15" s="60"/>
      <c r="RKN15" s="60"/>
      <c r="RKO15" s="60"/>
      <c r="RKP15" s="60"/>
      <c r="RKQ15" s="60"/>
      <c r="RKR15" s="60"/>
      <c r="RKS15" s="60"/>
      <c r="RKT15" s="60"/>
      <c r="RKU15" s="60"/>
      <c r="RKV15" s="60"/>
      <c r="RKW15" s="60"/>
      <c r="RKX15" s="60"/>
      <c r="RKY15" s="60"/>
      <c r="RKZ15" s="60"/>
      <c r="RLA15" s="60"/>
      <c r="RLB15" s="60"/>
      <c r="RLC15" s="60"/>
      <c r="RLD15" s="60"/>
      <c r="RLE15" s="60"/>
      <c r="RLF15" s="60"/>
      <c r="RLG15" s="60"/>
      <c r="RLH15" s="60"/>
      <c r="RLI15" s="60"/>
      <c r="RLJ15" s="60"/>
      <c r="RLK15" s="60"/>
      <c r="RLL15" s="60"/>
      <c r="RLM15" s="60"/>
      <c r="RLN15" s="60"/>
      <c r="RLO15" s="60"/>
      <c r="RLP15" s="60"/>
      <c r="RLQ15" s="60"/>
      <c r="RLR15" s="60"/>
      <c r="RLS15" s="60"/>
      <c r="RLT15" s="60"/>
      <c r="RLU15" s="60"/>
      <c r="RLV15" s="60"/>
      <c r="RLW15" s="60"/>
      <c r="RLX15" s="60"/>
      <c r="RLY15" s="60"/>
      <c r="RLZ15" s="60"/>
      <c r="RMA15" s="60"/>
      <c r="RMB15" s="60"/>
      <c r="RMC15" s="60"/>
      <c r="RMD15" s="60"/>
      <c r="RME15" s="60"/>
      <c r="RMF15" s="60"/>
      <c r="RMG15" s="60"/>
      <c r="RMH15" s="60"/>
      <c r="RMI15" s="60"/>
      <c r="RMJ15" s="60"/>
      <c r="RMK15" s="60"/>
      <c r="RML15" s="60"/>
      <c r="RMM15" s="60"/>
      <c r="RMN15" s="60"/>
      <c r="RMO15" s="60"/>
      <c r="RMP15" s="60"/>
      <c r="RMQ15" s="60"/>
      <c r="RMR15" s="60"/>
      <c r="RMS15" s="60"/>
      <c r="RMT15" s="60"/>
      <c r="RMU15" s="60"/>
      <c r="RMV15" s="60"/>
      <c r="RMW15" s="60"/>
      <c r="RMX15" s="60"/>
      <c r="RMY15" s="60"/>
      <c r="RMZ15" s="60"/>
      <c r="RNA15" s="60"/>
      <c r="RNB15" s="60"/>
      <c r="RNC15" s="60"/>
      <c r="RND15" s="60"/>
      <c r="RNE15" s="60"/>
      <c r="RNF15" s="60"/>
      <c r="RNG15" s="60"/>
      <c r="RNH15" s="60"/>
      <c r="RNI15" s="60"/>
      <c r="RNJ15" s="60"/>
      <c r="RNK15" s="60"/>
      <c r="RNL15" s="60"/>
      <c r="RNM15" s="60"/>
      <c r="RNN15" s="60"/>
      <c r="RNO15" s="60"/>
      <c r="RNP15" s="60"/>
      <c r="RNQ15" s="60"/>
      <c r="RNR15" s="60"/>
      <c r="RNS15" s="60"/>
      <c r="RNT15" s="60"/>
      <c r="RNU15" s="60"/>
      <c r="RNV15" s="60"/>
      <c r="RNW15" s="60"/>
      <c r="RNX15" s="60"/>
      <c r="RNY15" s="60"/>
      <c r="RNZ15" s="60"/>
      <c r="ROA15" s="60"/>
      <c r="ROB15" s="60"/>
      <c r="ROC15" s="60"/>
      <c r="ROD15" s="60"/>
      <c r="ROE15" s="60"/>
      <c r="ROF15" s="60"/>
      <c r="ROG15" s="60"/>
      <c r="ROH15" s="60"/>
      <c r="ROI15" s="60"/>
      <c r="ROJ15" s="60"/>
      <c r="ROK15" s="60"/>
      <c r="ROL15" s="60"/>
      <c r="ROM15" s="60"/>
      <c r="RON15" s="60"/>
      <c r="ROO15" s="60"/>
      <c r="ROP15" s="60"/>
      <c r="ROQ15" s="60"/>
      <c r="ROR15" s="60"/>
      <c r="ROS15" s="60"/>
      <c r="ROT15" s="60"/>
      <c r="ROU15" s="60"/>
      <c r="ROV15" s="60"/>
      <c r="ROW15" s="60"/>
      <c r="ROX15" s="60"/>
      <c r="ROY15" s="60"/>
      <c r="ROZ15" s="60"/>
      <c r="RPA15" s="60"/>
      <c r="RPB15" s="60"/>
      <c r="RPC15" s="60"/>
      <c r="RPD15" s="60"/>
      <c r="RPE15" s="60"/>
      <c r="RPF15" s="60"/>
      <c r="RPG15" s="60"/>
      <c r="RPH15" s="60"/>
      <c r="RPI15" s="60"/>
      <c r="RPJ15" s="60"/>
      <c r="RPK15" s="60"/>
      <c r="RPL15" s="60"/>
      <c r="RPM15" s="60"/>
      <c r="RPN15" s="60"/>
      <c r="RPO15" s="60"/>
      <c r="RPP15" s="60"/>
      <c r="RPQ15" s="60"/>
      <c r="RPR15" s="60"/>
      <c r="RPS15" s="60"/>
      <c r="RPT15" s="60"/>
      <c r="RPU15" s="60"/>
      <c r="RPV15" s="60"/>
      <c r="RPW15" s="60"/>
      <c r="RPX15" s="60"/>
      <c r="RPY15" s="60"/>
      <c r="RPZ15" s="60"/>
      <c r="RQA15" s="60"/>
      <c r="RQB15" s="60"/>
      <c r="RQC15" s="60"/>
      <c r="RQD15" s="60"/>
      <c r="RQE15" s="60"/>
      <c r="RQF15" s="60"/>
      <c r="RQG15" s="60"/>
      <c r="RQH15" s="60"/>
      <c r="RQI15" s="60"/>
      <c r="RQJ15" s="60"/>
      <c r="RQK15" s="60"/>
      <c r="RQL15" s="60"/>
      <c r="RQM15" s="60"/>
      <c r="RQN15" s="60"/>
      <c r="RQO15" s="60"/>
      <c r="RQP15" s="60"/>
      <c r="RQQ15" s="60"/>
      <c r="RQR15" s="60"/>
      <c r="RQS15" s="60"/>
      <c r="RQT15" s="60"/>
      <c r="RQU15" s="60"/>
      <c r="RQV15" s="60"/>
      <c r="RQW15" s="60"/>
      <c r="RQX15" s="60"/>
      <c r="RQY15" s="60"/>
      <c r="RQZ15" s="60"/>
      <c r="RRA15" s="60"/>
      <c r="RRB15" s="60"/>
      <c r="RRC15" s="60"/>
      <c r="RRD15" s="60"/>
      <c r="RRE15" s="60"/>
      <c r="RRF15" s="60"/>
      <c r="RRG15" s="60"/>
      <c r="RRH15" s="60"/>
      <c r="RRI15" s="60"/>
      <c r="RRJ15" s="60"/>
      <c r="RRK15" s="60"/>
      <c r="RRL15" s="60"/>
      <c r="RRM15" s="60"/>
      <c r="RRN15" s="60"/>
      <c r="RRO15" s="60"/>
      <c r="RRP15" s="60"/>
      <c r="RRQ15" s="60"/>
      <c r="RRR15" s="60"/>
      <c r="RRS15" s="60"/>
      <c r="RRT15" s="60"/>
      <c r="RRU15" s="60"/>
      <c r="RRV15" s="60"/>
      <c r="RRW15" s="60"/>
      <c r="RRX15" s="60"/>
      <c r="RRY15" s="60"/>
      <c r="RRZ15" s="60"/>
      <c r="RSA15" s="60"/>
      <c r="RSB15" s="60"/>
      <c r="RSC15" s="60"/>
      <c r="RSD15" s="60"/>
      <c r="RSE15" s="60"/>
      <c r="RSF15" s="60"/>
      <c r="RSG15" s="60"/>
      <c r="RSH15" s="60"/>
      <c r="RSI15" s="60"/>
      <c r="RSJ15" s="60"/>
      <c r="RSK15" s="60"/>
      <c r="RSL15" s="60"/>
      <c r="RSM15" s="60"/>
      <c r="RSN15" s="60"/>
      <c r="RSO15" s="60"/>
      <c r="RSP15" s="60"/>
      <c r="RSQ15" s="60"/>
      <c r="RSR15" s="60"/>
      <c r="RSS15" s="60"/>
      <c r="RST15" s="60"/>
      <c r="RSU15" s="60"/>
      <c r="RSV15" s="60"/>
      <c r="RSW15" s="60"/>
      <c r="RSX15" s="60"/>
      <c r="RSY15" s="60"/>
      <c r="RSZ15" s="60"/>
      <c r="RTA15" s="60"/>
      <c r="RTB15" s="60"/>
      <c r="RTC15" s="60"/>
      <c r="RTD15" s="60"/>
      <c r="RTE15" s="60"/>
      <c r="RTF15" s="60"/>
      <c r="RTG15" s="60"/>
      <c r="RTH15" s="60"/>
      <c r="RTI15" s="60"/>
      <c r="RTJ15" s="60"/>
      <c r="RTK15" s="60"/>
      <c r="RTL15" s="60"/>
      <c r="RTM15" s="60"/>
      <c r="RTN15" s="60"/>
      <c r="RTO15" s="60"/>
      <c r="RTP15" s="60"/>
      <c r="RTQ15" s="60"/>
      <c r="RTR15" s="60"/>
      <c r="RTS15" s="60"/>
      <c r="RTT15" s="60"/>
      <c r="RTU15" s="60"/>
      <c r="RTV15" s="60"/>
      <c r="RTW15" s="60"/>
      <c r="RTX15" s="60"/>
      <c r="RTY15" s="60"/>
      <c r="RTZ15" s="60"/>
      <c r="RUA15" s="60"/>
      <c r="RUB15" s="60"/>
      <c r="RUC15" s="60"/>
      <c r="RUD15" s="60"/>
      <c r="RUE15" s="60"/>
      <c r="RUF15" s="60"/>
      <c r="RUG15" s="60"/>
      <c r="RUH15" s="60"/>
      <c r="RUI15" s="60"/>
      <c r="RUJ15" s="60"/>
      <c r="RUK15" s="60"/>
      <c r="RUL15" s="60"/>
      <c r="RUM15" s="60"/>
      <c r="RUN15" s="60"/>
      <c r="RUO15" s="60"/>
      <c r="RUP15" s="60"/>
      <c r="RUQ15" s="60"/>
      <c r="RUR15" s="60"/>
      <c r="RUS15" s="60"/>
      <c r="RUT15" s="60"/>
      <c r="RUU15" s="60"/>
      <c r="RUV15" s="60"/>
      <c r="RUW15" s="60"/>
      <c r="RUX15" s="60"/>
      <c r="RUY15" s="60"/>
      <c r="RUZ15" s="60"/>
      <c r="RVA15" s="60"/>
      <c r="RVB15" s="60"/>
      <c r="RVC15" s="60"/>
      <c r="RVD15" s="60"/>
      <c r="RVE15" s="60"/>
      <c r="RVF15" s="60"/>
      <c r="RVG15" s="60"/>
      <c r="RVH15" s="60"/>
      <c r="RVI15" s="60"/>
      <c r="RVJ15" s="60"/>
      <c r="RVK15" s="60"/>
      <c r="RVL15" s="60"/>
      <c r="RVM15" s="60"/>
      <c r="RVN15" s="60"/>
      <c r="RVO15" s="60"/>
      <c r="RVP15" s="60"/>
      <c r="RVQ15" s="60"/>
      <c r="RVR15" s="60"/>
      <c r="RVS15" s="60"/>
      <c r="RVT15" s="60"/>
      <c r="RVU15" s="60"/>
      <c r="RVV15" s="60"/>
      <c r="RVW15" s="60"/>
      <c r="RVX15" s="60"/>
      <c r="RVY15" s="60"/>
      <c r="RVZ15" s="60"/>
      <c r="RWA15" s="60"/>
      <c r="RWB15" s="60"/>
      <c r="RWC15" s="60"/>
      <c r="RWD15" s="60"/>
      <c r="RWE15" s="60"/>
      <c r="RWF15" s="60"/>
      <c r="RWG15" s="60"/>
      <c r="RWH15" s="60"/>
      <c r="RWI15" s="60"/>
      <c r="RWJ15" s="60"/>
      <c r="RWK15" s="60"/>
      <c r="RWL15" s="60"/>
      <c r="RWM15" s="60"/>
      <c r="RWN15" s="60"/>
      <c r="RWO15" s="60"/>
      <c r="RWP15" s="60"/>
      <c r="RWQ15" s="60"/>
      <c r="RWR15" s="60"/>
      <c r="RWS15" s="60"/>
      <c r="RWT15" s="60"/>
      <c r="RWU15" s="60"/>
      <c r="RWV15" s="60"/>
      <c r="RWW15" s="60"/>
      <c r="RWX15" s="60"/>
      <c r="RWY15" s="60"/>
      <c r="RWZ15" s="60"/>
      <c r="RXA15" s="60"/>
      <c r="RXB15" s="60"/>
      <c r="RXC15" s="60"/>
      <c r="RXD15" s="60"/>
      <c r="RXE15" s="60"/>
      <c r="RXF15" s="60"/>
      <c r="RXG15" s="60"/>
      <c r="RXH15" s="60"/>
      <c r="RXI15" s="60"/>
      <c r="RXJ15" s="60"/>
      <c r="RXK15" s="60"/>
      <c r="RXL15" s="60"/>
      <c r="RXM15" s="60"/>
      <c r="RXN15" s="60"/>
      <c r="RXO15" s="60"/>
      <c r="RXP15" s="60"/>
      <c r="RXQ15" s="60"/>
      <c r="RXR15" s="60"/>
      <c r="RXS15" s="60"/>
      <c r="RXT15" s="60"/>
      <c r="RXU15" s="60"/>
      <c r="RXV15" s="60"/>
      <c r="RXW15" s="60"/>
      <c r="RXX15" s="60"/>
      <c r="RXY15" s="60"/>
      <c r="RXZ15" s="60"/>
      <c r="RYA15" s="60"/>
      <c r="RYB15" s="60"/>
      <c r="RYC15" s="60"/>
      <c r="RYD15" s="60"/>
      <c r="RYE15" s="60"/>
      <c r="RYF15" s="60"/>
      <c r="RYG15" s="60"/>
      <c r="RYH15" s="60"/>
      <c r="RYI15" s="60"/>
      <c r="RYJ15" s="60"/>
      <c r="RYK15" s="60"/>
      <c r="RYL15" s="60"/>
      <c r="RYM15" s="60"/>
      <c r="RYN15" s="60"/>
      <c r="RYO15" s="60"/>
      <c r="RYP15" s="60"/>
      <c r="RYQ15" s="60"/>
      <c r="RYR15" s="60"/>
      <c r="RYS15" s="60"/>
      <c r="RYT15" s="60"/>
      <c r="RYU15" s="60"/>
      <c r="RYV15" s="60"/>
      <c r="RYW15" s="60"/>
      <c r="RYX15" s="60"/>
      <c r="RYY15" s="60"/>
      <c r="RYZ15" s="60"/>
      <c r="RZA15" s="60"/>
      <c r="RZB15" s="60"/>
      <c r="RZC15" s="60"/>
      <c r="RZD15" s="60"/>
      <c r="RZE15" s="60"/>
      <c r="RZF15" s="60"/>
      <c r="RZG15" s="60"/>
      <c r="RZH15" s="60"/>
      <c r="RZI15" s="60"/>
      <c r="RZJ15" s="60"/>
      <c r="RZK15" s="60"/>
      <c r="RZL15" s="60"/>
      <c r="RZM15" s="60"/>
      <c r="RZN15" s="60"/>
      <c r="RZO15" s="60"/>
      <c r="RZP15" s="60"/>
      <c r="RZQ15" s="60"/>
      <c r="RZR15" s="60"/>
      <c r="RZS15" s="60"/>
      <c r="RZT15" s="60"/>
      <c r="RZU15" s="60"/>
      <c r="RZV15" s="60"/>
      <c r="RZW15" s="60"/>
      <c r="RZX15" s="60"/>
      <c r="RZY15" s="60"/>
      <c r="RZZ15" s="60"/>
      <c r="SAA15" s="60"/>
      <c r="SAB15" s="60"/>
      <c r="SAC15" s="60"/>
      <c r="SAD15" s="60"/>
      <c r="SAE15" s="60"/>
      <c r="SAF15" s="60"/>
      <c r="SAG15" s="60"/>
      <c r="SAH15" s="60"/>
      <c r="SAI15" s="60"/>
      <c r="SAJ15" s="60"/>
      <c r="SAK15" s="60"/>
      <c r="SAL15" s="60"/>
      <c r="SAM15" s="60"/>
      <c r="SAN15" s="60"/>
      <c r="SAO15" s="60"/>
      <c r="SAP15" s="60"/>
      <c r="SAQ15" s="60"/>
      <c r="SAR15" s="60"/>
      <c r="SAS15" s="60"/>
      <c r="SAT15" s="60"/>
      <c r="SAU15" s="60"/>
      <c r="SAV15" s="60"/>
      <c r="SAW15" s="60"/>
      <c r="SAX15" s="60"/>
      <c r="SAY15" s="60"/>
      <c r="SAZ15" s="60"/>
      <c r="SBA15" s="60"/>
      <c r="SBB15" s="60"/>
      <c r="SBC15" s="60"/>
      <c r="SBD15" s="60"/>
      <c r="SBE15" s="60"/>
      <c r="SBF15" s="60"/>
      <c r="SBG15" s="60"/>
      <c r="SBH15" s="60"/>
      <c r="SBI15" s="60"/>
      <c r="SBJ15" s="60"/>
      <c r="SBK15" s="60"/>
      <c r="SBL15" s="60"/>
      <c r="SBM15" s="60"/>
      <c r="SBN15" s="60"/>
      <c r="SBO15" s="60"/>
      <c r="SBP15" s="60"/>
      <c r="SBQ15" s="60"/>
      <c r="SBR15" s="60"/>
      <c r="SBS15" s="60"/>
      <c r="SBT15" s="60"/>
      <c r="SBU15" s="60"/>
      <c r="SBV15" s="60"/>
      <c r="SBW15" s="60"/>
      <c r="SBX15" s="60"/>
      <c r="SBY15" s="60"/>
      <c r="SBZ15" s="60"/>
      <c r="SCA15" s="60"/>
      <c r="SCB15" s="60"/>
      <c r="SCC15" s="60"/>
      <c r="SCD15" s="60"/>
      <c r="SCE15" s="60"/>
      <c r="SCF15" s="60"/>
      <c r="SCG15" s="60"/>
      <c r="SCH15" s="60"/>
      <c r="SCI15" s="60"/>
      <c r="SCJ15" s="60"/>
      <c r="SCK15" s="60"/>
      <c r="SCL15" s="60"/>
      <c r="SCM15" s="60"/>
      <c r="SCN15" s="60"/>
      <c r="SCO15" s="60"/>
      <c r="SCP15" s="60"/>
      <c r="SCQ15" s="60"/>
      <c r="SCR15" s="60"/>
      <c r="SCS15" s="60"/>
      <c r="SCT15" s="60"/>
      <c r="SCU15" s="60"/>
      <c r="SCV15" s="60"/>
      <c r="SCW15" s="60"/>
      <c r="SCX15" s="60"/>
      <c r="SCY15" s="60"/>
      <c r="SCZ15" s="60"/>
      <c r="SDA15" s="60"/>
      <c r="SDB15" s="60"/>
      <c r="SDC15" s="60"/>
      <c r="SDD15" s="60"/>
      <c r="SDE15" s="60"/>
      <c r="SDF15" s="60"/>
      <c r="SDG15" s="60"/>
      <c r="SDH15" s="60"/>
      <c r="SDI15" s="60"/>
      <c r="SDJ15" s="60"/>
      <c r="SDK15" s="60"/>
      <c r="SDL15" s="60"/>
      <c r="SDM15" s="60"/>
      <c r="SDN15" s="60"/>
      <c r="SDO15" s="60"/>
      <c r="SDP15" s="60"/>
      <c r="SDQ15" s="60"/>
      <c r="SDR15" s="60"/>
      <c r="SDS15" s="60"/>
      <c r="SDT15" s="60"/>
      <c r="SDU15" s="60"/>
      <c r="SDV15" s="60"/>
      <c r="SDW15" s="60"/>
      <c r="SDX15" s="60"/>
      <c r="SDY15" s="60"/>
      <c r="SDZ15" s="60"/>
      <c r="SEA15" s="60"/>
      <c r="SEB15" s="60"/>
      <c r="SEC15" s="60"/>
      <c r="SED15" s="60"/>
      <c r="SEE15" s="60"/>
      <c r="SEF15" s="60"/>
      <c r="SEG15" s="60"/>
      <c r="SEH15" s="60"/>
      <c r="SEI15" s="60"/>
      <c r="SEJ15" s="60"/>
      <c r="SEK15" s="60"/>
      <c r="SEL15" s="60"/>
      <c r="SEM15" s="60"/>
      <c r="SEN15" s="60"/>
      <c r="SEO15" s="60"/>
      <c r="SEP15" s="60"/>
      <c r="SEQ15" s="60"/>
      <c r="SER15" s="60"/>
      <c r="SES15" s="60"/>
      <c r="SET15" s="60"/>
      <c r="SEU15" s="60"/>
      <c r="SEV15" s="60"/>
      <c r="SEW15" s="60"/>
      <c r="SEX15" s="60"/>
      <c r="SEY15" s="60"/>
      <c r="SEZ15" s="60"/>
      <c r="SFA15" s="60"/>
      <c r="SFB15" s="60"/>
      <c r="SFC15" s="60"/>
      <c r="SFD15" s="60"/>
      <c r="SFE15" s="60"/>
      <c r="SFF15" s="60"/>
      <c r="SFG15" s="60"/>
      <c r="SFH15" s="60"/>
      <c r="SFI15" s="60"/>
      <c r="SFJ15" s="60"/>
      <c r="SFK15" s="60"/>
      <c r="SFL15" s="60"/>
      <c r="SFM15" s="60"/>
      <c r="SFN15" s="60"/>
      <c r="SFO15" s="60"/>
      <c r="SFP15" s="60"/>
      <c r="SFQ15" s="60"/>
      <c r="SFR15" s="60"/>
      <c r="SFS15" s="60"/>
      <c r="SFT15" s="60"/>
      <c r="SFU15" s="60"/>
      <c r="SFV15" s="60"/>
      <c r="SFW15" s="60"/>
      <c r="SFX15" s="60"/>
      <c r="SFY15" s="60"/>
      <c r="SFZ15" s="60"/>
      <c r="SGA15" s="60"/>
      <c r="SGB15" s="60"/>
      <c r="SGC15" s="60"/>
      <c r="SGD15" s="60"/>
      <c r="SGE15" s="60"/>
      <c r="SGF15" s="60"/>
      <c r="SGG15" s="60"/>
      <c r="SGH15" s="60"/>
      <c r="SGI15" s="60"/>
      <c r="SGJ15" s="60"/>
      <c r="SGK15" s="60"/>
      <c r="SGL15" s="60"/>
      <c r="SGM15" s="60"/>
      <c r="SGN15" s="60"/>
      <c r="SGO15" s="60"/>
      <c r="SGP15" s="60"/>
      <c r="SGQ15" s="60"/>
      <c r="SGR15" s="60"/>
      <c r="SGS15" s="60"/>
      <c r="SGT15" s="60"/>
      <c r="SGU15" s="60"/>
      <c r="SGV15" s="60"/>
      <c r="SGW15" s="60"/>
      <c r="SGX15" s="60"/>
      <c r="SGY15" s="60"/>
      <c r="SGZ15" s="60"/>
      <c r="SHA15" s="60"/>
      <c r="SHB15" s="60"/>
      <c r="SHC15" s="60"/>
      <c r="SHD15" s="60"/>
      <c r="SHE15" s="60"/>
      <c r="SHF15" s="60"/>
      <c r="SHG15" s="60"/>
      <c r="SHH15" s="60"/>
      <c r="SHI15" s="60"/>
      <c r="SHJ15" s="60"/>
      <c r="SHK15" s="60"/>
      <c r="SHL15" s="60"/>
      <c r="SHM15" s="60"/>
      <c r="SHN15" s="60"/>
      <c r="SHO15" s="60"/>
      <c r="SHP15" s="60"/>
      <c r="SHQ15" s="60"/>
      <c r="SHR15" s="60"/>
      <c r="SHS15" s="60"/>
      <c r="SHT15" s="60"/>
      <c r="SHU15" s="60"/>
      <c r="SHV15" s="60"/>
      <c r="SHW15" s="60"/>
      <c r="SHX15" s="60"/>
      <c r="SHY15" s="60"/>
      <c r="SHZ15" s="60"/>
      <c r="SIA15" s="60"/>
      <c r="SIB15" s="60"/>
      <c r="SIC15" s="60"/>
      <c r="SID15" s="60"/>
      <c r="SIE15" s="60"/>
      <c r="SIF15" s="60"/>
      <c r="SIG15" s="60"/>
      <c r="SIH15" s="60"/>
      <c r="SII15" s="60"/>
      <c r="SIJ15" s="60"/>
      <c r="SIK15" s="60"/>
      <c r="SIL15" s="60"/>
      <c r="SIM15" s="60"/>
      <c r="SIN15" s="60"/>
      <c r="SIO15" s="60"/>
      <c r="SIP15" s="60"/>
      <c r="SIQ15" s="60"/>
      <c r="SIR15" s="60"/>
      <c r="SIS15" s="60"/>
      <c r="SIT15" s="60"/>
      <c r="SIU15" s="60"/>
      <c r="SIV15" s="60"/>
      <c r="SIW15" s="60"/>
      <c r="SIX15" s="60"/>
      <c r="SIY15" s="60"/>
      <c r="SIZ15" s="60"/>
      <c r="SJA15" s="60"/>
      <c r="SJB15" s="60"/>
      <c r="SJC15" s="60"/>
      <c r="SJD15" s="60"/>
      <c r="SJE15" s="60"/>
      <c r="SJF15" s="60"/>
      <c r="SJG15" s="60"/>
      <c r="SJH15" s="60"/>
      <c r="SJI15" s="60"/>
      <c r="SJJ15" s="60"/>
      <c r="SJK15" s="60"/>
      <c r="SJL15" s="60"/>
      <c r="SJM15" s="60"/>
      <c r="SJN15" s="60"/>
      <c r="SJO15" s="60"/>
      <c r="SJP15" s="60"/>
      <c r="SJQ15" s="60"/>
      <c r="SJR15" s="60"/>
      <c r="SJS15" s="60"/>
      <c r="SJT15" s="60"/>
      <c r="SJU15" s="60"/>
      <c r="SJV15" s="60"/>
      <c r="SJW15" s="60"/>
      <c r="SJX15" s="60"/>
      <c r="SJY15" s="60"/>
      <c r="SJZ15" s="60"/>
      <c r="SKA15" s="60"/>
      <c r="SKB15" s="60"/>
      <c r="SKC15" s="60"/>
      <c r="SKD15" s="60"/>
      <c r="SKE15" s="60"/>
      <c r="SKF15" s="60"/>
      <c r="SKG15" s="60"/>
      <c r="SKH15" s="60"/>
      <c r="SKI15" s="60"/>
      <c r="SKJ15" s="60"/>
      <c r="SKK15" s="60"/>
      <c r="SKL15" s="60"/>
      <c r="SKM15" s="60"/>
      <c r="SKN15" s="60"/>
      <c r="SKO15" s="60"/>
      <c r="SKP15" s="60"/>
      <c r="SKQ15" s="60"/>
      <c r="SKR15" s="60"/>
      <c r="SKS15" s="60"/>
      <c r="SKT15" s="60"/>
      <c r="SKU15" s="60"/>
      <c r="SKV15" s="60"/>
      <c r="SKW15" s="60"/>
      <c r="SKX15" s="60"/>
      <c r="SKY15" s="60"/>
      <c r="SKZ15" s="60"/>
      <c r="SLA15" s="60"/>
      <c r="SLB15" s="60"/>
      <c r="SLC15" s="60"/>
      <c r="SLD15" s="60"/>
      <c r="SLE15" s="60"/>
      <c r="SLF15" s="60"/>
      <c r="SLG15" s="60"/>
      <c r="SLH15" s="60"/>
      <c r="SLI15" s="60"/>
      <c r="SLJ15" s="60"/>
      <c r="SLK15" s="60"/>
      <c r="SLL15" s="60"/>
      <c r="SLM15" s="60"/>
      <c r="SLN15" s="60"/>
      <c r="SLO15" s="60"/>
      <c r="SLP15" s="60"/>
      <c r="SLQ15" s="60"/>
      <c r="SLR15" s="60"/>
      <c r="SLS15" s="60"/>
      <c r="SLT15" s="60"/>
      <c r="SLU15" s="60"/>
      <c r="SLV15" s="60"/>
      <c r="SLW15" s="60"/>
      <c r="SLX15" s="60"/>
      <c r="SLY15" s="60"/>
      <c r="SLZ15" s="60"/>
      <c r="SMA15" s="60"/>
      <c r="SMB15" s="60"/>
      <c r="SMC15" s="60"/>
      <c r="SMD15" s="60"/>
      <c r="SME15" s="60"/>
      <c r="SMF15" s="60"/>
      <c r="SMG15" s="60"/>
      <c r="SMH15" s="60"/>
      <c r="SMI15" s="60"/>
      <c r="SMJ15" s="60"/>
      <c r="SMK15" s="60"/>
      <c r="SML15" s="60"/>
      <c r="SMM15" s="60"/>
      <c r="SMN15" s="60"/>
      <c r="SMO15" s="60"/>
      <c r="SMP15" s="60"/>
      <c r="SMQ15" s="60"/>
      <c r="SMR15" s="60"/>
      <c r="SMS15" s="60"/>
      <c r="SMT15" s="60"/>
      <c r="SMU15" s="60"/>
      <c r="SMV15" s="60"/>
      <c r="SMW15" s="60"/>
      <c r="SMX15" s="60"/>
      <c r="SMY15" s="60"/>
      <c r="SMZ15" s="60"/>
      <c r="SNA15" s="60"/>
      <c r="SNB15" s="60"/>
      <c r="SNC15" s="60"/>
      <c r="SND15" s="60"/>
      <c r="SNE15" s="60"/>
      <c r="SNF15" s="60"/>
      <c r="SNG15" s="60"/>
      <c r="SNH15" s="60"/>
      <c r="SNI15" s="60"/>
      <c r="SNJ15" s="60"/>
      <c r="SNK15" s="60"/>
      <c r="SNL15" s="60"/>
      <c r="SNM15" s="60"/>
      <c r="SNN15" s="60"/>
      <c r="SNO15" s="60"/>
      <c r="SNP15" s="60"/>
      <c r="SNQ15" s="60"/>
      <c r="SNR15" s="60"/>
      <c r="SNS15" s="60"/>
      <c r="SNT15" s="60"/>
      <c r="SNU15" s="60"/>
      <c r="SNV15" s="60"/>
      <c r="SNW15" s="60"/>
      <c r="SNX15" s="60"/>
      <c r="SNY15" s="60"/>
      <c r="SNZ15" s="60"/>
      <c r="SOA15" s="60"/>
      <c r="SOB15" s="60"/>
      <c r="SOC15" s="60"/>
      <c r="SOD15" s="60"/>
      <c r="SOE15" s="60"/>
      <c r="SOF15" s="60"/>
      <c r="SOG15" s="60"/>
      <c r="SOH15" s="60"/>
      <c r="SOI15" s="60"/>
      <c r="SOJ15" s="60"/>
      <c r="SOK15" s="60"/>
      <c r="SOL15" s="60"/>
      <c r="SOM15" s="60"/>
      <c r="SON15" s="60"/>
      <c r="SOO15" s="60"/>
      <c r="SOP15" s="60"/>
      <c r="SOQ15" s="60"/>
      <c r="SOR15" s="60"/>
      <c r="SOS15" s="60"/>
      <c r="SOT15" s="60"/>
      <c r="SOU15" s="60"/>
      <c r="SOV15" s="60"/>
      <c r="SOW15" s="60"/>
      <c r="SOX15" s="60"/>
      <c r="SOY15" s="60"/>
      <c r="SOZ15" s="60"/>
      <c r="SPA15" s="60"/>
      <c r="SPB15" s="60"/>
      <c r="SPC15" s="60"/>
      <c r="SPD15" s="60"/>
      <c r="SPE15" s="60"/>
      <c r="SPF15" s="60"/>
      <c r="SPG15" s="60"/>
      <c r="SPH15" s="60"/>
      <c r="SPI15" s="60"/>
      <c r="SPJ15" s="60"/>
      <c r="SPK15" s="60"/>
      <c r="SPL15" s="60"/>
      <c r="SPM15" s="60"/>
      <c r="SPN15" s="60"/>
      <c r="SPO15" s="60"/>
      <c r="SPP15" s="60"/>
      <c r="SPQ15" s="60"/>
      <c r="SPR15" s="60"/>
      <c r="SPS15" s="60"/>
      <c r="SPT15" s="60"/>
      <c r="SPU15" s="60"/>
      <c r="SPV15" s="60"/>
      <c r="SPW15" s="60"/>
      <c r="SPX15" s="60"/>
      <c r="SPY15" s="60"/>
      <c r="SPZ15" s="60"/>
      <c r="SQA15" s="60"/>
      <c r="SQB15" s="60"/>
      <c r="SQC15" s="60"/>
      <c r="SQD15" s="60"/>
      <c r="SQE15" s="60"/>
      <c r="SQF15" s="60"/>
      <c r="SQG15" s="60"/>
      <c r="SQH15" s="60"/>
      <c r="SQI15" s="60"/>
      <c r="SQJ15" s="60"/>
      <c r="SQK15" s="60"/>
      <c r="SQL15" s="60"/>
      <c r="SQM15" s="60"/>
      <c r="SQN15" s="60"/>
      <c r="SQO15" s="60"/>
      <c r="SQP15" s="60"/>
      <c r="SQQ15" s="60"/>
      <c r="SQR15" s="60"/>
      <c r="SQS15" s="60"/>
      <c r="SQT15" s="60"/>
      <c r="SQU15" s="60"/>
      <c r="SQV15" s="60"/>
      <c r="SQW15" s="60"/>
      <c r="SQX15" s="60"/>
      <c r="SQY15" s="60"/>
      <c r="SQZ15" s="60"/>
      <c r="SRA15" s="60"/>
      <c r="SRB15" s="60"/>
      <c r="SRC15" s="60"/>
      <c r="SRD15" s="60"/>
      <c r="SRE15" s="60"/>
      <c r="SRF15" s="60"/>
      <c r="SRG15" s="60"/>
      <c r="SRH15" s="60"/>
      <c r="SRI15" s="60"/>
      <c r="SRJ15" s="60"/>
      <c r="SRK15" s="60"/>
      <c r="SRL15" s="60"/>
      <c r="SRM15" s="60"/>
      <c r="SRN15" s="60"/>
      <c r="SRO15" s="60"/>
      <c r="SRP15" s="60"/>
      <c r="SRQ15" s="60"/>
      <c r="SRR15" s="60"/>
      <c r="SRS15" s="60"/>
      <c r="SRT15" s="60"/>
      <c r="SRU15" s="60"/>
      <c r="SRV15" s="60"/>
      <c r="SRW15" s="60"/>
      <c r="SRX15" s="60"/>
      <c r="SRY15" s="60"/>
      <c r="SRZ15" s="60"/>
      <c r="SSA15" s="60"/>
      <c r="SSB15" s="60"/>
      <c r="SSC15" s="60"/>
      <c r="SSD15" s="60"/>
      <c r="SSE15" s="60"/>
      <c r="SSF15" s="60"/>
      <c r="SSG15" s="60"/>
      <c r="SSH15" s="60"/>
      <c r="SSI15" s="60"/>
      <c r="SSJ15" s="60"/>
      <c r="SSK15" s="60"/>
      <c r="SSL15" s="60"/>
      <c r="SSM15" s="60"/>
      <c r="SSN15" s="60"/>
      <c r="SSO15" s="60"/>
      <c r="SSP15" s="60"/>
      <c r="SSQ15" s="60"/>
      <c r="SSR15" s="60"/>
      <c r="SSS15" s="60"/>
      <c r="SST15" s="60"/>
      <c r="SSU15" s="60"/>
      <c r="SSV15" s="60"/>
      <c r="SSW15" s="60"/>
      <c r="SSX15" s="60"/>
      <c r="SSY15" s="60"/>
      <c r="SSZ15" s="60"/>
      <c r="STA15" s="60"/>
      <c r="STB15" s="60"/>
      <c r="STC15" s="60"/>
      <c r="STD15" s="60"/>
      <c r="STE15" s="60"/>
      <c r="STF15" s="60"/>
      <c r="STG15" s="60"/>
      <c r="STH15" s="60"/>
      <c r="STI15" s="60"/>
      <c r="STJ15" s="60"/>
      <c r="STK15" s="60"/>
      <c r="STL15" s="60"/>
      <c r="STM15" s="60"/>
      <c r="STN15" s="60"/>
      <c r="STO15" s="60"/>
      <c r="STP15" s="60"/>
      <c r="STQ15" s="60"/>
      <c r="STR15" s="60"/>
      <c r="STS15" s="60"/>
      <c r="STT15" s="60"/>
      <c r="STU15" s="60"/>
      <c r="STV15" s="60"/>
      <c r="STW15" s="60"/>
      <c r="STX15" s="60"/>
      <c r="STY15" s="60"/>
      <c r="STZ15" s="60"/>
      <c r="SUA15" s="60"/>
      <c r="SUB15" s="60"/>
      <c r="SUC15" s="60"/>
      <c r="SUD15" s="60"/>
      <c r="SUE15" s="60"/>
      <c r="SUF15" s="60"/>
      <c r="SUG15" s="60"/>
      <c r="SUH15" s="60"/>
      <c r="SUI15" s="60"/>
      <c r="SUJ15" s="60"/>
      <c r="SUK15" s="60"/>
      <c r="SUL15" s="60"/>
      <c r="SUM15" s="60"/>
      <c r="SUN15" s="60"/>
      <c r="SUO15" s="60"/>
      <c r="SUP15" s="60"/>
      <c r="SUQ15" s="60"/>
      <c r="SUR15" s="60"/>
      <c r="SUS15" s="60"/>
      <c r="SUT15" s="60"/>
      <c r="SUU15" s="60"/>
      <c r="SUV15" s="60"/>
      <c r="SUW15" s="60"/>
      <c r="SUX15" s="60"/>
      <c r="SUY15" s="60"/>
      <c r="SUZ15" s="60"/>
      <c r="SVA15" s="60"/>
      <c r="SVB15" s="60"/>
      <c r="SVC15" s="60"/>
      <c r="SVD15" s="60"/>
      <c r="SVE15" s="60"/>
      <c r="SVF15" s="60"/>
      <c r="SVG15" s="60"/>
      <c r="SVH15" s="60"/>
      <c r="SVI15" s="60"/>
      <c r="SVJ15" s="60"/>
      <c r="SVK15" s="60"/>
      <c r="SVL15" s="60"/>
      <c r="SVM15" s="60"/>
      <c r="SVN15" s="60"/>
      <c r="SVO15" s="60"/>
      <c r="SVP15" s="60"/>
      <c r="SVQ15" s="60"/>
      <c r="SVR15" s="60"/>
      <c r="SVS15" s="60"/>
      <c r="SVT15" s="60"/>
      <c r="SVU15" s="60"/>
      <c r="SVV15" s="60"/>
      <c r="SVW15" s="60"/>
      <c r="SVX15" s="60"/>
      <c r="SVY15" s="60"/>
      <c r="SVZ15" s="60"/>
      <c r="SWA15" s="60"/>
      <c r="SWB15" s="60"/>
      <c r="SWC15" s="60"/>
      <c r="SWD15" s="60"/>
      <c r="SWE15" s="60"/>
      <c r="SWF15" s="60"/>
      <c r="SWG15" s="60"/>
      <c r="SWH15" s="60"/>
      <c r="SWI15" s="60"/>
      <c r="SWJ15" s="60"/>
      <c r="SWK15" s="60"/>
      <c r="SWL15" s="60"/>
      <c r="SWM15" s="60"/>
      <c r="SWN15" s="60"/>
      <c r="SWO15" s="60"/>
      <c r="SWP15" s="60"/>
      <c r="SWQ15" s="60"/>
      <c r="SWR15" s="60"/>
      <c r="SWS15" s="60"/>
      <c r="SWT15" s="60"/>
      <c r="SWU15" s="60"/>
      <c r="SWV15" s="60"/>
      <c r="SWW15" s="60"/>
      <c r="SWX15" s="60"/>
      <c r="SWY15" s="60"/>
      <c r="SWZ15" s="60"/>
      <c r="SXA15" s="60"/>
      <c r="SXB15" s="60"/>
      <c r="SXC15" s="60"/>
      <c r="SXD15" s="60"/>
      <c r="SXE15" s="60"/>
      <c r="SXF15" s="60"/>
      <c r="SXG15" s="60"/>
      <c r="SXH15" s="60"/>
      <c r="SXI15" s="60"/>
      <c r="SXJ15" s="60"/>
      <c r="SXK15" s="60"/>
      <c r="SXL15" s="60"/>
      <c r="SXM15" s="60"/>
      <c r="SXN15" s="60"/>
      <c r="SXO15" s="60"/>
      <c r="SXP15" s="60"/>
      <c r="SXQ15" s="60"/>
      <c r="SXR15" s="60"/>
      <c r="SXS15" s="60"/>
      <c r="SXT15" s="60"/>
      <c r="SXU15" s="60"/>
      <c r="SXV15" s="60"/>
      <c r="SXW15" s="60"/>
      <c r="SXX15" s="60"/>
      <c r="SXY15" s="60"/>
      <c r="SXZ15" s="60"/>
      <c r="SYA15" s="60"/>
      <c r="SYB15" s="60"/>
      <c r="SYC15" s="60"/>
      <c r="SYD15" s="60"/>
      <c r="SYE15" s="60"/>
      <c r="SYF15" s="60"/>
      <c r="SYG15" s="60"/>
      <c r="SYH15" s="60"/>
      <c r="SYI15" s="60"/>
      <c r="SYJ15" s="60"/>
      <c r="SYK15" s="60"/>
      <c r="SYL15" s="60"/>
      <c r="SYM15" s="60"/>
      <c r="SYN15" s="60"/>
      <c r="SYO15" s="60"/>
      <c r="SYP15" s="60"/>
      <c r="SYQ15" s="60"/>
      <c r="SYR15" s="60"/>
      <c r="SYS15" s="60"/>
      <c r="SYT15" s="60"/>
      <c r="SYU15" s="60"/>
      <c r="SYV15" s="60"/>
      <c r="SYW15" s="60"/>
      <c r="SYX15" s="60"/>
      <c r="SYY15" s="60"/>
      <c r="SYZ15" s="60"/>
      <c r="SZA15" s="60"/>
      <c r="SZB15" s="60"/>
      <c r="SZC15" s="60"/>
      <c r="SZD15" s="60"/>
      <c r="SZE15" s="60"/>
      <c r="SZF15" s="60"/>
      <c r="SZG15" s="60"/>
      <c r="SZH15" s="60"/>
      <c r="SZI15" s="60"/>
      <c r="SZJ15" s="60"/>
      <c r="SZK15" s="60"/>
      <c r="SZL15" s="60"/>
      <c r="SZM15" s="60"/>
      <c r="SZN15" s="60"/>
      <c r="SZO15" s="60"/>
      <c r="SZP15" s="60"/>
      <c r="SZQ15" s="60"/>
      <c r="SZR15" s="60"/>
      <c r="SZS15" s="60"/>
      <c r="SZT15" s="60"/>
      <c r="SZU15" s="60"/>
      <c r="SZV15" s="60"/>
      <c r="SZW15" s="60"/>
      <c r="SZX15" s="60"/>
      <c r="SZY15" s="60"/>
      <c r="SZZ15" s="60"/>
      <c r="TAA15" s="60"/>
      <c r="TAB15" s="60"/>
      <c r="TAC15" s="60"/>
      <c r="TAD15" s="60"/>
      <c r="TAE15" s="60"/>
      <c r="TAF15" s="60"/>
      <c r="TAG15" s="60"/>
      <c r="TAH15" s="60"/>
      <c r="TAI15" s="60"/>
      <c r="TAJ15" s="60"/>
      <c r="TAK15" s="60"/>
      <c r="TAL15" s="60"/>
      <c r="TAM15" s="60"/>
      <c r="TAN15" s="60"/>
      <c r="TAO15" s="60"/>
      <c r="TAP15" s="60"/>
      <c r="TAQ15" s="60"/>
      <c r="TAR15" s="60"/>
      <c r="TAS15" s="60"/>
      <c r="TAT15" s="60"/>
      <c r="TAU15" s="60"/>
      <c r="TAV15" s="60"/>
      <c r="TAW15" s="60"/>
      <c r="TAX15" s="60"/>
      <c r="TAY15" s="60"/>
      <c r="TAZ15" s="60"/>
      <c r="TBA15" s="60"/>
      <c r="TBB15" s="60"/>
      <c r="TBC15" s="60"/>
      <c r="TBD15" s="60"/>
      <c r="TBE15" s="60"/>
      <c r="TBF15" s="60"/>
      <c r="TBG15" s="60"/>
      <c r="TBH15" s="60"/>
      <c r="TBI15" s="60"/>
      <c r="TBJ15" s="60"/>
      <c r="TBK15" s="60"/>
      <c r="TBL15" s="60"/>
      <c r="TBM15" s="60"/>
      <c r="TBN15" s="60"/>
      <c r="TBO15" s="60"/>
      <c r="TBP15" s="60"/>
      <c r="TBQ15" s="60"/>
      <c r="TBR15" s="60"/>
      <c r="TBS15" s="60"/>
      <c r="TBT15" s="60"/>
      <c r="TBU15" s="60"/>
      <c r="TBV15" s="60"/>
      <c r="TBW15" s="60"/>
      <c r="TBX15" s="60"/>
      <c r="TBY15" s="60"/>
      <c r="TBZ15" s="60"/>
      <c r="TCA15" s="60"/>
      <c r="TCB15" s="60"/>
      <c r="TCC15" s="60"/>
      <c r="TCD15" s="60"/>
      <c r="TCE15" s="60"/>
      <c r="TCF15" s="60"/>
      <c r="TCG15" s="60"/>
      <c r="TCH15" s="60"/>
      <c r="TCI15" s="60"/>
      <c r="TCJ15" s="60"/>
      <c r="TCK15" s="60"/>
      <c r="TCL15" s="60"/>
      <c r="TCM15" s="60"/>
      <c r="TCN15" s="60"/>
      <c r="TCO15" s="60"/>
      <c r="TCP15" s="60"/>
      <c r="TCQ15" s="60"/>
      <c r="TCR15" s="60"/>
      <c r="TCS15" s="60"/>
      <c r="TCT15" s="60"/>
      <c r="TCU15" s="60"/>
      <c r="TCV15" s="60"/>
      <c r="TCW15" s="60"/>
      <c r="TCX15" s="60"/>
      <c r="TCY15" s="60"/>
      <c r="TCZ15" s="60"/>
      <c r="TDA15" s="60"/>
      <c r="TDB15" s="60"/>
      <c r="TDC15" s="60"/>
      <c r="TDD15" s="60"/>
      <c r="TDE15" s="60"/>
      <c r="TDF15" s="60"/>
      <c r="TDG15" s="60"/>
      <c r="TDH15" s="60"/>
      <c r="TDI15" s="60"/>
      <c r="TDJ15" s="60"/>
      <c r="TDK15" s="60"/>
      <c r="TDL15" s="60"/>
      <c r="TDM15" s="60"/>
      <c r="TDN15" s="60"/>
      <c r="TDO15" s="60"/>
      <c r="TDP15" s="60"/>
      <c r="TDQ15" s="60"/>
      <c r="TDR15" s="60"/>
      <c r="TDS15" s="60"/>
      <c r="TDT15" s="60"/>
      <c r="TDU15" s="60"/>
      <c r="TDV15" s="60"/>
      <c r="TDW15" s="60"/>
      <c r="TDX15" s="60"/>
      <c r="TDY15" s="60"/>
      <c r="TDZ15" s="60"/>
      <c r="TEA15" s="60"/>
      <c r="TEB15" s="60"/>
      <c r="TEC15" s="60"/>
      <c r="TED15" s="60"/>
      <c r="TEE15" s="60"/>
      <c r="TEF15" s="60"/>
      <c r="TEG15" s="60"/>
      <c r="TEH15" s="60"/>
      <c r="TEI15" s="60"/>
      <c r="TEJ15" s="60"/>
      <c r="TEK15" s="60"/>
      <c r="TEL15" s="60"/>
      <c r="TEM15" s="60"/>
      <c r="TEN15" s="60"/>
      <c r="TEO15" s="60"/>
      <c r="TEP15" s="60"/>
      <c r="TEQ15" s="60"/>
      <c r="TER15" s="60"/>
      <c r="TES15" s="60"/>
      <c r="TET15" s="60"/>
      <c r="TEU15" s="60"/>
      <c r="TEV15" s="60"/>
      <c r="TEW15" s="60"/>
      <c r="TEX15" s="60"/>
      <c r="TEY15" s="60"/>
      <c r="TEZ15" s="60"/>
      <c r="TFA15" s="60"/>
      <c r="TFB15" s="60"/>
      <c r="TFC15" s="60"/>
      <c r="TFD15" s="60"/>
      <c r="TFE15" s="60"/>
      <c r="TFF15" s="60"/>
      <c r="TFG15" s="60"/>
      <c r="TFH15" s="60"/>
      <c r="TFI15" s="60"/>
      <c r="TFJ15" s="60"/>
      <c r="TFK15" s="60"/>
      <c r="TFL15" s="60"/>
      <c r="TFM15" s="60"/>
      <c r="TFN15" s="60"/>
      <c r="TFO15" s="60"/>
      <c r="TFP15" s="60"/>
      <c r="TFQ15" s="60"/>
      <c r="TFR15" s="60"/>
      <c r="TFS15" s="60"/>
      <c r="TFT15" s="60"/>
      <c r="TFU15" s="60"/>
      <c r="TFV15" s="60"/>
      <c r="TFW15" s="60"/>
      <c r="TFX15" s="60"/>
      <c r="TFY15" s="60"/>
      <c r="TFZ15" s="60"/>
      <c r="TGA15" s="60"/>
      <c r="TGB15" s="60"/>
      <c r="TGC15" s="60"/>
      <c r="TGD15" s="60"/>
      <c r="TGE15" s="60"/>
      <c r="TGF15" s="60"/>
      <c r="TGG15" s="60"/>
      <c r="TGH15" s="60"/>
      <c r="TGI15" s="60"/>
      <c r="TGJ15" s="60"/>
      <c r="TGK15" s="60"/>
      <c r="TGL15" s="60"/>
      <c r="TGM15" s="60"/>
      <c r="TGN15" s="60"/>
      <c r="TGO15" s="60"/>
      <c r="TGP15" s="60"/>
      <c r="TGQ15" s="60"/>
      <c r="TGR15" s="60"/>
      <c r="TGS15" s="60"/>
      <c r="TGT15" s="60"/>
      <c r="TGU15" s="60"/>
      <c r="TGV15" s="60"/>
      <c r="TGW15" s="60"/>
      <c r="TGX15" s="60"/>
      <c r="TGY15" s="60"/>
      <c r="TGZ15" s="60"/>
      <c r="THA15" s="60"/>
      <c r="THB15" s="60"/>
      <c r="THC15" s="60"/>
      <c r="THD15" s="60"/>
      <c r="THE15" s="60"/>
      <c r="THF15" s="60"/>
      <c r="THG15" s="60"/>
      <c r="THH15" s="60"/>
      <c r="THI15" s="60"/>
      <c r="THJ15" s="60"/>
      <c r="THK15" s="60"/>
      <c r="THL15" s="60"/>
      <c r="THM15" s="60"/>
      <c r="THN15" s="60"/>
      <c r="THO15" s="60"/>
      <c r="THP15" s="60"/>
      <c r="THQ15" s="60"/>
      <c r="THR15" s="60"/>
      <c r="THS15" s="60"/>
      <c r="THT15" s="60"/>
      <c r="THU15" s="60"/>
      <c r="THV15" s="60"/>
      <c r="THW15" s="60"/>
      <c r="THX15" s="60"/>
      <c r="THY15" s="60"/>
      <c r="THZ15" s="60"/>
      <c r="TIA15" s="60"/>
      <c r="TIB15" s="60"/>
      <c r="TIC15" s="60"/>
      <c r="TID15" s="60"/>
      <c r="TIE15" s="60"/>
      <c r="TIF15" s="60"/>
      <c r="TIG15" s="60"/>
      <c r="TIH15" s="60"/>
      <c r="TII15" s="60"/>
      <c r="TIJ15" s="60"/>
      <c r="TIK15" s="60"/>
      <c r="TIL15" s="60"/>
      <c r="TIM15" s="60"/>
      <c r="TIN15" s="60"/>
      <c r="TIO15" s="60"/>
      <c r="TIP15" s="60"/>
      <c r="TIQ15" s="60"/>
      <c r="TIR15" s="60"/>
      <c r="TIS15" s="60"/>
      <c r="TIT15" s="60"/>
      <c r="TIU15" s="60"/>
      <c r="TIV15" s="60"/>
      <c r="TIW15" s="60"/>
      <c r="TIX15" s="60"/>
      <c r="TIY15" s="60"/>
      <c r="TIZ15" s="60"/>
      <c r="TJA15" s="60"/>
      <c r="TJB15" s="60"/>
      <c r="TJC15" s="60"/>
      <c r="TJD15" s="60"/>
      <c r="TJE15" s="60"/>
      <c r="TJF15" s="60"/>
      <c r="TJG15" s="60"/>
      <c r="TJH15" s="60"/>
      <c r="TJI15" s="60"/>
      <c r="TJJ15" s="60"/>
      <c r="TJK15" s="60"/>
      <c r="TJL15" s="60"/>
      <c r="TJM15" s="60"/>
      <c r="TJN15" s="60"/>
      <c r="TJO15" s="60"/>
      <c r="TJP15" s="60"/>
      <c r="TJQ15" s="60"/>
      <c r="TJR15" s="60"/>
      <c r="TJS15" s="60"/>
      <c r="TJT15" s="60"/>
      <c r="TJU15" s="60"/>
      <c r="TJV15" s="60"/>
      <c r="TJW15" s="60"/>
      <c r="TJX15" s="60"/>
      <c r="TJY15" s="60"/>
      <c r="TJZ15" s="60"/>
      <c r="TKA15" s="60"/>
      <c r="TKB15" s="60"/>
      <c r="TKC15" s="60"/>
      <c r="TKD15" s="60"/>
      <c r="TKE15" s="60"/>
      <c r="TKF15" s="60"/>
      <c r="TKG15" s="60"/>
      <c r="TKH15" s="60"/>
      <c r="TKI15" s="60"/>
      <c r="TKJ15" s="60"/>
      <c r="TKK15" s="60"/>
      <c r="TKL15" s="60"/>
      <c r="TKM15" s="60"/>
      <c r="TKN15" s="60"/>
      <c r="TKO15" s="60"/>
      <c r="TKP15" s="60"/>
      <c r="TKQ15" s="60"/>
      <c r="TKR15" s="60"/>
      <c r="TKS15" s="60"/>
      <c r="TKT15" s="60"/>
      <c r="TKU15" s="60"/>
      <c r="TKV15" s="60"/>
      <c r="TKW15" s="60"/>
      <c r="TKX15" s="60"/>
      <c r="TKY15" s="60"/>
      <c r="TKZ15" s="60"/>
      <c r="TLA15" s="60"/>
      <c r="TLB15" s="60"/>
      <c r="TLC15" s="60"/>
      <c r="TLD15" s="60"/>
      <c r="TLE15" s="60"/>
      <c r="TLF15" s="60"/>
      <c r="TLG15" s="60"/>
      <c r="TLH15" s="60"/>
      <c r="TLI15" s="60"/>
      <c r="TLJ15" s="60"/>
      <c r="TLK15" s="60"/>
      <c r="TLL15" s="60"/>
      <c r="TLM15" s="60"/>
      <c r="TLN15" s="60"/>
      <c r="TLO15" s="60"/>
      <c r="TLP15" s="60"/>
      <c r="TLQ15" s="60"/>
      <c r="TLR15" s="60"/>
      <c r="TLS15" s="60"/>
      <c r="TLT15" s="60"/>
      <c r="TLU15" s="60"/>
      <c r="TLV15" s="60"/>
      <c r="TLW15" s="60"/>
      <c r="TLX15" s="60"/>
      <c r="TLY15" s="60"/>
      <c r="TLZ15" s="60"/>
      <c r="TMA15" s="60"/>
      <c r="TMB15" s="60"/>
      <c r="TMC15" s="60"/>
      <c r="TMD15" s="60"/>
      <c r="TME15" s="60"/>
      <c r="TMF15" s="60"/>
      <c r="TMG15" s="60"/>
      <c r="TMH15" s="60"/>
      <c r="TMI15" s="60"/>
      <c r="TMJ15" s="60"/>
      <c r="TMK15" s="60"/>
      <c r="TML15" s="60"/>
      <c r="TMM15" s="60"/>
      <c r="TMN15" s="60"/>
      <c r="TMO15" s="60"/>
      <c r="TMP15" s="60"/>
      <c r="TMQ15" s="60"/>
      <c r="TMR15" s="60"/>
      <c r="TMS15" s="60"/>
      <c r="TMT15" s="60"/>
      <c r="TMU15" s="60"/>
      <c r="TMV15" s="60"/>
      <c r="TMW15" s="60"/>
      <c r="TMX15" s="60"/>
      <c r="TMY15" s="60"/>
      <c r="TMZ15" s="60"/>
      <c r="TNA15" s="60"/>
      <c r="TNB15" s="60"/>
      <c r="TNC15" s="60"/>
      <c r="TND15" s="60"/>
      <c r="TNE15" s="60"/>
      <c r="TNF15" s="60"/>
      <c r="TNG15" s="60"/>
      <c r="TNH15" s="60"/>
      <c r="TNI15" s="60"/>
      <c r="TNJ15" s="60"/>
      <c r="TNK15" s="60"/>
      <c r="TNL15" s="60"/>
      <c r="TNM15" s="60"/>
      <c r="TNN15" s="60"/>
      <c r="TNO15" s="60"/>
      <c r="TNP15" s="60"/>
      <c r="TNQ15" s="60"/>
      <c r="TNR15" s="60"/>
      <c r="TNS15" s="60"/>
      <c r="TNT15" s="60"/>
      <c r="TNU15" s="60"/>
      <c r="TNV15" s="60"/>
      <c r="TNW15" s="60"/>
      <c r="TNX15" s="60"/>
      <c r="TNY15" s="60"/>
      <c r="TNZ15" s="60"/>
      <c r="TOA15" s="60"/>
      <c r="TOB15" s="60"/>
      <c r="TOC15" s="60"/>
      <c r="TOD15" s="60"/>
      <c r="TOE15" s="60"/>
      <c r="TOF15" s="60"/>
      <c r="TOG15" s="60"/>
      <c r="TOH15" s="60"/>
      <c r="TOI15" s="60"/>
      <c r="TOJ15" s="60"/>
      <c r="TOK15" s="60"/>
      <c r="TOL15" s="60"/>
      <c r="TOM15" s="60"/>
      <c r="TON15" s="60"/>
      <c r="TOO15" s="60"/>
      <c r="TOP15" s="60"/>
      <c r="TOQ15" s="60"/>
      <c r="TOR15" s="60"/>
      <c r="TOS15" s="60"/>
      <c r="TOT15" s="60"/>
      <c r="TOU15" s="60"/>
      <c r="TOV15" s="60"/>
      <c r="TOW15" s="60"/>
      <c r="TOX15" s="60"/>
      <c r="TOY15" s="60"/>
      <c r="TOZ15" s="60"/>
      <c r="TPA15" s="60"/>
      <c r="TPB15" s="60"/>
      <c r="TPC15" s="60"/>
      <c r="TPD15" s="60"/>
      <c r="TPE15" s="60"/>
      <c r="TPF15" s="60"/>
      <c r="TPG15" s="60"/>
      <c r="TPH15" s="60"/>
      <c r="TPI15" s="60"/>
      <c r="TPJ15" s="60"/>
      <c r="TPK15" s="60"/>
      <c r="TPL15" s="60"/>
      <c r="TPM15" s="60"/>
      <c r="TPN15" s="60"/>
      <c r="TPO15" s="60"/>
      <c r="TPP15" s="60"/>
      <c r="TPQ15" s="60"/>
      <c r="TPR15" s="60"/>
      <c r="TPS15" s="60"/>
      <c r="TPT15" s="60"/>
      <c r="TPU15" s="60"/>
      <c r="TPV15" s="60"/>
      <c r="TPW15" s="60"/>
      <c r="TPX15" s="60"/>
      <c r="TPY15" s="60"/>
      <c r="TPZ15" s="60"/>
      <c r="TQA15" s="60"/>
      <c r="TQB15" s="60"/>
      <c r="TQC15" s="60"/>
      <c r="TQD15" s="60"/>
      <c r="TQE15" s="60"/>
      <c r="TQF15" s="60"/>
      <c r="TQG15" s="60"/>
      <c r="TQH15" s="60"/>
      <c r="TQI15" s="60"/>
      <c r="TQJ15" s="60"/>
      <c r="TQK15" s="60"/>
      <c r="TQL15" s="60"/>
      <c r="TQM15" s="60"/>
      <c r="TQN15" s="60"/>
      <c r="TQO15" s="60"/>
      <c r="TQP15" s="60"/>
      <c r="TQQ15" s="60"/>
      <c r="TQR15" s="60"/>
      <c r="TQS15" s="60"/>
      <c r="TQT15" s="60"/>
      <c r="TQU15" s="60"/>
      <c r="TQV15" s="60"/>
      <c r="TQW15" s="60"/>
      <c r="TQX15" s="60"/>
      <c r="TQY15" s="60"/>
      <c r="TQZ15" s="60"/>
      <c r="TRA15" s="60"/>
      <c r="TRB15" s="60"/>
      <c r="TRC15" s="60"/>
      <c r="TRD15" s="60"/>
      <c r="TRE15" s="60"/>
      <c r="TRF15" s="60"/>
      <c r="TRG15" s="60"/>
      <c r="TRH15" s="60"/>
      <c r="TRI15" s="60"/>
      <c r="TRJ15" s="60"/>
      <c r="TRK15" s="60"/>
      <c r="TRL15" s="60"/>
      <c r="TRM15" s="60"/>
      <c r="TRN15" s="60"/>
      <c r="TRO15" s="60"/>
      <c r="TRP15" s="60"/>
      <c r="TRQ15" s="60"/>
      <c r="TRR15" s="60"/>
      <c r="TRS15" s="60"/>
      <c r="TRT15" s="60"/>
      <c r="TRU15" s="60"/>
      <c r="TRV15" s="60"/>
      <c r="TRW15" s="60"/>
      <c r="TRX15" s="60"/>
      <c r="TRY15" s="60"/>
      <c r="TRZ15" s="60"/>
      <c r="TSA15" s="60"/>
      <c r="TSB15" s="60"/>
      <c r="TSC15" s="60"/>
      <c r="TSD15" s="60"/>
      <c r="TSE15" s="60"/>
      <c r="TSF15" s="60"/>
      <c r="TSG15" s="60"/>
      <c r="TSH15" s="60"/>
      <c r="TSI15" s="60"/>
      <c r="TSJ15" s="60"/>
      <c r="TSK15" s="60"/>
      <c r="TSL15" s="60"/>
      <c r="TSM15" s="60"/>
      <c r="TSN15" s="60"/>
      <c r="TSO15" s="60"/>
      <c r="TSP15" s="60"/>
      <c r="TSQ15" s="60"/>
      <c r="TSR15" s="60"/>
      <c r="TSS15" s="60"/>
      <c r="TST15" s="60"/>
      <c r="TSU15" s="60"/>
      <c r="TSV15" s="60"/>
      <c r="TSW15" s="60"/>
      <c r="TSX15" s="60"/>
      <c r="TSY15" s="60"/>
      <c r="TSZ15" s="60"/>
      <c r="TTA15" s="60"/>
      <c r="TTB15" s="60"/>
      <c r="TTC15" s="60"/>
      <c r="TTD15" s="60"/>
      <c r="TTE15" s="60"/>
      <c r="TTF15" s="60"/>
      <c r="TTG15" s="60"/>
      <c r="TTH15" s="60"/>
      <c r="TTI15" s="60"/>
      <c r="TTJ15" s="60"/>
      <c r="TTK15" s="60"/>
      <c r="TTL15" s="60"/>
      <c r="TTM15" s="60"/>
      <c r="TTN15" s="60"/>
      <c r="TTO15" s="60"/>
      <c r="TTP15" s="60"/>
      <c r="TTQ15" s="60"/>
      <c r="TTR15" s="60"/>
      <c r="TTS15" s="60"/>
      <c r="TTT15" s="60"/>
      <c r="TTU15" s="60"/>
      <c r="TTV15" s="60"/>
      <c r="TTW15" s="60"/>
      <c r="TTX15" s="60"/>
      <c r="TTY15" s="60"/>
      <c r="TTZ15" s="60"/>
      <c r="TUA15" s="60"/>
      <c r="TUB15" s="60"/>
      <c r="TUC15" s="60"/>
      <c r="TUD15" s="60"/>
      <c r="TUE15" s="60"/>
      <c r="TUF15" s="60"/>
      <c r="TUG15" s="60"/>
      <c r="TUH15" s="60"/>
      <c r="TUI15" s="60"/>
      <c r="TUJ15" s="60"/>
      <c r="TUK15" s="60"/>
      <c r="TUL15" s="60"/>
      <c r="TUM15" s="60"/>
      <c r="TUN15" s="60"/>
      <c r="TUO15" s="60"/>
      <c r="TUP15" s="60"/>
      <c r="TUQ15" s="60"/>
      <c r="TUR15" s="60"/>
      <c r="TUS15" s="60"/>
      <c r="TUT15" s="60"/>
      <c r="TUU15" s="60"/>
      <c r="TUV15" s="60"/>
      <c r="TUW15" s="60"/>
      <c r="TUX15" s="60"/>
      <c r="TUY15" s="60"/>
      <c r="TUZ15" s="60"/>
      <c r="TVA15" s="60"/>
      <c r="TVB15" s="60"/>
      <c r="TVC15" s="60"/>
      <c r="TVD15" s="60"/>
      <c r="TVE15" s="60"/>
      <c r="TVF15" s="60"/>
      <c r="TVG15" s="60"/>
      <c r="TVH15" s="60"/>
      <c r="TVI15" s="60"/>
      <c r="TVJ15" s="60"/>
      <c r="TVK15" s="60"/>
      <c r="TVL15" s="60"/>
      <c r="TVM15" s="60"/>
      <c r="TVN15" s="60"/>
      <c r="TVO15" s="60"/>
      <c r="TVP15" s="60"/>
      <c r="TVQ15" s="60"/>
      <c r="TVR15" s="60"/>
      <c r="TVS15" s="60"/>
      <c r="TVT15" s="60"/>
      <c r="TVU15" s="60"/>
      <c r="TVV15" s="60"/>
      <c r="TVW15" s="60"/>
      <c r="TVX15" s="60"/>
      <c r="TVY15" s="60"/>
      <c r="TVZ15" s="60"/>
      <c r="TWA15" s="60"/>
      <c r="TWB15" s="60"/>
      <c r="TWC15" s="60"/>
      <c r="TWD15" s="60"/>
      <c r="TWE15" s="60"/>
      <c r="TWF15" s="60"/>
      <c r="TWG15" s="60"/>
      <c r="TWH15" s="60"/>
      <c r="TWI15" s="60"/>
      <c r="TWJ15" s="60"/>
      <c r="TWK15" s="60"/>
      <c r="TWL15" s="60"/>
      <c r="TWM15" s="60"/>
      <c r="TWN15" s="60"/>
      <c r="TWO15" s="60"/>
      <c r="TWP15" s="60"/>
      <c r="TWQ15" s="60"/>
      <c r="TWR15" s="60"/>
      <c r="TWS15" s="60"/>
      <c r="TWT15" s="60"/>
      <c r="TWU15" s="60"/>
      <c r="TWV15" s="60"/>
      <c r="TWW15" s="60"/>
      <c r="TWX15" s="60"/>
      <c r="TWY15" s="60"/>
      <c r="TWZ15" s="60"/>
      <c r="TXA15" s="60"/>
      <c r="TXB15" s="60"/>
      <c r="TXC15" s="60"/>
      <c r="TXD15" s="60"/>
      <c r="TXE15" s="60"/>
      <c r="TXF15" s="60"/>
      <c r="TXG15" s="60"/>
      <c r="TXH15" s="60"/>
      <c r="TXI15" s="60"/>
      <c r="TXJ15" s="60"/>
      <c r="TXK15" s="60"/>
      <c r="TXL15" s="60"/>
      <c r="TXM15" s="60"/>
      <c r="TXN15" s="60"/>
      <c r="TXO15" s="60"/>
      <c r="TXP15" s="60"/>
      <c r="TXQ15" s="60"/>
      <c r="TXR15" s="60"/>
      <c r="TXS15" s="60"/>
      <c r="TXT15" s="60"/>
      <c r="TXU15" s="60"/>
      <c r="TXV15" s="60"/>
      <c r="TXW15" s="60"/>
      <c r="TXX15" s="60"/>
      <c r="TXY15" s="60"/>
      <c r="TXZ15" s="60"/>
      <c r="TYA15" s="60"/>
      <c r="TYB15" s="60"/>
      <c r="TYC15" s="60"/>
      <c r="TYD15" s="60"/>
      <c r="TYE15" s="60"/>
      <c r="TYF15" s="60"/>
      <c r="TYG15" s="60"/>
      <c r="TYH15" s="60"/>
      <c r="TYI15" s="60"/>
      <c r="TYJ15" s="60"/>
      <c r="TYK15" s="60"/>
      <c r="TYL15" s="60"/>
      <c r="TYM15" s="60"/>
      <c r="TYN15" s="60"/>
      <c r="TYO15" s="60"/>
      <c r="TYP15" s="60"/>
      <c r="TYQ15" s="60"/>
      <c r="TYR15" s="60"/>
      <c r="TYS15" s="60"/>
      <c r="TYT15" s="60"/>
      <c r="TYU15" s="60"/>
      <c r="TYV15" s="60"/>
      <c r="TYW15" s="60"/>
      <c r="TYX15" s="60"/>
      <c r="TYY15" s="60"/>
      <c r="TYZ15" s="60"/>
      <c r="TZA15" s="60"/>
      <c r="TZB15" s="60"/>
      <c r="TZC15" s="60"/>
      <c r="TZD15" s="60"/>
      <c r="TZE15" s="60"/>
      <c r="TZF15" s="60"/>
      <c r="TZG15" s="60"/>
      <c r="TZH15" s="60"/>
      <c r="TZI15" s="60"/>
      <c r="TZJ15" s="60"/>
      <c r="TZK15" s="60"/>
      <c r="TZL15" s="60"/>
      <c r="TZM15" s="60"/>
      <c r="TZN15" s="60"/>
      <c r="TZO15" s="60"/>
      <c r="TZP15" s="60"/>
      <c r="TZQ15" s="60"/>
      <c r="TZR15" s="60"/>
      <c r="TZS15" s="60"/>
      <c r="TZT15" s="60"/>
      <c r="TZU15" s="60"/>
      <c r="TZV15" s="60"/>
      <c r="TZW15" s="60"/>
      <c r="TZX15" s="60"/>
      <c r="TZY15" s="60"/>
      <c r="TZZ15" s="60"/>
      <c r="UAA15" s="60"/>
      <c r="UAB15" s="60"/>
      <c r="UAC15" s="60"/>
      <c r="UAD15" s="60"/>
      <c r="UAE15" s="60"/>
      <c r="UAF15" s="60"/>
      <c r="UAG15" s="60"/>
      <c r="UAH15" s="60"/>
      <c r="UAI15" s="60"/>
      <c r="UAJ15" s="60"/>
      <c r="UAK15" s="60"/>
      <c r="UAL15" s="60"/>
      <c r="UAM15" s="60"/>
      <c r="UAN15" s="60"/>
      <c r="UAO15" s="60"/>
      <c r="UAP15" s="60"/>
      <c r="UAQ15" s="60"/>
      <c r="UAR15" s="60"/>
      <c r="UAS15" s="60"/>
      <c r="UAT15" s="60"/>
      <c r="UAU15" s="60"/>
      <c r="UAV15" s="60"/>
      <c r="UAW15" s="60"/>
      <c r="UAX15" s="60"/>
      <c r="UAY15" s="60"/>
      <c r="UAZ15" s="60"/>
      <c r="UBA15" s="60"/>
      <c r="UBB15" s="60"/>
      <c r="UBC15" s="60"/>
      <c r="UBD15" s="60"/>
      <c r="UBE15" s="60"/>
      <c r="UBF15" s="60"/>
      <c r="UBG15" s="60"/>
      <c r="UBH15" s="60"/>
      <c r="UBI15" s="60"/>
      <c r="UBJ15" s="60"/>
      <c r="UBK15" s="60"/>
      <c r="UBL15" s="60"/>
      <c r="UBM15" s="60"/>
      <c r="UBN15" s="60"/>
      <c r="UBO15" s="60"/>
      <c r="UBP15" s="60"/>
      <c r="UBQ15" s="60"/>
      <c r="UBR15" s="60"/>
      <c r="UBS15" s="60"/>
      <c r="UBT15" s="60"/>
      <c r="UBU15" s="60"/>
      <c r="UBV15" s="60"/>
      <c r="UBW15" s="60"/>
      <c r="UBX15" s="60"/>
      <c r="UBY15" s="60"/>
      <c r="UBZ15" s="60"/>
      <c r="UCA15" s="60"/>
      <c r="UCB15" s="60"/>
      <c r="UCC15" s="60"/>
      <c r="UCD15" s="60"/>
      <c r="UCE15" s="60"/>
      <c r="UCF15" s="60"/>
      <c r="UCG15" s="60"/>
      <c r="UCH15" s="60"/>
      <c r="UCI15" s="60"/>
      <c r="UCJ15" s="60"/>
      <c r="UCK15" s="60"/>
      <c r="UCL15" s="60"/>
      <c r="UCM15" s="60"/>
      <c r="UCN15" s="60"/>
      <c r="UCO15" s="60"/>
      <c r="UCP15" s="60"/>
      <c r="UCQ15" s="60"/>
      <c r="UCR15" s="60"/>
      <c r="UCS15" s="60"/>
      <c r="UCT15" s="60"/>
      <c r="UCU15" s="60"/>
      <c r="UCV15" s="60"/>
      <c r="UCW15" s="60"/>
      <c r="UCX15" s="60"/>
      <c r="UCY15" s="60"/>
      <c r="UCZ15" s="60"/>
      <c r="UDA15" s="60"/>
      <c r="UDB15" s="60"/>
      <c r="UDC15" s="60"/>
      <c r="UDD15" s="60"/>
      <c r="UDE15" s="60"/>
      <c r="UDF15" s="60"/>
      <c r="UDG15" s="60"/>
      <c r="UDH15" s="60"/>
      <c r="UDI15" s="60"/>
      <c r="UDJ15" s="60"/>
      <c r="UDK15" s="60"/>
      <c r="UDL15" s="60"/>
      <c r="UDM15" s="60"/>
      <c r="UDN15" s="60"/>
      <c r="UDO15" s="60"/>
      <c r="UDP15" s="60"/>
      <c r="UDQ15" s="60"/>
      <c r="UDR15" s="60"/>
      <c r="UDS15" s="60"/>
      <c r="UDT15" s="60"/>
      <c r="UDU15" s="60"/>
      <c r="UDV15" s="60"/>
      <c r="UDW15" s="60"/>
      <c r="UDX15" s="60"/>
      <c r="UDY15" s="60"/>
      <c r="UDZ15" s="60"/>
      <c r="UEA15" s="60"/>
      <c r="UEB15" s="60"/>
      <c r="UEC15" s="60"/>
      <c r="UED15" s="60"/>
      <c r="UEE15" s="60"/>
      <c r="UEF15" s="60"/>
      <c r="UEG15" s="60"/>
      <c r="UEH15" s="60"/>
      <c r="UEI15" s="60"/>
      <c r="UEJ15" s="60"/>
      <c r="UEK15" s="60"/>
      <c r="UEL15" s="60"/>
      <c r="UEM15" s="60"/>
      <c r="UEN15" s="60"/>
      <c r="UEO15" s="60"/>
      <c r="UEP15" s="60"/>
      <c r="UEQ15" s="60"/>
      <c r="UER15" s="60"/>
      <c r="UES15" s="60"/>
      <c r="UET15" s="60"/>
      <c r="UEU15" s="60"/>
      <c r="UEV15" s="60"/>
      <c r="UEW15" s="60"/>
      <c r="UEX15" s="60"/>
      <c r="UEY15" s="60"/>
      <c r="UEZ15" s="60"/>
      <c r="UFA15" s="60"/>
      <c r="UFB15" s="60"/>
      <c r="UFC15" s="60"/>
      <c r="UFD15" s="60"/>
      <c r="UFE15" s="60"/>
      <c r="UFF15" s="60"/>
      <c r="UFG15" s="60"/>
      <c r="UFH15" s="60"/>
      <c r="UFI15" s="60"/>
      <c r="UFJ15" s="60"/>
      <c r="UFK15" s="60"/>
      <c r="UFL15" s="60"/>
      <c r="UFM15" s="60"/>
      <c r="UFN15" s="60"/>
      <c r="UFO15" s="60"/>
      <c r="UFP15" s="60"/>
      <c r="UFQ15" s="60"/>
      <c r="UFR15" s="60"/>
      <c r="UFS15" s="60"/>
      <c r="UFT15" s="60"/>
      <c r="UFU15" s="60"/>
      <c r="UFV15" s="60"/>
      <c r="UFW15" s="60"/>
      <c r="UFX15" s="60"/>
      <c r="UFY15" s="60"/>
      <c r="UFZ15" s="60"/>
      <c r="UGA15" s="60"/>
      <c r="UGB15" s="60"/>
      <c r="UGC15" s="60"/>
      <c r="UGD15" s="60"/>
      <c r="UGE15" s="60"/>
      <c r="UGF15" s="60"/>
      <c r="UGG15" s="60"/>
      <c r="UGH15" s="60"/>
      <c r="UGI15" s="60"/>
      <c r="UGJ15" s="60"/>
      <c r="UGK15" s="60"/>
      <c r="UGL15" s="60"/>
      <c r="UGM15" s="60"/>
      <c r="UGN15" s="60"/>
      <c r="UGO15" s="60"/>
      <c r="UGP15" s="60"/>
      <c r="UGQ15" s="60"/>
      <c r="UGR15" s="60"/>
      <c r="UGS15" s="60"/>
      <c r="UGT15" s="60"/>
      <c r="UGU15" s="60"/>
      <c r="UGV15" s="60"/>
      <c r="UGW15" s="60"/>
      <c r="UGX15" s="60"/>
      <c r="UGY15" s="60"/>
      <c r="UGZ15" s="60"/>
      <c r="UHA15" s="60"/>
      <c r="UHB15" s="60"/>
      <c r="UHC15" s="60"/>
      <c r="UHD15" s="60"/>
      <c r="UHE15" s="60"/>
      <c r="UHF15" s="60"/>
      <c r="UHG15" s="60"/>
      <c r="UHH15" s="60"/>
      <c r="UHI15" s="60"/>
      <c r="UHJ15" s="60"/>
      <c r="UHK15" s="60"/>
      <c r="UHL15" s="60"/>
      <c r="UHM15" s="60"/>
      <c r="UHN15" s="60"/>
      <c r="UHO15" s="60"/>
      <c r="UHP15" s="60"/>
      <c r="UHQ15" s="60"/>
      <c r="UHR15" s="60"/>
      <c r="UHS15" s="60"/>
      <c r="UHT15" s="60"/>
      <c r="UHU15" s="60"/>
      <c r="UHV15" s="60"/>
      <c r="UHW15" s="60"/>
      <c r="UHX15" s="60"/>
      <c r="UHY15" s="60"/>
      <c r="UHZ15" s="60"/>
      <c r="UIA15" s="60"/>
      <c r="UIB15" s="60"/>
      <c r="UIC15" s="60"/>
      <c r="UID15" s="60"/>
      <c r="UIE15" s="60"/>
      <c r="UIF15" s="60"/>
      <c r="UIG15" s="60"/>
      <c r="UIH15" s="60"/>
      <c r="UII15" s="60"/>
      <c r="UIJ15" s="60"/>
      <c r="UIK15" s="60"/>
      <c r="UIL15" s="60"/>
      <c r="UIM15" s="60"/>
      <c r="UIN15" s="60"/>
      <c r="UIO15" s="60"/>
      <c r="UIP15" s="60"/>
      <c r="UIQ15" s="60"/>
      <c r="UIR15" s="60"/>
      <c r="UIS15" s="60"/>
      <c r="UIT15" s="60"/>
      <c r="UIU15" s="60"/>
      <c r="UIV15" s="60"/>
      <c r="UIW15" s="60"/>
      <c r="UIX15" s="60"/>
      <c r="UIY15" s="60"/>
      <c r="UIZ15" s="60"/>
      <c r="UJA15" s="60"/>
      <c r="UJB15" s="60"/>
      <c r="UJC15" s="60"/>
      <c r="UJD15" s="60"/>
      <c r="UJE15" s="60"/>
      <c r="UJF15" s="60"/>
      <c r="UJG15" s="60"/>
      <c r="UJH15" s="60"/>
      <c r="UJI15" s="60"/>
      <c r="UJJ15" s="60"/>
      <c r="UJK15" s="60"/>
      <c r="UJL15" s="60"/>
      <c r="UJM15" s="60"/>
      <c r="UJN15" s="60"/>
      <c r="UJO15" s="60"/>
      <c r="UJP15" s="60"/>
      <c r="UJQ15" s="60"/>
      <c r="UJR15" s="60"/>
      <c r="UJS15" s="60"/>
      <c r="UJT15" s="60"/>
      <c r="UJU15" s="60"/>
      <c r="UJV15" s="60"/>
      <c r="UJW15" s="60"/>
      <c r="UJX15" s="60"/>
      <c r="UJY15" s="60"/>
      <c r="UJZ15" s="60"/>
      <c r="UKA15" s="60"/>
      <c r="UKB15" s="60"/>
      <c r="UKC15" s="60"/>
      <c r="UKD15" s="60"/>
      <c r="UKE15" s="60"/>
      <c r="UKF15" s="60"/>
      <c r="UKG15" s="60"/>
      <c r="UKH15" s="60"/>
      <c r="UKI15" s="60"/>
      <c r="UKJ15" s="60"/>
      <c r="UKK15" s="60"/>
      <c r="UKL15" s="60"/>
      <c r="UKM15" s="60"/>
      <c r="UKN15" s="60"/>
      <c r="UKO15" s="60"/>
      <c r="UKP15" s="60"/>
      <c r="UKQ15" s="60"/>
      <c r="UKR15" s="60"/>
      <c r="UKS15" s="60"/>
      <c r="UKT15" s="60"/>
      <c r="UKU15" s="60"/>
      <c r="UKV15" s="60"/>
      <c r="UKW15" s="60"/>
      <c r="UKX15" s="60"/>
      <c r="UKY15" s="60"/>
      <c r="UKZ15" s="60"/>
      <c r="ULA15" s="60"/>
      <c r="ULB15" s="60"/>
      <c r="ULC15" s="60"/>
      <c r="ULD15" s="60"/>
      <c r="ULE15" s="60"/>
      <c r="ULF15" s="60"/>
      <c r="ULG15" s="60"/>
      <c r="ULH15" s="60"/>
      <c r="ULI15" s="60"/>
      <c r="ULJ15" s="60"/>
      <c r="ULK15" s="60"/>
      <c r="ULL15" s="60"/>
      <c r="ULM15" s="60"/>
      <c r="ULN15" s="60"/>
      <c r="ULO15" s="60"/>
      <c r="ULP15" s="60"/>
      <c r="ULQ15" s="60"/>
      <c r="ULR15" s="60"/>
      <c r="ULS15" s="60"/>
      <c r="ULT15" s="60"/>
      <c r="ULU15" s="60"/>
      <c r="ULV15" s="60"/>
      <c r="ULW15" s="60"/>
      <c r="ULX15" s="60"/>
      <c r="ULY15" s="60"/>
      <c r="ULZ15" s="60"/>
      <c r="UMA15" s="60"/>
      <c r="UMB15" s="60"/>
      <c r="UMC15" s="60"/>
      <c r="UMD15" s="60"/>
      <c r="UME15" s="60"/>
      <c r="UMF15" s="60"/>
      <c r="UMG15" s="60"/>
      <c r="UMH15" s="60"/>
      <c r="UMI15" s="60"/>
      <c r="UMJ15" s="60"/>
      <c r="UMK15" s="60"/>
      <c r="UML15" s="60"/>
      <c r="UMM15" s="60"/>
      <c r="UMN15" s="60"/>
      <c r="UMO15" s="60"/>
      <c r="UMP15" s="60"/>
      <c r="UMQ15" s="60"/>
      <c r="UMR15" s="60"/>
      <c r="UMS15" s="60"/>
      <c r="UMT15" s="60"/>
      <c r="UMU15" s="60"/>
      <c r="UMV15" s="60"/>
      <c r="UMW15" s="60"/>
      <c r="UMX15" s="60"/>
      <c r="UMY15" s="60"/>
      <c r="UMZ15" s="60"/>
      <c r="UNA15" s="60"/>
      <c r="UNB15" s="60"/>
      <c r="UNC15" s="60"/>
      <c r="UND15" s="60"/>
      <c r="UNE15" s="60"/>
      <c r="UNF15" s="60"/>
      <c r="UNG15" s="60"/>
      <c r="UNH15" s="60"/>
      <c r="UNI15" s="60"/>
      <c r="UNJ15" s="60"/>
      <c r="UNK15" s="60"/>
      <c r="UNL15" s="60"/>
      <c r="UNM15" s="60"/>
      <c r="UNN15" s="60"/>
      <c r="UNO15" s="60"/>
      <c r="UNP15" s="60"/>
      <c r="UNQ15" s="60"/>
      <c r="UNR15" s="60"/>
      <c r="UNS15" s="60"/>
      <c r="UNT15" s="60"/>
      <c r="UNU15" s="60"/>
      <c r="UNV15" s="60"/>
      <c r="UNW15" s="60"/>
      <c r="UNX15" s="60"/>
      <c r="UNY15" s="60"/>
      <c r="UNZ15" s="60"/>
      <c r="UOA15" s="60"/>
      <c r="UOB15" s="60"/>
      <c r="UOC15" s="60"/>
      <c r="UOD15" s="60"/>
      <c r="UOE15" s="60"/>
      <c r="UOF15" s="60"/>
      <c r="UOG15" s="60"/>
      <c r="UOH15" s="60"/>
      <c r="UOI15" s="60"/>
      <c r="UOJ15" s="60"/>
      <c r="UOK15" s="60"/>
      <c r="UOL15" s="60"/>
      <c r="UOM15" s="60"/>
      <c r="UON15" s="60"/>
      <c r="UOO15" s="60"/>
      <c r="UOP15" s="60"/>
      <c r="UOQ15" s="60"/>
      <c r="UOR15" s="60"/>
      <c r="UOS15" s="60"/>
      <c r="UOT15" s="60"/>
      <c r="UOU15" s="60"/>
      <c r="UOV15" s="60"/>
      <c r="UOW15" s="60"/>
      <c r="UOX15" s="60"/>
      <c r="UOY15" s="60"/>
      <c r="UOZ15" s="60"/>
      <c r="UPA15" s="60"/>
      <c r="UPB15" s="60"/>
      <c r="UPC15" s="60"/>
      <c r="UPD15" s="60"/>
      <c r="UPE15" s="60"/>
      <c r="UPF15" s="60"/>
      <c r="UPG15" s="60"/>
      <c r="UPH15" s="60"/>
      <c r="UPI15" s="60"/>
      <c r="UPJ15" s="60"/>
      <c r="UPK15" s="60"/>
      <c r="UPL15" s="60"/>
      <c r="UPM15" s="60"/>
      <c r="UPN15" s="60"/>
      <c r="UPO15" s="60"/>
      <c r="UPP15" s="60"/>
      <c r="UPQ15" s="60"/>
      <c r="UPR15" s="60"/>
      <c r="UPS15" s="60"/>
      <c r="UPT15" s="60"/>
      <c r="UPU15" s="60"/>
      <c r="UPV15" s="60"/>
      <c r="UPW15" s="60"/>
      <c r="UPX15" s="60"/>
      <c r="UPY15" s="60"/>
      <c r="UPZ15" s="60"/>
      <c r="UQA15" s="60"/>
      <c r="UQB15" s="60"/>
      <c r="UQC15" s="60"/>
      <c r="UQD15" s="60"/>
      <c r="UQE15" s="60"/>
      <c r="UQF15" s="60"/>
      <c r="UQG15" s="60"/>
      <c r="UQH15" s="60"/>
      <c r="UQI15" s="60"/>
      <c r="UQJ15" s="60"/>
      <c r="UQK15" s="60"/>
      <c r="UQL15" s="60"/>
      <c r="UQM15" s="60"/>
      <c r="UQN15" s="60"/>
      <c r="UQO15" s="60"/>
      <c r="UQP15" s="60"/>
      <c r="UQQ15" s="60"/>
      <c r="UQR15" s="60"/>
      <c r="UQS15" s="60"/>
      <c r="UQT15" s="60"/>
      <c r="UQU15" s="60"/>
      <c r="UQV15" s="60"/>
      <c r="UQW15" s="60"/>
      <c r="UQX15" s="60"/>
      <c r="UQY15" s="60"/>
      <c r="UQZ15" s="60"/>
      <c r="URA15" s="60"/>
      <c r="URB15" s="60"/>
      <c r="URC15" s="60"/>
      <c r="URD15" s="60"/>
      <c r="URE15" s="60"/>
      <c r="URF15" s="60"/>
      <c r="URG15" s="60"/>
      <c r="URH15" s="60"/>
      <c r="URI15" s="60"/>
      <c r="URJ15" s="60"/>
      <c r="URK15" s="60"/>
      <c r="URL15" s="60"/>
      <c r="URM15" s="60"/>
      <c r="URN15" s="60"/>
      <c r="URO15" s="60"/>
      <c r="URP15" s="60"/>
      <c r="URQ15" s="60"/>
      <c r="URR15" s="60"/>
      <c r="URS15" s="60"/>
      <c r="URT15" s="60"/>
      <c r="URU15" s="60"/>
      <c r="URV15" s="60"/>
      <c r="URW15" s="60"/>
      <c r="URX15" s="60"/>
      <c r="URY15" s="60"/>
      <c r="URZ15" s="60"/>
      <c r="USA15" s="60"/>
      <c r="USB15" s="60"/>
      <c r="USC15" s="60"/>
      <c r="USD15" s="60"/>
      <c r="USE15" s="60"/>
      <c r="USF15" s="60"/>
      <c r="USG15" s="60"/>
      <c r="USH15" s="60"/>
      <c r="USI15" s="60"/>
      <c r="USJ15" s="60"/>
      <c r="USK15" s="60"/>
      <c r="USL15" s="60"/>
      <c r="USM15" s="60"/>
      <c r="USN15" s="60"/>
      <c r="USO15" s="60"/>
      <c r="USP15" s="60"/>
      <c r="USQ15" s="60"/>
      <c r="USR15" s="60"/>
      <c r="USS15" s="60"/>
      <c r="UST15" s="60"/>
      <c r="USU15" s="60"/>
      <c r="USV15" s="60"/>
      <c r="USW15" s="60"/>
      <c r="USX15" s="60"/>
      <c r="USY15" s="60"/>
      <c r="USZ15" s="60"/>
      <c r="UTA15" s="60"/>
      <c r="UTB15" s="60"/>
      <c r="UTC15" s="60"/>
      <c r="UTD15" s="60"/>
      <c r="UTE15" s="60"/>
      <c r="UTF15" s="60"/>
      <c r="UTG15" s="60"/>
      <c r="UTH15" s="60"/>
      <c r="UTI15" s="60"/>
      <c r="UTJ15" s="60"/>
      <c r="UTK15" s="60"/>
      <c r="UTL15" s="60"/>
      <c r="UTM15" s="60"/>
      <c r="UTN15" s="60"/>
      <c r="UTO15" s="60"/>
      <c r="UTP15" s="60"/>
      <c r="UTQ15" s="60"/>
      <c r="UTR15" s="60"/>
      <c r="UTS15" s="60"/>
      <c r="UTT15" s="60"/>
      <c r="UTU15" s="60"/>
      <c r="UTV15" s="60"/>
      <c r="UTW15" s="60"/>
      <c r="UTX15" s="60"/>
      <c r="UTY15" s="60"/>
      <c r="UTZ15" s="60"/>
      <c r="UUA15" s="60"/>
      <c r="UUB15" s="60"/>
      <c r="UUC15" s="60"/>
      <c r="UUD15" s="60"/>
      <c r="UUE15" s="60"/>
      <c r="UUF15" s="60"/>
      <c r="UUG15" s="60"/>
      <c r="UUH15" s="60"/>
      <c r="UUI15" s="60"/>
      <c r="UUJ15" s="60"/>
      <c r="UUK15" s="60"/>
      <c r="UUL15" s="60"/>
      <c r="UUM15" s="60"/>
      <c r="UUN15" s="60"/>
      <c r="UUO15" s="60"/>
      <c r="UUP15" s="60"/>
      <c r="UUQ15" s="60"/>
      <c r="UUR15" s="60"/>
      <c r="UUS15" s="60"/>
      <c r="UUT15" s="60"/>
      <c r="UUU15" s="60"/>
      <c r="UUV15" s="60"/>
      <c r="UUW15" s="60"/>
      <c r="UUX15" s="60"/>
      <c r="UUY15" s="60"/>
      <c r="UUZ15" s="60"/>
      <c r="UVA15" s="60"/>
      <c r="UVB15" s="60"/>
      <c r="UVC15" s="60"/>
      <c r="UVD15" s="60"/>
      <c r="UVE15" s="60"/>
      <c r="UVF15" s="60"/>
      <c r="UVG15" s="60"/>
      <c r="UVH15" s="60"/>
      <c r="UVI15" s="60"/>
      <c r="UVJ15" s="60"/>
      <c r="UVK15" s="60"/>
      <c r="UVL15" s="60"/>
      <c r="UVM15" s="60"/>
      <c r="UVN15" s="60"/>
      <c r="UVO15" s="60"/>
      <c r="UVP15" s="60"/>
      <c r="UVQ15" s="60"/>
      <c r="UVR15" s="60"/>
      <c r="UVS15" s="60"/>
      <c r="UVT15" s="60"/>
      <c r="UVU15" s="60"/>
      <c r="UVV15" s="60"/>
      <c r="UVW15" s="60"/>
      <c r="UVX15" s="60"/>
      <c r="UVY15" s="60"/>
      <c r="UVZ15" s="60"/>
      <c r="UWA15" s="60"/>
      <c r="UWB15" s="60"/>
      <c r="UWC15" s="60"/>
      <c r="UWD15" s="60"/>
      <c r="UWE15" s="60"/>
      <c r="UWF15" s="60"/>
      <c r="UWG15" s="60"/>
      <c r="UWH15" s="60"/>
      <c r="UWI15" s="60"/>
      <c r="UWJ15" s="60"/>
      <c r="UWK15" s="60"/>
      <c r="UWL15" s="60"/>
      <c r="UWM15" s="60"/>
      <c r="UWN15" s="60"/>
      <c r="UWO15" s="60"/>
      <c r="UWP15" s="60"/>
      <c r="UWQ15" s="60"/>
      <c r="UWR15" s="60"/>
      <c r="UWS15" s="60"/>
      <c r="UWT15" s="60"/>
      <c r="UWU15" s="60"/>
      <c r="UWV15" s="60"/>
      <c r="UWW15" s="60"/>
      <c r="UWX15" s="60"/>
      <c r="UWY15" s="60"/>
      <c r="UWZ15" s="60"/>
      <c r="UXA15" s="60"/>
      <c r="UXB15" s="60"/>
      <c r="UXC15" s="60"/>
      <c r="UXD15" s="60"/>
      <c r="UXE15" s="60"/>
      <c r="UXF15" s="60"/>
      <c r="UXG15" s="60"/>
      <c r="UXH15" s="60"/>
      <c r="UXI15" s="60"/>
      <c r="UXJ15" s="60"/>
      <c r="UXK15" s="60"/>
      <c r="UXL15" s="60"/>
      <c r="UXM15" s="60"/>
      <c r="UXN15" s="60"/>
      <c r="UXO15" s="60"/>
      <c r="UXP15" s="60"/>
      <c r="UXQ15" s="60"/>
      <c r="UXR15" s="60"/>
      <c r="UXS15" s="60"/>
      <c r="UXT15" s="60"/>
      <c r="UXU15" s="60"/>
      <c r="UXV15" s="60"/>
      <c r="UXW15" s="60"/>
      <c r="UXX15" s="60"/>
      <c r="UXY15" s="60"/>
      <c r="UXZ15" s="60"/>
      <c r="UYA15" s="60"/>
      <c r="UYB15" s="60"/>
      <c r="UYC15" s="60"/>
      <c r="UYD15" s="60"/>
      <c r="UYE15" s="60"/>
      <c r="UYF15" s="60"/>
      <c r="UYG15" s="60"/>
      <c r="UYH15" s="60"/>
      <c r="UYI15" s="60"/>
      <c r="UYJ15" s="60"/>
      <c r="UYK15" s="60"/>
      <c r="UYL15" s="60"/>
      <c r="UYM15" s="60"/>
      <c r="UYN15" s="60"/>
      <c r="UYO15" s="60"/>
      <c r="UYP15" s="60"/>
      <c r="UYQ15" s="60"/>
      <c r="UYR15" s="60"/>
      <c r="UYS15" s="60"/>
      <c r="UYT15" s="60"/>
      <c r="UYU15" s="60"/>
      <c r="UYV15" s="60"/>
      <c r="UYW15" s="60"/>
      <c r="UYX15" s="60"/>
      <c r="UYY15" s="60"/>
      <c r="UYZ15" s="60"/>
      <c r="UZA15" s="60"/>
      <c r="UZB15" s="60"/>
      <c r="UZC15" s="60"/>
      <c r="UZD15" s="60"/>
      <c r="UZE15" s="60"/>
      <c r="UZF15" s="60"/>
      <c r="UZG15" s="60"/>
      <c r="UZH15" s="60"/>
      <c r="UZI15" s="60"/>
      <c r="UZJ15" s="60"/>
      <c r="UZK15" s="60"/>
      <c r="UZL15" s="60"/>
      <c r="UZM15" s="60"/>
      <c r="UZN15" s="60"/>
      <c r="UZO15" s="60"/>
      <c r="UZP15" s="60"/>
      <c r="UZQ15" s="60"/>
      <c r="UZR15" s="60"/>
      <c r="UZS15" s="60"/>
      <c r="UZT15" s="60"/>
      <c r="UZU15" s="60"/>
      <c r="UZV15" s="60"/>
      <c r="UZW15" s="60"/>
      <c r="UZX15" s="60"/>
      <c r="UZY15" s="60"/>
      <c r="UZZ15" s="60"/>
      <c r="VAA15" s="60"/>
      <c r="VAB15" s="60"/>
      <c r="VAC15" s="60"/>
      <c r="VAD15" s="60"/>
      <c r="VAE15" s="60"/>
      <c r="VAF15" s="60"/>
      <c r="VAG15" s="60"/>
      <c r="VAH15" s="60"/>
      <c r="VAI15" s="60"/>
      <c r="VAJ15" s="60"/>
      <c r="VAK15" s="60"/>
      <c r="VAL15" s="60"/>
      <c r="VAM15" s="60"/>
      <c r="VAN15" s="60"/>
      <c r="VAO15" s="60"/>
      <c r="VAP15" s="60"/>
      <c r="VAQ15" s="60"/>
      <c r="VAR15" s="60"/>
      <c r="VAS15" s="60"/>
      <c r="VAT15" s="60"/>
      <c r="VAU15" s="60"/>
      <c r="VAV15" s="60"/>
      <c r="VAW15" s="60"/>
      <c r="VAX15" s="60"/>
      <c r="VAY15" s="60"/>
      <c r="VAZ15" s="60"/>
      <c r="VBA15" s="60"/>
      <c r="VBB15" s="60"/>
      <c r="VBC15" s="60"/>
      <c r="VBD15" s="60"/>
      <c r="VBE15" s="60"/>
      <c r="VBF15" s="60"/>
      <c r="VBG15" s="60"/>
      <c r="VBH15" s="60"/>
      <c r="VBI15" s="60"/>
      <c r="VBJ15" s="60"/>
      <c r="VBK15" s="60"/>
      <c r="VBL15" s="60"/>
      <c r="VBM15" s="60"/>
      <c r="VBN15" s="60"/>
      <c r="VBO15" s="60"/>
      <c r="VBP15" s="60"/>
      <c r="VBQ15" s="60"/>
      <c r="VBR15" s="60"/>
      <c r="VBS15" s="60"/>
      <c r="VBT15" s="60"/>
      <c r="VBU15" s="60"/>
      <c r="VBV15" s="60"/>
      <c r="VBW15" s="60"/>
      <c r="VBX15" s="60"/>
      <c r="VBY15" s="60"/>
      <c r="VBZ15" s="60"/>
      <c r="VCA15" s="60"/>
      <c r="VCB15" s="60"/>
      <c r="VCC15" s="60"/>
      <c r="VCD15" s="60"/>
      <c r="VCE15" s="60"/>
      <c r="VCF15" s="60"/>
      <c r="VCG15" s="60"/>
      <c r="VCH15" s="60"/>
      <c r="VCI15" s="60"/>
      <c r="VCJ15" s="60"/>
      <c r="VCK15" s="60"/>
      <c r="VCL15" s="60"/>
      <c r="VCM15" s="60"/>
      <c r="VCN15" s="60"/>
      <c r="VCO15" s="60"/>
      <c r="VCP15" s="60"/>
      <c r="VCQ15" s="60"/>
      <c r="VCR15" s="60"/>
      <c r="VCS15" s="60"/>
      <c r="VCT15" s="60"/>
      <c r="VCU15" s="60"/>
      <c r="VCV15" s="60"/>
      <c r="VCW15" s="60"/>
      <c r="VCX15" s="60"/>
      <c r="VCY15" s="60"/>
      <c r="VCZ15" s="60"/>
      <c r="VDA15" s="60"/>
      <c r="VDB15" s="60"/>
      <c r="VDC15" s="60"/>
      <c r="VDD15" s="60"/>
      <c r="VDE15" s="60"/>
      <c r="VDF15" s="60"/>
      <c r="VDG15" s="60"/>
      <c r="VDH15" s="60"/>
      <c r="VDI15" s="60"/>
      <c r="VDJ15" s="60"/>
      <c r="VDK15" s="60"/>
      <c r="VDL15" s="60"/>
      <c r="VDM15" s="60"/>
      <c r="VDN15" s="60"/>
      <c r="VDO15" s="60"/>
      <c r="VDP15" s="60"/>
      <c r="VDQ15" s="60"/>
      <c r="VDR15" s="60"/>
      <c r="VDS15" s="60"/>
      <c r="VDT15" s="60"/>
      <c r="VDU15" s="60"/>
      <c r="VDV15" s="60"/>
      <c r="VDW15" s="60"/>
      <c r="VDX15" s="60"/>
      <c r="VDY15" s="60"/>
      <c r="VDZ15" s="60"/>
      <c r="VEA15" s="60"/>
      <c r="VEB15" s="60"/>
      <c r="VEC15" s="60"/>
      <c r="VED15" s="60"/>
      <c r="VEE15" s="60"/>
      <c r="VEF15" s="60"/>
      <c r="VEG15" s="60"/>
      <c r="VEH15" s="60"/>
      <c r="VEI15" s="60"/>
      <c r="VEJ15" s="60"/>
      <c r="VEK15" s="60"/>
      <c r="VEL15" s="60"/>
      <c r="VEM15" s="60"/>
      <c r="VEN15" s="60"/>
      <c r="VEO15" s="60"/>
      <c r="VEP15" s="60"/>
      <c r="VEQ15" s="60"/>
      <c r="VER15" s="60"/>
      <c r="VES15" s="60"/>
      <c r="VET15" s="60"/>
      <c r="VEU15" s="60"/>
      <c r="VEV15" s="60"/>
      <c r="VEW15" s="60"/>
      <c r="VEX15" s="60"/>
      <c r="VEY15" s="60"/>
      <c r="VEZ15" s="60"/>
      <c r="VFA15" s="60"/>
      <c r="VFB15" s="60"/>
      <c r="VFC15" s="60"/>
      <c r="VFD15" s="60"/>
      <c r="VFE15" s="60"/>
      <c r="VFF15" s="60"/>
      <c r="VFG15" s="60"/>
      <c r="VFH15" s="60"/>
      <c r="VFI15" s="60"/>
      <c r="VFJ15" s="60"/>
      <c r="VFK15" s="60"/>
      <c r="VFL15" s="60"/>
      <c r="VFM15" s="60"/>
      <c r="VFN15" s="60"/>
      <c r="VFO15" s="60"/>
      <c r="VFP15" s="60"/>
      <c r="VFQ15" s="60"/>
      <c r="VFR15" s="60"/>
      <c r="VFS15" s="60"/>
      <c r="VFT15" s="60"/>
      <c r="VFU15" s="60"/>
      <c r="VFV15" s="60"/>
      <c r="VFW15" s="60"/>
      <c r="VFX15" s="60"/>
      <c r="VFY15" s="60"/>
      <c r="VFZ15" s="60"/>
      <c r="VGA15" s="60"/>
      <c r="VGB15" s="60"/>
      <c r="VGC15" s="60"/>
      <c r="VGD15" s="60"/>
      <c r="VGE15" s="60"/>
      <c r="VGF15" s="60"/>
      <c r="VGG15" s="60"/>
      <c r="VGH15" s="60"/>
      <c r="VGI15" s="60"/>
      <c r="VGJ15" s="60"/>
      <c r="VGK15" s="60"/>
      <c r="VGL15" s="60"/>
      <c r="VGM15" s="60"/>
      <c r="VGN15" s="60"/>
      <c r="VGO15" s="60"/>
      <c r="VGP15" s="60"/>
      <c r="VGQ15" s="60"/>
      <c r="VGR15" s="60"/>
      <c r="VGS15" s="60"/>
      <c r="VGT15" s="60"/>
      <c r="VGU15" s="60"/>
      <c r="VGV15" s="60"/>
      <c r="VGW15" s="60"/>
      <c r="VGX15" s="60"/>
      <c r="VGY15" s="60"/>
      <c r="VGZ15" s="60"/>
      <c r="VHA15" s="60"/>
      <c r="VHB15" s="60"/>
      <c r="VHC15" s="60"/>
      <c r="VHD15" s="60"/>
      <c r="VHE15" s="60"/>
      <c r="VHF15" s="60"/>
      <c r="VHG15" s="60"/>
      <c r="VHH15" s="60"/>
      <c r="VHI15" s="60"/>
      <c r="VHJ15" s="60"/>
      <c r="VHK15" s="60"/>
      <c r="VHL15" s="60"/>
      <c r="VHM15" s="60"/>
      <c r="VHN15" s="60"/>
      <c r="VHO15" s="60"/>
      <c r="VHP15" s="60"/>
      <c r="VHQ15" s="60"/>
      <c r="VHR15" s="60"/>
      <c r="VHS15" s="60"/>
      <c r="VHT15" s="60"/>
      <c r="VHU15" s="60"/>
      <c r="VHV15" s="60"/>
      <c r="VHW15" s="60"/>
      <c r="VHX15" s="60"/>
      <c r="VHY15" s="60"/>
      <c r="VHZ15" s="60"/>
      <c r="VIA15" s="60"/>
      <c r="VIB15" s="60"/>
      <c r="VIC15" s="60"/>
      <c r="VID15" s="60"/>
      <c r="VIE15" s="60"/>
      <c r="VIF15" s="60"/>
      <c r="VIG15" s="60"/>
      <c r="VIH15" s="60"/>
      <c r="VII15" s="60"/>
      <c r="VIJ15" s="60"/>
      <c r="VIK15" s="60"/>
      <c r="VIL15" s="60"/>
      <c r="VIM15" s="60"/>
      <c r="VIN15" s="60"/>
      <c r="VIO15" s="60"/>
      <c r="VIP15" s="60"/>
      <c r="VIQ15" s="60"/>
      <c r="VIR15" s="60"/>
      <c r="VIS15" s="60"/>
      <c r="VIT15" s="60"/>
      <c r="VIU15" s="60"/>
      <c r="VIV15" s="60"/>
      <c r="VIW15" s="60"/>
      <c r="VIX15" s="60"/>
      <c r="VIY15" s="60"/>
      <c r="VIZ15" s="60"/>
      <c r="VJA15" s="60"/>
      <c r="VJB15" s="60"/>
      <c r="VJC15" s="60"/>
      <c r="VJD15" s="60"/>
      <c r="VJE15" s="60"/>
      <c r="VJF15" s="60"/>
      <c r="VJG15" s="60"/>
      <c r="VJH15" s="60"/>
      <c r="VJI15" s="60"/>
      <c r="VJJ15" s="60"/>
      <c r="VJK15" s="60"/>
      <c r="VJL15" s="60"/>
      <c r="VJM15" s="60"/>
      <c r="VJN15" s="60"/>
      <c r="VJO15" s="60"/>
      <c r="VJP15" s="60"/>
      <c r="VJQ15" s="60"/>
      <c r="VJR15" s="60"/>
      <c r="VJS15" s="60"/>
      <c r="VJT15" s="60"/>
      <c r="VJU15" s="60"/>
      <c r="VJV15" s="60"/>
      <c r="VJW15" s="60"/>
      <c r="VJX15" s="60"/>
      <c r="VJY15" s="60"/>
      <c r="VJZ15" s="60"/>
      <c r="VKA15" s="60"/>
      <c r="VKB15" s="60"/>
      <c r="VKC15" s="60"/>
      <c r="VKD15" s="60"/>
      <c r="VKE15" s="60"/>
      <c r="VKF15" s="60"/>
      <c r="VKG15" s="60"/>
      <c r="VKH15" s="60"/>
      <c r="VKI15" s="60"/>
      <c r="VKJ15" s="60"/>
      <c r="VKK15" s="60"/>
      <c r="VKL15" s="60"/>
      <c r="VKM15" s="60"/>
      <c r="VKN15" s="60"/>
      <c r="VKO15" s="60"/>
      <c r="VKP15" s="60"/>
      <c r="VKQ15" s="60"/>
      <c r="VKR15" s="60"/>
      <c r="VKS15" s="60"/>
      <c r="VKT15" s="60"/>
      <c r="VKU15" s="60"/>
      <c r="VKV15" s="60"/>
      <c r="VKW15" s="60"/>
      <c r="VKX15" s="60"/>
      <c r="VKY15" s="60"/>
      <c r="VKZ15" s="60"/>
      <c r="VLA15" s="60"/>
      <c r="VLB15" s="60"/>
      <c r="VLC15" s="60"/>
      <c r="VLD15" s="60"/>
      <c r="VLE15" s="60"/>
      <c r="VLF15" s="60"/>
      <c r="VLG15" s="60"/>
      <c r="VLH15" s="60"/>
      <c r="VLI15" s="60"/>
      <c r="VLJ15" s="60"/>
      <c r="VLK15" s="60"/>
      <c r="VLL15" s="60"/>
      <c r="VLM15" s="60"/>
      <c r="VLN15" s="60"/>
      <c r="VLO15" s="60"/>
      <c r="VLP15" s="60"/>
      <c r="VLQ15" s="60"/>
      <c r="VLR15" s="60"/>
      <c r="VLS15" s="60"/>
      <c r="VLT15" s="60"/>
      <c r="VLU15" s="60"/>
      <c r="VLV15" s="60"/>
      <c r="VLW15" s="60"/>
      <c r="VLX15" s="60"/>
      <c r="VLY15" s="60"/>
      <c r="VLZ15" s="60"/>
      <c r="VMA15" s="60"/>
      <c r="VMB15" s="60"/>
      <c r="VMC15" s="60"/>
      <c r="VMD15" s="60"/>
      <c r="VME15" s="60"/>
      <c r="VMF15" s="60"/>
      <c r="VMG15" s="60"/>
      <c r="VMH15" s="60"/>
      <c r="VMI15" s="60"/>
      <c r="VMJ15" s="60"/>
      <c r="VMK15" s="60"/>
      <c r="VML15" s="60"/>
      <c r="VMM15" s="60"/>
      <c r="VMN15" s="60"/>
      <c r="VMO15" s="60"/>
      <c r="VMP15" s="60"/>
      <c r="VMQ15" s="60"/>
      <c r="VMR15" s="60"/>
      <c r="VMS15" s="60"/>
      <c r="VMT15" s="60"/>
      <c r="VMU15" s="60"/>
      <c r="VMV15" s="60"/>
      <c r="VMW15" s="60"/>
      <c r="VMX15" s="60"/>
      <c r="VMY15" s="60"/>
      <c r="VMZ15" s="60"/>
      <c r="VNA15" s="60"/>
      <c r="VNB15" s="60"/>
      <c r="VNC15" s="60"/>
      <c r="VND15" s="60"/>
      <c r="VNE15" s="60"/>
      <c r="VNF15" s="60"/>
      <c r="VNG15" s="60"/>
      <c r="VNH15" s="60"/>
      <c r="VNI15" s="60"/>
      <c r="VNJ15" s="60"/>
      <c r="VNK15" s="60"/>
      <c r="VNL15" s="60"/>
      <c r="VNM15" s="60"/>
      <c r="VNN15" s="60"/>
      <c r="VNO15" s="60"/>
      <c r="VNP15" s="60"/>
      <c r="VNQ15" s="60"/>
      <c r="VNR15" s="60"/>
      <c r="VNS15" s="60"/>
      <c r="VNT15" s="60"/>
      <c r="VNU15" s="60"/>
      <c r="VNV15" s="60"/>
      <c r="VNW15" s="60"/>
      <c r="VNX15" s="60"/>
      <c r="VNY15" s="60"/>
      <c r="VNZ15" s="60"/>
      <c r="VOA15" s="60"/>
      <c r="VOB15" s="60"/>
      <c r="VOC15" s="60"/>
      <c r="VOD15" s="60"/>
      <c r="VOE15" s="60"/>
      <c r="VOF15" s="60"/>
      <c r="VOG15" s="60"/>
      <c r="VOH15" s="60"/>
      <c r="VOI15" s="60"/>
      <c r="VOJ15" s="60"/>
      <c r="VOK15" s="60"/>
      <c r="VOL15" s="60"/>
      <c r="VOM15" s="60"/>
      <c r="VON15" s="60"/>
      <c r="VOO15" s="60"/>
      <c r="VOP15" s="60"/>
      <c r="VOQ15" s="60"/>
      <c r="VOR15" s="60"/>
      <c r="VOS15" s="60"/>
      <c r="VOT15" s="60"/>
      <c r="VOU15" s="60"/>
      <c r="VOV15" s="60"/>
      <c r="VOW15" s="60"/>
      <c r="VOX15" s="60"/>
      <c r="VOY15" s="60"/>
      <c r="VOZ15" s="60"/>
      <c r="VPA15" s="60"/>
      <c r="VPB15" s="60"/>
      <c r="VPC15" s="60"/>
      <c r="VPD15" s="60"/>
      <c r="VPE15" s="60"/>
      <c r="VPF15" s="60"/>
      <c r="VPG15" s="60"/>
      <c r="VPH15" s="60"/>
      <c r="VPI15" s="60"/>
      <c r="VPJ15" s="60"/>
      <c r="VPK15" s="60"/>
      <c r="VPL15" s="60"/>
      <c r="VPM15" s="60"/>
      <c r="VPN15" s="60"/>
      <c r="VPO15" s="60"/>
      <c r="VPP15" s="60"/>
      <c r="VPQ15" s="60"/>
      <c r="VPR15" s="60"/>
      <c r="VPS15" s="60"/>
      <c r="VPT15" s="60"/>
      <c r="VPU15" s="60"/>
      <c r="VPV15" s="60"/>
      <c r="VPW15" s="60"/>
      <c r="VPX15" s="60"/>
      <c r="VPY15" s="60"/>
      <c r="VPZ15" s="60"/>
      <c r="VQA15" s="60"/>
      <c r="VQB15" s="60"/>
      <c r="VQC15" s="60"/>
      <c r="VQD15" s="60"/>
      <c r="VQE15" s="60"/>
      <c r="VQF15" s="60"/>
      <c r="VQG15" s="60"/>
      <c r="VQH15" s="60"/>
      <c r="VQI15" s="60"/>
      <c r="VQJ15" s="60"/>
      <c r="VQK15" s="60"/>
      <c r="VQL15" s="60"/>
      <c r="VQM15" s="60"/>
      <c r="VQN15" s="60"/>
      <c r="VQO15" s="60"/>
      <c r="VQP15" s="60"/>
      <c r="VQQ15" s="60"/>
      <c r="VQR15" s="60"/>
      <c r="VQS15" s="60"/>
      <c r="VQT15" s="60"/>
      <c r="VQU15" s="60"/>
      <c r="VQV15" s="60"/>
      <c r="VQW15" s="60"/>
      <c r="VQX15" s="60"/>
      <c r="VQY15" s="60"/>
      <c r="VQZ15" s="60"/>
      <c r="VRA15" s="60"/>
      <c r="VRB15" s="60"/>
      <c r="VRC15" s="60"/>
      <c r="VRD15" s="60"/>
      <c r="VRE15" s="60"/>
      <c r="VRF15" s="60"/>
      <c r="VRG15" s="60"/>
      <c r="VRH15" s="60"/>
      <c r="VRI15" s="60"/>
      <c r="VRJ15" s="60"/>
      <c r="VRK15" s="60"/>
      <c r="VRL15" s="60"/>
      <c r="VRM15" s="60"/>
      <c r="VRN15" s="60"/>
      <c r="VRO15" s="60"/>
      <c r="VRP15" s="60"/>
      <c r="VRQ15" s="60"/>
      <c r="VRR15" s="60"/>
      <c r="VRS15" s="60"/>
      <c r="VRT15" s="60"/>
      <c r="VRU15" s="60"/>
      <c r="VRV15" s="60"/>
      <c r="VRW15" s="60"/>
      <c r="VRX15" s="60"/>
      <c r="VRY15" s="60"/>
      <c r="VRZ15" s="60"/>
      <c r="VSA15" s="60"/>
      <c r="VSB15" s="60"/>
      <c r="VSC15" s="60"/>
      <c r="VSD15" s="60"/>
      <c r="VSE15" s="60"/>
      <c r="VSF15" s="60"/>
      <c r="VSG15" s="60"/>
      <c r="VSH15" s="60"/>
      <c r="VSI15" s="60"/>
      <c r="VSJ15" s="60"/>
      <c r="VSK15" s="60"/>
      <c r="VSL15" s="60"/>
      <c r="VSM15" s="60"/>
      <c r="VSN15" s="60"/>
      <c r="VSO15" s="60"/>
      <c r="VSP15" s="60"/>
      <c r="VSQ15" s="60"/>
      <c r="VSR15" s="60"/>
      <c r="VSS15" s="60"/>
      <c r="VST15" s="60"/>
      <c r="VSU15" s="60"/>
      <c r="VSV15" s="60"/>
      <c r="VSW15" s="60"/>
      <c r="VSX15" s="60"/>
      <c r="VSY15" s="60"/>
      <c r="VSZ15" s="60"/>
      <c r="VTA15" s="60"/>
      <c r="VTB15" s="60"/>
      <c r="VTC15" s="60"/>
      <c r="VTD15" s="60"/>
      <c r="VTE15" s="60"/>
      <c r="VTF15" s="60"/>
      <c r="VTG15" s="60"/>
      <c r="VTH15" s="60"/>
      <c r="VTI15" s="60"/>
      <c r="VTJ15" s="60"/>
      <c r="VTK15" s="60"/>
      <c r="VTL15" s="60"/>
      <c r="VTM15" s="60"/>
      <c r="VTN15" s="60"/>
      <c r="VTO15" s="60"/>
      <c r="VTP15" s="60"/>
      <c r="VTQ15" s="60"/>
      <c r="VTR15" s="60"/>
      <c r="VTS15" s="60"/>
      <c r="VTT15" s="60"/>
      <c r="VTU15" s="60"/>
      <c r="VTV15" s="60"/>
      <c r="VTW15" s="60"/>
      <c r="VTX15" s="60"/>
      <c r="VTY15" s="60"/>
      <c r="VTZ15" s="60"/>
      <c r="VUA15" s="60"/>
      <c r="VUB15" s="60"/>
      <c r="VUC15" s="60"/>
      <c r="VUD15" s="60"/>
      <c r="VUE15" s="60"/>
      <c r="VUF15" s="60"/>
      <c r="VUG15" s="60"/>
      <c r="VUH15" s="60"/>
      <c r="VUI15" s="60"/>
      <c r="VUJ15" s="60"/>
      <c r="VUK15" s="60"/>
      <c r="VUL15" s="60"/>
      <c r="VUM15" s="60"/>
      <c r="VUN15" s="60"/>
      <c r="VUO15" s="60"/>
      <c r="VUP15" s="60"/>
      <c r="VUQ15" s="60"/>
      <c r="VUR15" s="60"/>
      <c r="VUS15" s="60"/>
      <c r="VUT15" s="60"/>
      <c r="VUU15" s="60"/>
      <c r="VUV15" s="60"/>
      <c r="VUW15" s="60"/>
      <c r="VUX15" s="60"/>
      <c r="VUY15" s="60"/>
      <c r="VUZ15" s="60"/>
      <c r="VVA15" s="60"/>
      <c r="VVB15" s="60"/>
      <c r="VVC15" s="60"/>
      <c r="VVD15" s="60"/>
      <c r="VVE15" s="60"/>
      <c r="VVF15" s="60"/>
      <c r="VVG15" s="60"/>
      <c r="VVH15" s="60"/>
      <c r="VVI15" s="60"/>
      <c r="VVJ15" s="60"/>
      <c r="VVK15" s="60"/>
      <c r="VVL15" s="60"/>
      <c r="VVM15" s="60"/>
      <c r="VVN15" s="60"/>
      <c r="VVO15" s="60"/>
      <c r="VVP15" s="60"/>
      <c r="VVQ15" s="60"/>
      <c r="VVR15" s="60"/>
      <c r="VVS15" s="60"/>
      <c r="VVT15" s="60"/>
      <c r="VVU15" s="60"/>
      <c r="VVV15" s="60"/>
      <c r="VVW15" s="60"/>
      <c r="VVX15" s="60"/>
      <c r="VVY15" s="60"/>
      <c r="VVZ15" s="60"/>
      <c r="VWA15" s="60"/>
      <c r="VWB15" s="60"/>
      <c r="VWC15" s="60"/>
      <c r="VWD15" s="60"/>
      <c r="VWE15" s="60"/>
      <c r="VWF15" s="60"/>
      <c r="VWG15" s="60"/>
      <c r="VWH15" s="60"/>
      <c r="VWI15" s="60"/>
      <c r="VWJ15" s="60"/>
      <c r="VWK15" s="60"/>
      <c r="VWL15" s="60"/>
      <c r="VWM15" s="60"/>
      <c r="VWN15" s="60"/>
      <c r="VWO15" s="60"/>
      <c r="VWP15" s="60"/>
      <c r="VWQ15" s="60"/>
      <c r="VWR15" s="60"/>
      <c r="VWS15" s="60"/>
      <c r="VWT15" s="60"/>
      <c r="VWU15" s="60"/>
      <c r="VWV15" s="60"/>
      <c r="VWW15" s="60"/>
      <c r="VWX15" s="60"/>
      <c r="VWY15" s="60"/>
      <c r="VWZ15" s="60"/>
      <c r="VXA15" s="60"/>
      <c r="VXB15" s="60"/>
      <c r="VXC15" s="60"/>
      <c r="VXD15" s="60"/>
      <c r="VXE15" s="60"/>
      <c r="VXF15" s="60"/>
      <c r="VXG15" s="60"/>
      <c r="VXH15" s="60"/>
      <c r="VXI15" s="60"/>
      <c r="VXJ15" s="60"/>
      <c r="VXK15" s="60"/>
      <c r="VXL15" s="60"/>
      <c r="VXM15" s="60"/>
      <c r="VXN15" s="60"/>
      <c r="VXO15" s="60"/>
      <c r="VXP15" s="60"/>
      <c r="VXQ15" s="60"/>
      <c r="VXR15" s="60"/>
      <c r="VXS15" s="60"/>
      <c r="VXT15" s="60"/>
      <c r="VXU15" s="60"/>
      <c r="VXV15" s="60"/>
      <c r="VXW15" s="60"/>
      <c r="VXX15" s="60"/>
      <c r="VXY15" s="60"/>
      <c r="VXZ15" s="60"/>
      <c r="VYA15" s="60"/>
      <c r="VYB15" s="60"/>
      <c r="VYC15" s="60"/>
      <c r="VYD15" s="60"/>
      <c r="VYE15" s="60"/>
      <c r="VYF15" s="60"/>
      <c r="VYG15" s="60"/>
      <c r="VYH15" s="60"/>
      <c r="VYI15" s="60"/>
      <c r="VYJ15" s="60"/>
      <c r="VYK15" s="60"/>
      <c r="VYL15" s="60"/>
      <c r="VYM15" s="60"/>
      <c r="VYN15" s="60"/>
      <c r="VYO15" s="60"/>
      <c r="VYP15" s="60"/>
      <c r="VYQ15" s="60"/>
      <c r="VYR15" s="60"/>
      <c r="VYS15" s="60"/>
      <c r="VYT15" s="60"/>
      <c r="VYU15" s="60"/>
      <c r="VYV15" s="60"/>
      <c r="VYW15" s="60"/>
      <c r="VYX15" s="60"/>
      <c r="VYY15" s="60"/>
      <c r="VYZ15" s="60"/>
      <c r="VZA15" s="60"/>
      <c r="VZB15" s="60"/>
      <c r="VZC15" s="60"/>
      <c r="VZD15" s="60"/>
      <c r="VZE15" s="60"/>
      <c r="VZF15" s="60"/>
      <c r="VZG15" s="60"/>
      <c r="VZH15" s="60"/>
      <c r="VZI15" s="60"/>
      <c r="VZJ15" s="60"/>
      <c r="VZK15" s="60"/>
      <c r="VZL15" s="60"/>
      <c r="VZM15" s="60"/>
      <c r="VZN15" s="60"/>
      <c r="VZO15" s="60"/>
      <c r="VZP15" s="60"/>
      <c r="VZQ15" s="60"/>
      <c r="VZR15" s="60"/>
      <c r="VZS15" s="60"/>
      <c r="VZT15" s="60"/>
      <c r="VZU15" s="60"/>
      <c r="VZV15" s="60"/>
      <c r="VZW15" s="60"/>
      <c r="VZX15" s="60"/>
      <c r="VZY15" s="60"/>
      <c r="VZZ15" s="60"/>
      <c r="WAA15" s="60"/>
      <c r="WAB15" s="60"/>
      <c r="WAC15" s="60"/>
      <c r="WAD15" s="60"/>
      <c r="WAE15" s="60"/>
      <c r="WAF15" s="60"/>
      <c r="WAG15" s="60"/>
      <c r="WAH15" s="60"/>
      <c r="WAI15" s="60"/>
      <c r="WAJ15" s="60"/>
      <c r="WAK15" s="60"/>
      <c r="WAL15" s="60"/>
      <c r="WAM15" s="60"/>
      <c r="WAN15" s="60"/>
      <c r="WAO15" s="60"/>
      <c r="WAP15" s="60"/>
      <c r="WAQ15" s="60"/>
      <c r="WAR15" s="60"/>
      <c r="WAS15" s="60"/>
      <c r="WAT15" s="60"/>
      <c r="WAU15" s="60"/>
      <c r="WAV15" s="60"/>
      <c r="WAW15" s="60"/>
      <c r="WAX15" s="60"/>
      <c r="WAY15" s="60"/>
      <c r="WAZ15" s="60"/>
      <c r="WBA15" s="60"/>
      <c r="WBB15" s="60"/>
      <c r="WBC15" s="60"/>
      <c r="WBD15" s="60"/>
      <c r="WBE15" s="60"/>
      <c r="WBF15" s="60"/>
      <c r="WBG15" s="60"/>
      <c r="WBH15" s="60"/>
      <c r="WBI15" s="60"/>
      <c r="WBJ15" s="60"/>
      <c r="WBK15" s="60"/>
      <c r="WBL15" s="60"/>
      <c r="WBM15" s="60"/>
      <c r="WBN15" s="60"/>
      <c r="WBO15" s="60"/>
      <c r="WBP15" s="60"/>
      <c r="WBQ15" s="60"/>
      <c r="WBR15" s="60"/>
      <c r="WBS15" s="60"/>
      <c r="WBT15" s="60"/>
      <c r="WBU15" s="60"/>
      <c r="WBV15" s="60"/>
      <c r="WBW15" s="60"/>
      <c r="WBX15" s="60"/>
      <c r="WBY15" s="60"/>
      <c r="WBZ15" s="60"/>
      <c r="WCA15" s="60"/>
      <c r="WCB15" s="60"/>
      <c r="WCC15" s="60"/>
      <c r="WCD15" s="60"/>
      <c r="WCE15" s="60"/>
      <c r="WCF15" s="60"/>
      <c r="WCG15" s="60"/>
      <c r="WCH15" s="60"/>
      <c r="WCI15" s="60"/>
      <c r="WCJ15" s="60"/>
      <c r="WCK15" s="60"/>
      <c r="WCL15" s="60"/>
      <c r="WCM15" s="60"/>
      <c r="WCN15" s="60"/>
      <c r="WCO15" s="60"/>
      <c r="WCP15" s="60"/>
      <c r="WCQ15" s="60"/>
      <c r="WCR15" s="60"/>
      <c r="WCS15" s="60"/>
      <c r="WCT15" s="60"/>
      <c r="WCU15" s="60"/>
      <c r="WCV15" s="60"/>
      <c r="WCW15" s="60"/>
      <c r="WCX15" s="60"/>
      <c r="WCY15" s="60"/>
      <c r="WCZ15" s="60"/>
      <c r="WDA15" s="60"/>
      <c r="WDB15" s="60"/>
      <c r="WDC15" s="60"/>
      <c r="WDD15" s="60"/>
      <c r="WDE15" s="60"/>
      <c r="WDF15" s="60"/>
      <c r="WDG15" s="60"/>
      <c r="WDH15" s="60"/>
      <c r="WDI15" s="60"/>
      <c r="WDJ15" s="60"/>
      <c r="WDK15" s="60"/>
      <c r="WDL15" s="60"/>
      <c r="WDM15" s="60"/>
      <c r="WDN15" s="60"/>
      <c r="WDO15" s="60"/>
      <c r="WDP15" s="60"/>
      <c r="WDQ15" s="60"/>
      <c r="WDR15" s="60"/>
      <c r="WDS15" s="60"/>
      <c r="WDT15" s="60"/>
      <c r="WDU15" s="60"/>
      <c r="WDV15" s="60"/>
      <c r="WDW15" s="60"/>
      <c r="WDX15" s="60"/>
      <c r="WDY15" s="60"/>
      <c r="WDZ15" s="60"/>
      <c r="WEA15" s="60"/>
      <c r="WEB15" s="60"/>
      <c r="WEC15" s="60"/>
      <c r="WED15" s="60"/>
      <c r="WEE15" s="60"/>
      <c r="WEF15" s="60"/>
      <c r="WEG15" s="60"/>
      <c r="WEH15" s="60"/>
      <c r="WEI15" s="60"/>
      <c r="WEJ15" s="60"/>
      <c r="WEK15" s="60"/>
      <c r="WEL15" s="60"/>
      <c r="WEM15" s="60"/>
      <c r="WEN15" s="60"/>
      <c r="WEO15" s="60"/>
      <c r="WEP15" s="60"/>
      <c r="WEQ15" s="60"/>
      <c r="WER15" s="60"/>
      <c r="WES15" s="60"/>
      <c r="WET15" s="60"/>
      <c r="WEU15" s="60"/>
      <c r="WEV15" s="60"/>
      <c r="WEW15" s="60"/>
      <c r="WEX15" s="60"/>
      <c r="WEY15" s="60"/>
      <c r="WEZ15" s="60"/>
      <c r="WFA15" s="60"/>
      <c r="WFB15" s="60"/>
      <c r="WFC15" s="60"/>
      <c r="WFD15" s="60"/>
      <c r="WFE15" s="60"/>
      <c r="WFF15" s="60"/>
      <c r="WFG15" s="60"/>
      <c r="WFH15" s="60"/>
      <c r="WFI15" s="60"/>
      <c r="WFJ15" s="60"/>
      <c r="WFK15" s="60"/>
      <c r="WFL15" s="60"/>
      <c r="WFM15" s="60"/>
      <c r="WFN15" s="60"/>
      <c r="WFO15" s="60"/>
      <c r="WFP15" s="60"/>
      <c r="WFQ15" s="60"/>
      <c r="WFR15" s="60"/>
      <c r="WFS15" s="60"/>
      <c r="WFT15" s="60"/>
      <c r="WFU15" s="60"/>
      <c r="WFV15" s="60"/>
      <c r="WFW15" s="60"/>
      <c r="WFX15" s="60"/>
      <c r="WFY15" s="60"/>
      <c r="WFZ15" s="60"/>
      <c r="WGA15" s="60"/>
      <c r="WGB15" s="60"/>
      <c r="WGC15" s="60"/>
      <c r="WGD15" s="60"/>
      <c r="WGE15" s="60"/>
      <c r="WGF15" s="60"/>
      <c r="WGG15" s="60"/>
      <c r="WGH15" s="60"/>
      <c r="WGI15" s="60"/>
      <c r="WGJ15" s="60"/>
      <c r="WGK15" s="60"/>
      <c r="WGL15" s="60"/>
      <c r="WGM15" s="60"/>
      <c r="WGN15" s="60"/>
      <c r="WGO15" s="60"/>
      <c r="WGP15" s="60"/>
      <c r="WGQ15" s="60"/>
      <c r="WGR15" s="60"/>
      <c r="WGS15" s="60"/>
      <c r="WGT15" s="60"/>
      <c r="WGU15" s="60"/>
      <c r="WGV15" s="60"/>
      <c r="WGW15" s="60"/>
      <c r="WGX15" s="60"/>
      <c r="WGY15" s="60"/>
      <c r="WGZ15" s="60"/>
      <c r="WHA15" s="60"/>
      <c r="WHB15" s="60"/>
      <c r="WHC15" s="60"/>
      <c r="WHD15" s="60"/>
      <c r="WHE15" s="60"/>
      <c r="WHF15" s="60"/>
      <c r="WHG15" s="60"/>
      <c r="WHH15" s="60"/>
      <c r="WHI15" s="60"/>
      <c r="WHJ15" s="60"/>
      <c r="WHK15" s="60"/>
      <c r="WHL15" s="60"/>
      <c r="WHM15" s="60"/>
      <c r="WHN15" s="60"/>
      <c r="WHO15" s="60"/>
      <c r="WHP15" s="60"/>
      <c r="WHQ15" s="60"/>
      <c r="WHR15" s="60"/>
      <c r="WHS15" s="60"/>
      <c r="WHT15" s="60"/>
      <c r="WHU15" s="60"/>
      <c r="WHV15" s="60"/>
      <c r="WHW15" s="60"/>
      <c r="WHX15" s="60"/>
      <c r="WHY15" s="60"/>
      <c r="WHZ15" s="60"/>
      <c r="WIA15" s="60"/>
      <c r="WIB15" s="60"/>
      <c r="WIC15" s="60"/>
      <c r="WID15" s="60"/>
      <c r="WIE15" s="60"/>
      <c r="WIF15" s="60"/>
      <c r="WIG15" s="60"/>
      <c r="WIH15" s="60"/>
      <c r="WII15" s="60"/>
      <c r="WIJ15" s="60"/>
      <c r="WIK15" s="60"/>
      <c r="WIL15" s="60"/>
      <c r="WIM15" s="60"/>
      <c r="WIN15" s="60"/>
      <c r="WIO15" s="60"/>
      <c r="WIP15" s="60"/>
      <c r="WIQ15" s="60"/>
      <c r="WIR15" s="60"/>
      <c r="WIS15" s="60"/>
      <c r="WIT15" s="60"/>
      <c r="WIU15" s="60"/>
      <c r="WIV15" s="60"/>
      <c r="WIW15" s="60"/>
      <c r="WIX15" s="60"/>
      <c r="WIY15" s="60"/>
      <c r="WIZ15" s="60"/>
      <c r="WJA15" s="60"/>
      <c r="WJB15" s="60"/>
      <c r="WJC15" s="60"/>
      <c r="WJD15" s="60"/>
      <c r="WJE15" s="60"/>
      <c r="WJF15" s="60"/>
      <c r="WJG15" s="60"/>
      <c r="WJH15" s="60"/>
      <c r="WJI15" s="60"/>
      <c r="WJJ15" s="60"/>
      <c r="WJK15" s="60"/>
      <c r="WJL15" s="60"/>
      <c r="WJM15" s="60"/>
      <c r="WJN15" s="60"/>
      <c r="WJO15" s="60"/>
      <c r="WJP15" s="60"/>
      <c r="WJQ15" s="60"/>
      <c r="WJR15" s="60"/>
      <c r="WJS15" s="60"/>
      <c r="WJT15" s="60"/>
      <c r="WJU15" s="60"/>
      <c r="WJV15" s="60"/>
      <c r="WJW15" s="60"/>
      <c r="WJX15" s="60"/>
      <c r="WJY15" s="60"/>
      <c r="WJZ15" s="60"/>
      <c r="WKA15" s="60"/>
      <c r="WKB15" s="60"/>
      <c r="WKC15" s="60"/>
      <c r="WKD15" s="60"/>
      <c r="WKE15" s="60"/>
      <c r="WKF15" s="60"/>
      <c r="WKG15" s="60"/>
      <c r="WKH15" s="60"/>
      <c r="WKI15" s="60"/>
      <c r="WKJ15" s="60"/>
      <c r="WKK15" s="60"/>
      <c r="WKL15" s="60"/>
      <c r="WKM15" s="60"/>
      <c r="WKN15" s="60"/>
      <c r="WKO15" s="60"/>
      <c r="WKP15" s="60"/>
      <c r="WKQ15" s="60"/>
      <c r="WKR15" s="60"/>
      <c r="WKS15" s="60"/>
      <c r="WKT15" s="60"/>
      <c r="WKU15" s="60"/>
      <c r="WKV15" s="60"/>
      <c r="WKW15" s="60"/>
      <c r="WKX15" s="60"/>
      <c r="WKY15" s="60"/>
      <c r="WKZ15" s="60"/>
      <c r="WLA15" s="60"/>
      <c r="WLB15" s="60"/>
      <c r="WLC15" s="60"/>
      <c r="WLD15" s="60"/>
      <c r="WLE15" s="60"/>
      <c r="WLF15" s="60"/>
      <c r="WLG15" s="60"/>
      <c r="WLH15" s="60"/>
      <c r="WLI15" s="60"/>
      <c r="WLJ15" s="60"/>
      <c r="WLK15" s="60"/>
      <c r="WLL15" s="60"/>
      <c r="WLM15" s="60"/>
      <c r="WLN15" s="60"/>
      <c r="WLO15" s="60"/>
      <c r="WLP15" s="60"/>
      <c r="WLQ15" s="60"/>
      <c r="WLR15" s="60"/>
      <c r="WLS15" s="60"/>
      <c r="WLT15" s="60"/>
      <c r="WLU15" s="60"/>
      <c r="WLV15" s="60"/>
      <c r="WLW15" s="60"/>
      <c r="WLX15" s="60"/>
      <c r="WLY15" s="60"/>
      <c r="WLZ15" s="60"/>
      <c r="WMA15" s="60"/>
      <c r="WMB15" s="60"/>
      <c r="WMC15" s="60"/>
      <c r="WMD15" s="60"/>
      <c r="WME15" s="60"/>
      <c r="WMF15" s="60"/>
      <c r="WMG15" s="60"/>
      <c r="WMH15" s="60"/>
      <c r="WMI15" s="60"/>
      <c r="WMJ15" s="60"/>
      <c r="WMK15" s="60"/>
      <c r="WML15" s="60"/>
      <c r="WMM15" s="60"/>
      <c r="WMN15" s="60"/>
      <c r="WMO15" s="60"/>
      <c r="WMP15" s="60"/>
      <c r="WMQ15" s="60"/>
      <c r="WMR15" s="60"/>
      <c r="WMS15" s="60"/>
      <c r="WMT15" s="60"/>
      <c r="WMU15" s="60"/>
      <c r="WMV15" s="60"/>
      <c r="WMW15" s="60"/>
      <c r="WMX15" s="60"/>
      <c r="WMY15" s="60"/>
      <c r="WMZ15" s="60"/>
      <c r="WNA15" s="60"/>
      <c r="WNB15" s="60"/>
      <c r="WNC15" s="60"/>
      <c r="WND15" s="60"/>
      <c r="WNE15" s="60"/>
      <c r="WNF15" s="60"/>
      <c r="WNG15" s="60"/>
      <c r="WNH15" s="60"/>
      <c r="WNI15" s="60"/>
      <c r="WNJ15" s="60"/>
      <c r="WNK15" s="60"/>
      <c r="WNL15" s="60"/>
      <c r="WNM15" s="60"/>
      <c r="WNN15" s="60"/>
      <c r="WNO15" s="60"/>
      <c r="WNP15" s="60"/>
      <c r="WNQ15" s="60"/>
      <c r="WNR15" s="60"/>
      <c r="WNS15" s="60"/>
      <c r="WNT15" s="60"/>
      <c r="WNU15" s="60"/>
      <c r="WNV15" s="60"/>
      <c r="WNW15" s="60"/>
      <c r="WNX15" s="60"/>
      <c r="WNY15" s="60"/>
      <c r="WNZ15" s="60"/>
      <c r="WOA15" s="60"/>
      <c r="WOB15" s="60"/>
      <c r="WOC15" s="60"/>
      <c r="WOD15" s="60"/>
      <c r="WOE15" s="60"/>
      <c r="WOF15" s="60"/>
      <c r="WOG15" s="60"/>
      <c r="WOH15" s="60"/>
      <c r="WOI15" s="60"/>
      <c r="WOJ15" s="60"/>
      <c r="WOK15" s="60"/>
      <c r="WOL15" s="60"/>
      <c r="WOM15" s="60"/>
      <c r="WON15" s="60"/>
      <c r="WOO15" s="60"/>
      <c r="WOP15" s="60"/>
      <c r="WOQ15" s="60"/>
      <c r="WOR15" s="60"/>
      <c r="WOS15" s="60"/>
      <c r="WOT15" s="60"/>
      <c r="WOU15" s="60"/>
      <c r="WOV15" s="60"/>
      <c r="WOW15" s="60"/>
      <c r="WOX15" s="60"/>
      <c r="WOY15" s="60"/>
      <c r="WOZ15" s="60"/>
      <c r="WPA15" s="60"/>
      <c r="WPB15" s="60"/>
      <c r="WPC15" s="60"/>
      <c r="WPD15" s="60"/>
      <c r="WPE15" s="60"/>
      <c r="WPF15" s="60"/>
      <c r="WPG15" s="60"/>
      <c r="WPH15" s="60"/>
      <c r="WPI15" s="60"/>
      <c r="WPJ15" s="60"/>
      <c r="WPK15" s="60"/>
      <c r="WPL15" s="60"/>
      <c r="WPM15" s="60"/>
      <c r="WPN15" s="60"/>
      <c r="WPO15" s="60"/>
      <c r="WPP15" s="60"/>
      <c r="WPQ15" s="60"/>
      <c r="WPR15" s="60"/>
      <c r="WPS15" s="60"/>
      <c r="WPT15" s="60"/>
      <c r="WPU15" s="60"/>
      <c r="WPV15" s="60"/>
      <c r="WPW15" s="60"/>
      <c r="WPX15" s="60"/>
      <c r="WPY15" s="60"/>
      <c r="WPZ15" s="60"/>
      <c r="WQA15" s="60"/>
      <c r="WQB15" s="60"/>
      <c r="WQC15" s="60"/>
      <c r="WQD15" s="60"/>
      <c r="WQE15" s="60"/>
      <c r="WQF15" s="60"/>
      <c r="WQG15" s="60"/>
      <c r="WQH15" s="60"/>
      <c r="WQI15" s="60"/>
      <c r="WQJ15" s="60"/>
      <c r="WQK15" s="60"/>
      <c r="WQL15" s="60"/>
      <c r="WQM15" s="60"/>
      <c r="WQN15" s="60"/>
      <c r="WQO15" s="60"/>
      <c r="WQP15" s="60"/>
      <c r="WQQ15" s="60"/>
      <c r="WQR15" s="60"/>
      <c r="WQS15" s="60"/>
      <c r="WQT15" s="60"/>
      <c r="WQU15" s="60"/>
      <c r="WQV15" s="60"/>
      <c r="WQW15" s="60"/>
      <c r="WQX15" s="60"/>
      <c r="WQY15" s="60"/>
      <c r="WQZ15" s="60"/>
      <c r="WRA15" s="60"/>
      <c r="WRB15" s="60"/>
      <c r="WRC15" s="60"/>
      <c r="WRD15" s="60"/>
      <c r="WRE15" s="60"/>
      <c r="WRF15" s="60"/>
      <c r="WRG15" s="60"/>
      <c r="WRH15" s="60"/>
      <c r="WRI15" s="60"/>
      <c r="WRJ15" s="60"/>
      <c r="WRK15" s="60"/>
      <c r="WRL15" s="60"/>
      <c r="WRM15" s="60"/>
      <c r="WRN15" s="60"/>
      <c r="WRO15" s="60"/>
      <c r="WRP15" s="60"/>
      <c r="WRQ15" s="60"/>
      <c r="WRR15" s="60"/>
      <c r="WRS15" s="60"/>
      <c r="WRT15" s="60"/>
      <c r="WRU15" s="60"/>
      <c r="WRV15" s="60"/>
      <c r="WRW15" s="60"/>
      <c r="WRX15" s="60"/>
      <c r="WRY15" s="60"/>
      <c r="WRZ15" s="60"/>
      <c r="WSA15" s="60"/>
      <c r="WSB15" s="60"/>
      <c r="WSC15" s="60"/>
      <c r="WSD15" s="60"/>
      <c r="WSE15" s="60"/>
      <c r="WSF15" s="60"/>
      <c r="WSG15" s="60"/>
      <c r="WSH15" s="60"/>
      <c r="WSI15" s="60"/>
      <c r="WSJ15" s="60"/>
      <c r="WSK15" s="60"/>
      <c r="WSL15" s="60"/>
      <c r="WSM15" s="60"/>
      <c r="WSN15" s="60"/>
      <c r="WSO15" s="60"/>
      <c r="WSP15" s="60"/>
      <c r="WSQ15" s="60"/>
      <c r="WSR15" s="60"/>
      <c r="WSS15" s="60"/>
      <c r="WST15" s="60"/>
      <c r="WSU15" s="60"/>
      <c r="WSV15" s="60"/>
      <c r="WSW15" s="60"/>
      <c r="WSX15" s="60"/>
      <c r="WSY15" s="60"/>
      <c r="WSZ15" s="60"/>
      <c r="WTA15" s="60"/>
      <c r="WTB15" s="60"/>
      <c r="WTC15" s="60"/>
      <c r="WTD15" s="60"/>
      <c r="WTE15" s="60"/>
      <c r="WTF15" s="60"/>
      <c r="WTG15" s="60"/>
      <c r="WTH15" s="60"/>
      <c r="WTI15" s="60"/>
      <c r="WTJ15" s="60"/>
      <c r="WTK15" s="60"/>
      <c r="WTL15" s="60"/>
      <c r="WTM15" s="60"/>
      <c r="WTN15" s="60"/>
      <c r="WTO15" s="60"/>
      <c r="WTP15" s="60"/>
      <c r="WTQ15" s="60"/>
      <c r="WTR15" s="60"/>
      <c r="WTS15" s="60"/>
      <c r="WTT15" s="60"/>
      <c r="WTU15" s="60"/>
      <c r="WTV15" s="60"/>
      <c r="WTW15" s="60"/>
      <c r="WTX15" s="60"/>
      <c r="WTY15" s="60"/>
      <c r="WTZ15" s="60"/>
      <c r="WUA15" s="60"/>
      <c r="WUB15" s="60"/>
      <c r="WUC15" s="60"/>
      <c r="WUD15" s="60"/>
      <c r="WUE15" s="60"/>
      <c r="WUF15" s="60"/>
      <c r="WUG15" s="60"/>
      <c r="WUH15" s="60"/>
      <c r="WUI15" s="60"/>
      <c r="WUJ15" s="60"/>
      <c r="WUK15" s="60"/>
      <c r="WUL15" s="60"/>
      <c r="WUM15" s="60"/>
      <c r="WUN15" s="60"/>
      <c r="WUO15" s="60"/>
      <c r="WUP15" s="60"/>
      <c r="WUQ15" s="60"/>
      <c r="WUR15" s="60"/>
      <c r="WUS15" s="60"/>
      <c r="WUT15" s="60"/>
      <c r="WUU15" s="60"/>
      <c r="WUV15" s="60"/>
      <c r="WUW15" s="60"/>
      <c r="WUX15" s="60"/>
      <c r="WUY15" s="60"/>
      <c r="WUZ15" s="60"/>
      <c r="WVA15" s="60"/>
      <c r="WVB15" s="60"/>
      <c r="WVC15" s="60"/>
      <c r="WVD15" s="60"/>
      <c r="WVE15" s="60"/>
      <c r="WVF15" s="60"/>
      <c r="WVG15" s="60"/>
      <c r="WVH15" s="60"/>
      <c r="WVI15" s="60"/>
      <c r="WVJ15" s="60"/>
      <c r="WVK15" s="60"/>
      <c r="WVL15" s="60"/>
      <c r="WVM15" s="60"/>
      <c r="WVN15" s="60"/>
      <c r="WVO15" s="60"/>
      <c r="WVP15" s="60"/>
      <c r="WVQ15" s="60"/>
      <c r="WVR15" s="60"/>
      <c r="WVS15" s="60"/>
      <c r="WVT15" s="60"/>
      <c r="WVU15" s="60"/>
      <c r="WVV15" s="60"/>
      <c r="WVW15" s="60"/>
      <c r="WVX15" s="60"/>
      <c r="WVY15" s="60"/>
      <c r="WVZ15" s="60"/>
      <c r="WWA15" s="60"/>
      <c r="WWB15" s="60"/>
      <c r="WWC15" s="60"/>
      <c r="WWD15" s="60"/>
      <c r="WWE15" s="60"/>
      <c r="WWF15" s="60"/>
      <c r="WWG15" s="60"/>
      <c r="WWH15" s="60"/>
      <c r="WWI15" s="60"/>
      <c r="WWJ15" s="60"/>
      <c r="WWK15" s="60"/>
      <c r="WWL15" s="60"/>
      <c r="WWM15" s="60"/>
      <c r="WWN15" s="60"/>
      <c r="WWO15" s="60"/>
      <c r="WWP15" s="60"/>
      <c r="WWQ15" s="60"/>
      <c r="WWR15" s="60"/>
      <c r="WWS15" s="60"/>
      <c r="WWT15" s="60"/>
      <c r="WWU15" s="60"/>
      <c r="WWV15" s="60"/>
      <c r="WWW15" s="60"/>
      <c r="WWX15" s="60"/>
      <c r="WWY15" s="60"/>
      <c r="WWZ15" s="60"/>
      <c r="WXA15" s="60"/>
      <c r="WXB15" s="60"/>
      <c r="WXC15" s="60"/>
      <c r="WXD15" s="60"/>
      <c r="WXE15" s="60"/>
      <c r="WXF15" s="60"/>
      <c r="WXG15" s="60"/>
      <c r="WXH15" s="60"/>
      <c r="WXI15" s="60"/>
      <c r="WXJ15" s="60"/>
      <c r="WXK15" s="60"/>
      <c r="WXL15" s="60"/>
      <c r="WXM15" s="60"/>
      <c r="WXN15" s="60"/>
      <c r="WXO15" s="60"/>
      <c r="WXP15" s="60"/>
      <c r="WXQ15" s="60"/>
      <c r="WXR15" s="60"/>
      <c r="WXS15" s="60"/>
      <c r="WXT15" s="60"/>
      <c r="WXU15" s="60"/>
      <c r="WXV15" s="60"/>
      <c r="WXW15" s="60"/>
      <c r="WXX15" s="60"/>
      <c r="WXY15" s="60"/>
      <c r="WXZ15" s="60"/>
      <c r="WYA15" s="60"/>
      <c r="WYB15" s="60"/>
      <c r="WYC15" s="60"/>
      <c r="WYD15" s="60"/>
      <c r="WYE15" s="60"/>
      <c r="WYF15" s="60"/>
      <c r="WYG15" s="60"/>
      <c r="WYH15" s="60"/>
      <c r="WYI15" s="60"/>
      <c r="WYJ15" s="60"/>
      <c r="WYK15" s="60"/>
      <c r="WYL15" s="60"/>
      <c r="WYM15" s="60"/>
      <c r="WYN15" s="60"/>
      <c r="WYO15" s="60"/>
      <c r="WYP15" s="60"/>
      <c r="WYQ15" s="60"/>
      <c r="WYR15" s="60"/>
      <c r="WYS15" s="60"/>
      <c r="WYT15" s="60"/>
      <c r="WYU15" s="60"/>
      <c r="WYV15" s="60"/>
      <c r="WYW15" s="60"/>
      <c r="WYX15" s="60"/>
      <c r="WYY15" s="60"/>
      <c r="WYZ15" s="60"/>
      <c r="WZA15" s="60"/>
      <c r="WZB15" s="60"/>
      <c r="WZC15" s="60"/>
      <c r="WZD15" s="60"/>
      <c r="WZE15" s="60"/>
      <c r="WZF15" s="60"/>
      <c r="WZG15" s="60"/>
      <c r="WZH15" s="60"/>
      <c r="WZI15" s="60"/>
      <c r="WZJ15" s="60"/>
      <c r="WZK15" s="60"/>
      <c r="WZL15" s="60"/>
      <c r="WZM15" s="60"/>
      <c r="WZN15" s="60"/>
      <c r="WZO15" s="60"/>
      <c r="WZP15" s="60"/>
      <c r="WZQ15" s="60"/>
      <c r="WZR15" s="60"/>
      <c r="WZS15" s="60"/>
      <c r="WZT15" s="60"/>
      <c r="WZU15" s="60"/>
      <c r="WZV15" s="60"/>
      <c r="WZW15" s="60"/>
      <c r="WZX15" s="60"/>
      <c r="WZY15" s="60"/>
      <c r="WZZ15" s="60"/>
      <c r="XAA15" s="60"/>
      <c r="XAB15" s="60"/>
      <c r="XAC15" s="60"/>
      <c r="XAD15" s="60"/>
      <c r="XAE15" s="60"/>
      <c r="XAF15" s="60"/>
      <c r="XAG15" s="60"/>
      <c r="XAH15" s="60"/>
      <c r="XAI15" s="60"/>
      <c r="XAJ15" s="60"/>
      <c r="XAK15" s="60"/>
      <c r="XAL15" s="60"/>
      <c r="XAM15" s="60"/>
      <c r="XAN15" s="60"/>
      <c r="XAO15" s="60"/>
      <c r="XAP15" s="60"/>
      <c r="XAQ15" s="60"/>
      <c r="XAR15" s="60"/>
      <c r="XAS15" s="60"/>
      <c r="XAT15" s="60"/>
      <c r="XAU15" s="60"/>
      <c r="XAV15" s="60"/>
      <c r="XAW15" s="60"/>
      <c r="XAX15" s="60"/>
      <c r="XAY15" s="60"/>
      <c r="XAZ15" s="60"/>
      <c r="XBA15" s="60"/>
      <c r="XBB15" s="60"/>
      <c r="XBC15" s="60"/>
      <c r="XBD15" s="60"/>
      <c r="XBE15" s="60"/>
      <c r="XBF15" s="60"/>
      <c r="XBG15" s="60"/>
      <c r="XBH15" s="60"/>
      <c r="XBI15" s="60"/>
      <c r="XBJ15" s="60"/>
      <c r="XBK15" s="60"/>
      <c r="XBL15" s="60"/>
      <c r="XBM15" s="60"/>
      <c r="XBN15" s="60"/>
      <c r="XBO15" s="60"/>
      <c r="XBP15" s="60"/>
      <c r="XBQ15" s="60"/>
      <c r="XBR15" s="60"/>
      <c r="XBS15" s="60"/>
      <c r="XBT15" s="60"/>
      <c r="XBU15" s="60"/>
      <c r="XBV15" s="60"/>
      <c r="XBW15" s="60"/>
      <c r="XBX15" s="60"/>
      <c r="XBY15" s="60"/>
      <c r="XBZ15" s="60"/>
      <c r="XCA15" s="60"/>
      <c r="XCB15" s="60"/>
      <c r="XCC15" s="60"/>
      <c r="XCD15" s="60"/>
      <c r="XCE15" s="60"/>
      <c r="XCF15" s="60"/>
      <c r="XCG15" s="60"/>
      <c r="XCH15" s="60"/>
      <c r="XCI15" s="60"/>
      <c r="XCJ15" s="60"/>
      <c r="XCK15" s="60"/>
      <c r="XCL15" s="60"/>
      <c r="XCM15" s="60"/>
      <c r="XCN15" s="60"/>
      <c r="XCO15" s="60"/>
      <c r="XCP15" s="60"/>
      <c r="XCQ15" s="60"/>
      <c r="XCR15" s="60"/>
      <c r="XCS15" s="60"/>
      <c r="XCT15" s="60"/>
      <c r="XCU15" s="60"/>
      <c r="XCV15" s="60"/>
      <c r="XCW15" s="60"/>
      <c r="XCX15" s="60"/>
      <c r="XCY15" s="60"/>
      <c r="XCZ15" s="60"/>
      <c r="XDA15" s="60"/>
      <c r="XDB15" s="60"/>
      <c r="XDC15" s="60"/>
      <c r="XDD15" s="60"/>
      <c r="XDE15" s="60"/>
      <c r="XDF15" s="60"/>
      <c r="XDG15" s="60"/>
      <c r="XDH15" s="60"/>
      <c r="XDI15" s="60"/>
      <c r="XDJ15" s="60"/>
      <c r="XDK15" s="60"/>
      <c r="XDL15" s="60"/>
      <c r="XDM15" s="60"/>
      <c r="XDN15" s="60"/>
      <c r="XDO15" s="60"/>
      <c r="XDP15" s="60"/>
      <c r="XDQ15" s="60"/>
      <c r="XDR15" s="60"/>
      <c r="XDS15" s="60"/>
      <c r="XDT15" s="60"/>
      <c r="XDU15" s="60"/>
      <c r="XDV15" s="60"/>
      <c r="XDW15" s="60"/>
      <c r="XDX15" s="60"/>
      <c r="XDY15" s="60"/>
      <c r="XDZ15" s="60"/>
      <c r="XEA15" s="60"/>
      <c r="XEB15" s="60"/>
      <c r="XEC15" s="60"/>
      <c r="XED15" s="60"/>
      <c r="XEE15" s="60"/>
      <c r="XEF15" s="60"/>
      <c r="XEG15" s="60"/>
      <c r="XEH15" s="60"/>
      <c r="XEI15" s="60"/>
      <c r="XEJ15" s="60"/>
      <c r="XEK15" s="60"/>
      <c r="XEL15" s="60"/>
      <c r="XEM15" s="60"/>
      <c r="XEN15" s="60"/>
      <c r="XEO15" s="60"/>
      <c r="XEP15" s="60"/>
      <c r="XEQ15" s="60"/>
      <c r="XER15" s="60"/>
      <c r="XES15" s="60"/>
      <c r="XET15" s="60"/>
      <c r="XEU15" s="60"/>
      <c r="XEV15" s="60"/>
      <c r="XEW15" s="60"/>
      <c r="XEX15" s="60"/>
      <c r="XEY15" s="60"/>
      <c r="XEZ15" s="60"/>
      <c r="XFA15" s="60"/>
      <c r="XFB15" s="60"/>
      <c r="XFC15" s="60"/>
      <c r="XFD15" s="60"/>
    </row>
    <row r="16" spans="1:16384" ht="30" customHeight="1" thickBot="1" x14ac:dyDescent="0.25">
      <c r="A16" s="2600" t="str">
        <f>F!A63</f>
        <v>F11</v>
      </c>
      <c r="B16" s="2599" t="str">
        <f>F!B63</f>
        <v>% Bare Ground &amp; Thatch</v>
      </c>
      <c r="C16" s="487" t="str">
        <f>F!C63</f>
        <v>Consider the parts of the AA that lack surface water at the driest time of the growing season. Viewed from directly above the ground layer, the predominant condition in those areas at that time is:</v>
      </c>
      <c r="D16" s="306"/>
      <c r="E16" s="512"/>
      <c r="F16" s="307"/>
      <c r="G16" s="508">
        <f>MAX(F17:F20)/MAX(E17:E20)</f>
        <v>0.8</v>
      </c>
      <c r="H16" s="2324" t="s">
        <v>25</v>
      </c>
      <c r="I16" s="2326" t="s">
        <v>349</v>
      </c>
    </row>
    <row r="17" spans="1:10" ht="42" customHeight="1" x14ac:dyDescent="0.2">
      <c r="A17" s="2600"/>
      <c r="B17" s="2599"/>
      <c r="C17" s="356" t="str">
        <f>F!C64</f>
        <v>Little or no (&lt;5%) bare ground is visible between erect stems or under canopy anywhere in the vegetated AA. Ground is extensively blanketed by dense thatch, moss, lichens, graminoids with great stem densities, or plants with ground-hugging foliage. </v>
      </c>
      <c r="D17" s="220">
        <f>F!D64</f>
        <v>0</v>
      </c>
      <c r="E17" s="300">
        <v>5</v>
      </c>
      <c r="F17" s="309">
        <f>D17*E17</f>
        <v>0</v>
      </c>
      <c r="G17" s="503"/>
      <c r="H17" s="2324"/>
      <c r="I17" s="2327"/>
    </row>
    <row r="18" spans="1:10" ht="27" customHeight="1" x14ac:dyDescent="0.2">
      <c r="A18" s="2600"/>
      <c r="B18" s="2599"/>
      <c r="C18" s="357" t="str">
        <f>F!C65</f>
        <v>Slightly bare ground (5-20% bare between plants) is visible in places, but those areas comprise less than 5% of the unflooded parts of the AA.</v>
      </c>
      <c r="D18" s="221">
        <f>F!D65</f>
        <v>1</v>
      </c>
      <c r="E18" s="300">
        <v>4</v>
      </c>
      <c r="F18" s="309">
        <f>D18*E18</f>
        <v>4</v>
      </c>
      <c r="G18" s="504"/>
      <c r="H18" s="2324"/>
      <c r="I18" s="2327"/>
    </row>
    <row r="19" spans="1:10" ht="27" customHeight="1" x14ac:dyDescent="0.2">
      <c r="A19" s="2600"/>
      <c r="B19" s="2599"/>
      <c r="C19" s="357" t="str">
        <f>F!C66</f>
        <v>Much bare ground (20-50% bare between plants) is visible in places, and those areas comprise more than 5% of the unflooded parts of the AA. </v>
      </c>
      <c r="D19" s="221">
        <f>F!D66</f>
        <v>0</v>
      </c>
      <c r="E19" s="300">
        <v>2</v>
      </c>
      <c r="F19" s="309">
        <f>D19*E19</f>
        <v>0</v>
      </c>
      <c r="G19" s="504"/>
      <c r="H19" s="2324"/>
      <c r="I19" s="2327"/>
    </row>
    <row r="20" spans="1:10" ht="15" customHeight="1" thickBot="1" x14ac:dyDescent="0.25">
      <c r="A20" s="2600"/>
      <c r="B20" s="2599"/>
      <c r="C20" s="354" t="str">
        <f>F!C67</f>
        <v>Other conditions.</v>
      </c>
      <c r="D20" s="222">
        <f>F!D67</f>
        <v>0</v>
      </c>
      <c r="E20" s="303">
        <v>0</v>
      </c>
      <c r="F20" s="311">
        <f>D20*E20</f>
        <v>0</v>
      </c>
      <c r="G20" s="509"/>
      <c r="H20" s="2324"/>
      <c r="I20" s="2328"/>
    </row>
    <row r="21" spans="1:10" ht="60" customHeight="1" thickBot="1" x14ac:dyDescent="0.25">
      <c r="A21" s="2483" t="str">
        <f>F!A69</f>
        <v>F12</v>
      </c>
      <c r="B21" s="2505" t="str">
        <f>F!B69</f>
        <v xml:space="preserve">Ground Irregularity </v>
      </c>
      <c r="C21" s="355"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21" s="501"/>
      <c r="E21" s="511"/>
      <c r="F21" s="507"/>
      <c r="G21" s="502">
        <f>MAX(F22:F24)/MAX(E22:E24)</f>
        <v>0.5</v>
      </c>
      <c r="H21" s="2529" t="s">
        <v>26</v>
      </c>
      <c r="I21" s="2326" t="s">
        <v>350</v>
      </c>
    </row>
    <row r="22" spans="1:10" ht="27" customHeight="1" x14ac:dyDescent="0.2">
      <c r="A22" s="2501"/>
      <c r="B22" s="2515"/>
      <c r="C22" s="356" t="str">
        <f>F!C70</f>
        <v>Few or none (minimal microtopography; &lt;1% of the land has such features, or entire AA is always water-covered).</v>
      </c>
      <c r="D22" s="220">
        <f>F!D70</f>
        <v>0</v>
      </c>
      <c r="E22" s="309">
        <v>0</v>
      </c>
      <c r="F22" s="309">
        <f>D22*E22</f>
        <v>0</v>
      </c>
      <c r="G22" s="503"/>
      <c r="H22" s="2404"/>
      <c r="I22" s="2327"/>
    </row>
    <row r="23" spans="1:10" ht="15" customHeight="1" x14ac:dyDescent="0.2">
      <c r="A23" s="2501"/>
      <c r="B23" s="2515"/>
      <c r="C23" s="357" t="str">
        <f>F!C71</f>
        <v>Intermediate.</v>
      </c>
      <c r="D23" s="221">
        <f>F!D71</f>
        <v>1</v>
      </c>
      <c r="E23" s="309">
        <v>1</v>
      </c>
      <c r="F23" s="309">
        <f>D23*E23</f>
        <v>1</v>
      </c>
      <c r="G23" s="504"/>
      <c r="H23" s="2404"/>
      <c r="I23" s="2327"/>
    </row>
    <row r="24" spans="1:10" ht="15.6" customHeight="1" thickBot="1" x14ac:dyDescent="0.25">
      <c r="A24" s="2502"/>
      <c r="B24" s="2516"/>
      <c r="C24" s="358" t="str">
        <f>F!C72</f>
        <v>Several (extensive micro-topography).</v>
      </c>
      <c r="D24" s="226">
        <f>F!D72</f>
        <v>0</v>
      </c>
      <c r="E24" s="505">
        <v>2</v>
      </c>
      <c r="F24" s="505">
        <f>D24*E24</f>
        <v>0</v>
      </c>
      <c r="G24" s="506"/>
      <c r="H24" s="2530"/>
      <c r="I24" s="2328"/>
    </row>
    <row r="25" spans="1:10" ht="30" customHeight="1" thickBot="1" x14ac:dyDescent="0.25">
      <c r="A25" s="2594" t="str">
        <f>F!A140</f>
        <v>F27</v>
      </c>
      <c r="B25" s="2515" t="str">
        <f>F!B140</f>
        <v>% of AA that is Flooded Only Seasonally</v>
      </c>
      <c r="C25" s="487" t="str">
        <f>F!C140</f>
        <v>The percentage of the AA's area that is between the annual high water and the annual low water (surface water) is:</v>
      </c>
      <c r="D25" s="501"/>
      <c r="E25" s="512"/>
      <c r="F25" s="307"/>
      <c r="G25" s="508">
        <f>IF((AllSat1&gt;0),"",IF((TooSmall=1),"",MAX(F26:F30)/MAX(E26:E30)))</f>
        <v>0.75</v>
      </c>
      <c r="H25" s="2324" t="s">
        <v>2338</v>
      </c>
      <c r="I25" s="2326" t="s">
        <v>342</v>
      </c>
    </row>
    <row r="26" spans="1:10" ht="15" customHeight="1" x14ac:dyDescent="0.2">
      <c r="A26" s="2594"/>
      <c r="B26" s="2515"/>
      <c r="C26" s="356" t="str">
        <f>F!C141</f>
        <v>None, or &lt;0.01 hectare and &lt;1% of the AA.  SKIP to F29.</v>
      </c>
      <c r="D26" s="220">
        <f>F!D141</f>
        <v>0</v>
      </c>
      <c r="E26" s="309">
        <v>0</v>
      </c>
      <c r="F26" s="309">
        <f>D26*E26</f>
        <v>0</v>
      </c>
      <c r="G26" s="503"/>
      <c r="H26" s="2324"/>
      <c r="I26" s="2327"/>
    </row>
    <row r="27" spans="1:10" ht="15" customHeight="1" x14ac:dyDescent="0.2">
      <c r="A27" s="2594"/>
      <c r="B27" s="2515"/>
      <c r="C27" s="357" t="str">
        <f>F!C142</f>
        <v>1-20% of the AA, or &lt;1% but &gt;0.01 ha.</v>
      </c>
      <c r="D27" s="221">
        <f>F!D142</f>
        <v>0</v>
      </c>
      <c r="E27" s="309">
        <v>1</v>
      </c>
      <c r="F27" s="309">
        <f>D27*E27</f>
        <v>0</v>
      </c>
      <c r="G27" s="504"/>
      <c r="H27" s="2324"/>
      <c r="I27" s="2327"/>
    </row>
    <row r="28" spans="1:10" ht="15" customHeight="1" x14ac:dyDescent="0.2">
      <c r="A28" s="2594"/>
      <c r="B28" s="2515"/>
      <c r="C28" s="357" t="str">
        <f>F!C143</f>
        <v>20-50% of the AA.</v>
      </c>
      <c r="D28" s="221">
        <f>F!D143</f>
        <v>0</v>
      </c>
      <c r="E28" s="309">
        <v>2</v>
      </c>
      <c r="F28" s="309">
        <f>D28*E28</f>
        <v>0</v>
      </c>
      <c r="G28" s="504"/>
      <c r="H28" s="2324"/>
      <c r="I28" s="2327"/>
    </row>
    <row r="29" spans="1:10" ht="15" customHeight="1" x14ac:dyDescent="0.2">
      <c r="A29" s="2594"/>
      <c r="B29" s="2515"/>
      <c r="C29" s="357" t="str">
        <f>F!C144</f>
        <v>50-95% of the AA.</v>
      </c>
      <c r="D29" s="221">
        <f>F!D144</f>
        <v>1</v>
      </c>
      <c r="E29" s="309">
        <v>3</v>
      </c>
      <c r="F29" s="309">
        <f>D29*E29</f>
        <v>3</v>
      </c>
      <c r="G29" s="504"/>
      <c r="H29" s="2324"/>
      <c r="I29" s="2327"/>
    </row>
    <row r="30" spans="1:10" ht="15.6" customHeight="1" thickBot="1" x14ac:dyDescent="0.25">
      <c r="A30" s="2594"/>
      <c r="B30" s="2515"/>
      <c r="C30" s="354" t="str">
        <f>F!C145</f>
        <v xml:space="preserve">&gt;95% of the AA. </v>
      </c>
      <c r="D30" s="222">
        <f>F!D145</f>
        <v>0</v>
      </c>
      <c r="E30" s="311">
        <v>4</v>
      </c>
      <c r="F30" s="311">
        <f>D30*E30</f>
        <v>0</v>
      </c>
      <c r="G30" s="509"/>
      <c r="H30" s="2324"/>
      <c r="I30" s="2328"/>
    </row>
    <row r="31" spans="1:10" s="63" customFormat="1" ht="30" customHeight="1" thickBot="1" x14ac:dyDescent="0.25">
      <c r="A31" s="2591" t="str">
        <f>F!A146</f>
        <v>F28</v>
      </c>
      <c r="B31" s="2497" t="str">
        <f>F!B146</f>
        <v>Annual Water Fluctuation Range</v>
      </c>
      <c r="C31" s="488" t="str">
        <f>F!C146</f>
        <v>The annual fluctuation in surface water level within most of the parts of the AA that contain surface water at least temporarily is:</v>
      </c>
      <c r="D31" s="501"/>
      <c r="E31" s="511"/>
      <c r="F31" s="511"/>
      <c r="G31" s="414">
        <f>IF((AllSat1&gt;0),"",IF((TooSmall=1),"",IF((NoSeasonal=1),"",MAX(F32:F36)/MAX(E32:E36))))</f>
        <v>1</v>
      </c>
      <c r="H31" s="2323" t="s">
        <v>1175</v>
      </c>
      <c r="I31" s="2323" t="s">
        <v>341</v>
      </c>
      <c r="J31" s="109"/>
    </row>
    <row r="32" spans="1:10" s="63" customFormat="1" ht="15" customHeight="1" x14ac:dyDescent="0.2">
      <c r="A32" s="2592"/>
      <c r="B32" s="2498"/>
      <c r="C32" s="489" t="str">
        <f>F!C147</f>
        <v>&lt;10 cm change (stable or nearly so).</v>
      </c>
      <c r="D32" s="223">
        <f>F!D147</f>
        <v>0</v>
      </c>
      <c r="E32" s="309">
        <v>1</v>
      </c>
      <c r="F32" s="309">
        <f>D32*E32</f>
        <v>0</v>
      </c>
      <c r="G32" s="1511"/>
      <c r="H32" s="2324"/>
      <c r="I32" s="2324"/>
      <c r="J32" s="109"/>
    </row>
    <row r="33" spans="1:10" s="63" customFormat="1" ht="15" customHeight="1" x14ac:dyDescent="0.2">
      <c r="A33" s="2592"/>
      <c r="B33" s="2498"/>
      <c r="C33" s="490" t="str">
        <f>F!C148</f>
        <v>10 cm - 50 cm change.</v>
      </c>
      <c r="D33" s="224">
        <f>F!D148</f>
        <v>0</v>
      </c>
      <c r="E33" s="309">
        <v>2</v>
      </c>
      <c r="F33" s="309">
        <f>D33*E33</f>
        <v>0</v>
      </c>
      <c r="G33" s="1511"/>
      <c r="H33" s="2324"/>
      <c r="I33" s="2324"/>
      <c r="J33" s="109"/>
    </row>
    <row r="34" spans="1:10" s="63" customFormat="1" ht="15" customHeight="1" x14ac:dyDescent="0.2">
      <c r="A34" s="2592"/>
      <c r="B34" s="2498"/>
      <c r="C34" s="490" t="str">
        <f>F!C149</f>
        <v>0.5 - 1 m change.</v>
      </c>
      <c r="D34" s="224">
        <f>F!D149</f>
        <v>0</v>
      </c>
      <c r="E34" s="309">
        <v>3</v>
      </c>
      <c r="F34" s="309">
        <f>D34*E34</f>
        <v>0</v>
      </c>
      <c r="G34" s="1511"/>
      <c r="H34" s="2324"/>
      <c r="I34" s="2324"/>
      <c r="J34" s="109"/>
    </row>
    <row r="35" spans="1:10" s="63" customFormat="1" ht="15" customHeight="1" x14ac:dyDescent="0.2">
      <c r="A35" s="2592"/>
      <c r="B35" s="2498"/>
      <c r="C35" s="490" t="str">
        <f>F!C150</f>
        <v>1-2 m change.</v>
      </c>
      <c r="D35" s="224">
        <f>F!D150</f>
        <v>0</v>
      </c>
      <c r="E35" s="309">
        <v>4</v>
      </c>
      <c r="F35" s="309">
        <f>D35*E35</f>
        <v>0</v>
      </c>
      <c r="G35" s="1511"/>
      <c r="H35" s="2324"/>
      <c r="I35" s="2324"/>
      <c r="J35" s="109"/>
    </row>
    <row r="36" spans="1:10" s="63" customFormat="1" ht="15.6" customHeight="1" thickBot="1" x14ac:dyDescent="0.25">
      <c r="A36" s="2593"/>
      <c r="B36" s="2499"/>
      <c r="C36" s="491" t="str">
        <f>F!C151</f>
        <v>&gt;2 m change.</v>
      </c>
      <c r="D36" s="225">
        <f>F!D151</f>
        <v>1</v>
      </c>
      <c r="E36" s="505">
        <v>4</v>
      </c>
      <c r="F36" s="505">
        <f>D36*E36</f>
        <v>4</v>
      </c>
      <c r="G36" s="1512"/>
      <c r="H36" s="2325"/>
      <c r="I36" s="2325"/>
      <c r="J36" s="109"/>
    </row>
    <row r="37" spans="1:10" ht="30" customHeight="1" thickBot="1" x14ac:dyDescent="0.25">
      <c r="A37" s="2594" t="str">
        <f>F!A153</f>
        <v>F29</v>
      </c>
      <c r="B37" s="2599" t="str">
        <f>F!B153</f>
        <v>Predominant Depth Class</v>
      </c>
      <c r="C37" s="487" t="str">
        <f>F!C153</f>
        <v>During most of the time when surface water is present during the growing season, its depth, averaged over the entire inundated part of the AA, is:</v>
      </c>
      <c r="D37" s="306"/>
      <c r="E37" s="512"/>
      <c r="F37" s="307"/>
      <c r="G37" s="513">
        <f>IF((AllSat1&gt;0),"",IF((TooSmall=1),"",MAX(F38:F42)/MAX(E38:E42)))</f>
        <v>0.6</v>
      </c>
      <c r="H37" s="2324" t="s">
        <v>1176</v>
      </c>
      <c r="I37" s="2326" t="s">
        <v>344</v>
      </c>
    </row>
    <row r="38" spans="1:10" ht="15" customHeight="1" x14ac:dyDescent="0.2">
      <c r="A38" s="2594"/>
      <c r="B38" s="2599"/>
      <c r="C38" s="356" t="str">
        <f>F!C154</f>
        <v>&lt;10 cm deep (but &gt;0).</v>
      </c>
      <c r="D38" s="220">
        <f>F!D154</f>
        <v>0</v>
      </c>
      <c r="E38" s="309">
        <v>1</v>
      </c>
      <c r="F38" s="309">
        <f>D38*E38</f>
        <v>0</v>
      </c>
      <c r="G38" s="503"/>
      <c r="H38" s="2324"/>
      <c r="I38" s="2327"/>
    </row>
    <row r="39" spans="1:10" ht="15" customHeight="1" x14ac:dyDescent="0.2">
      <c r="A39" s="2594"/>
      <c r="B39" s="2599"/>
      <c r="C39" s="357" t="str">
        <f>F!C155</f>
        <v>10 - 50 cm deep.</v>
      </c>
      <c r="D39" s="221">
        <f>F!D155</f>
        <v>0</v>
      </c>
      <c r="E39" s="309">
        <v>2</v>
      </c>
      <c r="F39" s="309">
        <f>D39*E39</f>
        <v>0</v>
      </c>
      <c r="G39" s="504"/>
      <c r="H39" s="2324"/>
      <c r="I39" s="2327"/>
    </row>
    <row r="40" spans="1:10" ht="15" customHeight="1" x14ac:dyDescent="0.2">
      <c r="A40" s="2594"/>
      <c r="B40" s="2599"/>
      <c r="C40" s="357" t="str">
        <f>F!C156</f>
        <v>0.5 - 1 m deep.</v>
      </c>
      <c r="D40" s="221">
        <f>F!D156</f>
        <v>1</v>
      </c>
      <c r="E40" s="309">
        <v>3</v>
      </c>
      <c r="F40" s="309">
        <f>D40*E40</f>
        <v>3</v>
      </c>
      <c r="G40" s="504"/>
      <c r="H40" s="2324"/>
      <c r="I40" s="2327"/>
    </row>
    <row r="41" spans="1:10" ht="15" customHeight="1" x14ac:dyDescent="0.2">
      <c r="A41" s="2594"/>
      <c r="B41" s="2599"/>
      <c r="C41" s="357" t="str">
        <f>F!C157</f>
        <v>1 - 2 m deep.</v>
      </c>
      <c r="D41" s="221">
        <f>F!D157</f>
        <v>0</v>
      </c>
      <c r="E41" s="309">
        <v>4</v>
      </c>
      <c r="F41" s="309">
        <f>D41*E41</f>
        <v>0</v>
      </c>
      <c r="G41" s="504"/>
      <c r="H41" s="2324"/>
      <c r="I41" s="2327"/>
    </row>
    <row r="42" spans="1:10" ht="15.6" customHeight="1" thickBot="1" x14ac:dyDescent="0.25">
      <c r="A42" s="2594"/>
      <c r="B42" s="2599"/>
      <c r="C42" s="354" t="str">
        <f>F!C158</f>
        <v>&gt;2 m deep. True for many fringe wetlands.</v>
      </c>
      <c r="D42" s="222">
        <f>F!D158</f>
        <v>0</v>
      </c>
      <c r="E42" s="311">
        <v>5</v>
      </c>
      <c r="F42" s="311">
        <f>D42*E42</f>
        <v>0</v>
      </c>
      <c r="G42" s="509"/>
      <c r="H42" s="2324"/>
      <c r="I42" s="2328"/>
    </row>
    <row r="43" spans="1:10" s="63" customFormat="1" ht="45" customHeight="1" thickBot="1" x14ac:dyDescent="0.25">
      <c r="A43" s="2500" t="str">
        <f>F!A163</f>
        <v>F31</v>
      </c>
      <c r="B43" s="2595" t="str">
        <f>F!B163</f>
        <v>% of Water That Is Ponded (not Flowing)</v>
      </c>
      <c r="C43" s="355" t="str">
        <f>F!C163</f>
        <v>During most times when surface water is present, the percentage that is (1) ponded (stagnant, or flows so slowly that fine sediment is not held in suspension) AND (2) is likely to be deeper than 0.5 m in some places, is:</v>
      </c>
      <c r="D43" s="501"/>
      <c r="E43" s="511"/>
      <c r="F43" s="507"/>
      <c r="G43" s="502">
        <f>IF((AllSat1&gt;0),"",IF((TooSmall=1),"",MAX(F44:F48)/MAX(E44:E48)))</f>
        <v>0</v>
      </c>
      <c r="H43" s="2529" t="s">
        <v>1806</v>
      </c>
      <c r="I43" s="2323" t="s">
        <v>1662</v>
      </c>
      <c r="J43" s="109"/>
    </row>
    <row r="44" spans="1:10" s="63" customFormat="1" ht="15" customHeight="1" x14ac:dyDescent="0.2">
      <c r="A44" s="2484"/>
      <c r="B44" s="2487"/>
      <c r="C44" s="356" t="str">
        <f>F!C164</f>
        <v>&lt;5% of the water, or it occupies &lt;100 sq.m cumulatively. Nearly all the surface water is flowing. SKIP to F34.</v>
      </c>
      <c r="D44" s="934">
        <f>F!D164</f>
        <v>1</v>
      </c>
      <c r="E44" s="309">
        <v>0</v>
      </c>
      <c r="F44" s="309">
        <f>D44*E44</f>
        <v>0</v>
      </c>
      <c r="G44" s="504"/>
      <c r="H44" s="2396"/>
      <c r="I44" s="2324"/>
      <c r="J44" s="109"/>
    </row>
    <row r="45" spans="1:10" s="63" customFormat="1" ht="15" customHeight="1" x14ac:dyDescent="0.2">
      <c r="A45" s="2484"/>
      <c r="B45" s="2487"/>
      <c r="C45" s="357" t="str">
        <f>F!C165</f>
        <v>5-30% of the water.</v>
      </c>
      <c r="D45" s="935">
        <f>F!D165</f>
        <v>0</v>
      </c>
      <c r="E45" s="309">
        <v>1</v>
      </c>
      <c r="F45" s="309">
        <f>D45*E45</f>
        <v>0</v>
      </c>
      <c r="G45" s="504"/>
      <c r="H45" s="2396"/>
      <c r="I45" s="2324"/>
      <c r="J45" s="109"/>
    </row>
    <row r="46" spans="1:10" s="63" customFormat="1" ht="15" customHeight="1" x14ac:dyDescent="0.2">
      <c r="A46" s="2484"/>
      <c r="B46" s="2487"/>
      <c r="C46" s="357" t="str">
        <f>F!C166</f>
        <v>30-70% of the water.</v>
      </c>
      <c r="D46" s="935">
        <f>F!D166</f>
        <v>0</v>
      </c>
      <c r="E46" s="309">
        <v>2</v>
      </c>
      <c r="F46" s="309">
        <f>D46*E46</f>
        <v>0</v>
      </c>
      <c r="G46" s="509"/>
      <c r="H46" s="2396"/>
      <c r="I46" s="2324"/>
      <c r="J46" s="109"/>
    </row>
    <row r="47" spans="1:10" s="63" customFormat="1" ht="15" customHeight="1" x14ac:dyDescent="0.2">
      <c r="A47" s="2484"/>
      <c r="B47" s="2487"/>
      <c r="C47" s="357" t="str">
        <f>F!C167</f>
        <v>70-95% of the water.</v>
      </c>
      <c r="D47" s="935">
        <f>F!D167</f>
        <v>0</v>
      </c>
      <c r="E47" s="309">
        <v>3</v>
      </c>
      <c r="F47" s="309">
        <f>D47*E47</f>
        <v>0</v>
      </c>
      <c r="G47" s="509"/>
      <c r="H47" s="2396"/>
      <c r="I47" s="2324"/>
      <c r="J47" s="109"/>
    </row>
    <row r="48" spans="1:10" s="63" customFormat="1" ht="15.6" customHeight="1" thickBot="1" x14ac:dyDescent="0.25">
      <c r="A48" s="2485"/>
      <c r="B48" s="2488"/>
      <c r="C48" s="358" t="str">
        <f>F!C168</f>
        <v>&gt;95% of the water.</v>
      </c>
      <c r="D48" s="955">
        <f>F!D168</f>
        <v>0</v>
      </c>
      <c r="E48" s="505">
        <v>4</v>
      </c>
      <c r="F48" s="505">
        <f>D48*E48</f>
        <v>0</v>
      </c>
      <c r="G48" s="506"/>
      <c r="H48" s="2408"/>
      <c r="I48" s="2325"/>
      <c r="J48" s="109"/>
    </row>
    <row r="49" spans="1:10" s="977" customFormat="1" ht="30" customHeight="1" thickBot="1" x14ac:dyDescent="0.25">
      <c r="A49" s="2505" t="str">
        <f>F!A170</f>
        <v>F33</v>
      </c>
      <c r="B49" s="2505" t="str">
        <f>F!B170</f>
        <v xml:space="preserve">% of Ponded Water that is Open </v>
      </c>
      <c r="C49" s="112" t="str">
        <f>F!C170</f>
        <v>In ducks-eye aerial view, the percentage of the ponded water that is open (lacking emergent vegetation during most of the growing season, and unhidden by a forest or shrub canopy) is:</v>
      </c>
      <c r="D49" s="1216"/>
      <c r="E49" s="511"/>
      <c r="F49" s="507"/>
      <c r="G49" s="502" t="str">
        <f>IF((AllSat1&gt;0),"",IF((TooSmall=1),"",IF((NoPonded=1),"",MAX(F50:F55)/MAX(E50:E55))))</f>
        <v/>
      </c>
      <c r="H49" s="2323" t="s">
        <v>1807</v>
      </c>
      <c r="I49" s="2326" t="s">
        <v>343</v>
      </c>
      <c r="J49" s="976"/>
    </row>
    <row r="50" spans="1:10" s="60" customFormat="1" ht="27" customHeight="1" x14ac:dyDescent="0.2">
      <c r="A50" s="2515"/>
      <c r="B50" s="2515"/>
      <c r="C50" s="356" t="str">
        <f>F!C171</f>
        <v>None, or &lt;1% of the AA and largest pool occupies &lt;0.01 hectares. Enter "1" and SKIP to F41 (Floating Algae &amp; Duckweed).</v>
      </c>
      <c r="D50" s="221">
        <f>F!D171</f>
        <v>0</v>
      </c>
      <c r="E50" s="309">
        <v>5</v>
      </c>
      <c r="F50" s="309">
        <f t="shared" ref="F50:F55" si="1">D50*E50</f>
        <v>0</v>
      </c>
      <c r="G50" s="503"/>
      <c r="H50" s="2324"/>
      <c r="I50" s="2327"/>
      <c r="J50" s="108"/>
    </row>
    <row r="51" spans="1:10" s="60" customFormat="1" ht="15" customHeight="1" x14ac:dyDescent="0.2">
      <c r="A51" s="2515"/>
      <c r="B51" s="2515"/>
      <c r="C51" s="357" t="str">
        <f>F!C172</f>
        <v>1-4% of the ponded water. Enter "1" and SKIP to F41 (Floating Algae &amp; Duckweed).</v>
      </c>
      <c r="D51" s="221">
        <f>F!D172</f>
        <v>0</v>
      </c>
      <c r="E51" s="309">
        <v>4</v>
      </c>
      <c r="F51" s="309">
        <f t="shared" si="1"/>
        <v>0</v>
      </c>
      <c r="G51" s="504"/>
      <c r="H51" s="2324"/>
      <c r="I51" s="2327"/>
      <c r="J51" s="108"/>
    </row>
    <row r="52" spans="1:10" s="60" customFormat="1" ht="15" customHeight="1" x14ac:dyDescent="0.2">
      <c r="A52" s="2515"/>
      <c r="B52" s="2515"/>
      <c r="C52" s="357" t="str">
        <f>F!C173</f>
        <v>5-30% of the ponded water.</v>
      </c>
      <c r="D52" s="221">
        <f>F!D173</f>
        <v>0</v>
      </c>
      <c r="E52" s="309">
        <v>3</v>
      </c>
      <c r="F52" s="309">
        <f t="shared" si="1"/>
        <v>0</v>
      </c>
      <c r="G52" s="504"/>
      <c r="H52" s="2324"/>
      <c r="I52" s="2327"/>
      <c r="J52" s="108"/>
    </row>
    <row r="53" spans="1:10" s="60" customFormat="1" ht="15" customHeight="1" x14ac:dyDescent="0.2">
      <c r="A53" s="2515"/>
      <c r="B53" s="2515"/>
      <c r="C53" s="357" t="str">
        <f>F!C174</f>
        <v>30-70% of the ponded water.</v>
      </c>
      <c r="D53" s="221">
        <f>F!D174</f>
        <v>0</v>
      </c>
      <c r="E53" s="309">
        <v>2</v>
      </c>
      <c r="F53" s="309">
        <f t="shared" si="1"/>
        <v>0</v>
      </c>
      <c r="G53" s="504"/>
      <c r="H53" s="2324"/>
      <c r="I53" s="2327"/>
      <c r="J53" s="108"/>
    </row>
    <row r="54" spans="1:10" s="60" customFormat="1" ht="15" customHeight="1" x14ac:dyDescent="0.2">
      <c r="A54" s="2515"/>
      <c r="B54" s="2515"/>
      <c r="C54" s="357" t="str">
        <f>F!C175</f>
        <v>70-99% of the ponded water.</v>
      </c>
      <c r="D54" s="221">
        <f>F!D175</f>
        <v>0</v>
      </c>
      <c r="E54" s="309">
        <v>1</v>
      </c>
      <c r="F54" s="309">
        <f t="shared" si="1"/>
        <v>0</v>
      </c>
      <c r="G54" s="504"/>
      <c r="H54" s="2324"/>
      <c r="I54" s="2327"/>
      <c r="J54" s="108"/>
    </row>
    <row r="55" spans="1:10" s="973" customFormat="1" ht="15.6" customHeight="1" thickBot="1" x14ac:dyDescent="0.25">
      <c r="A55" s="2516"/>
      <c r="B55" s="2516"/>
      <c r="C55" s="358" t="str">
        <f>F!C176</f>
        <v xml:space="preserve">100% of the ponded water. </v>
      </c>
      <c r="D55" s="226">
        <f>F!D176</f>
        <v>0</v>
      </c>
      <c r="E55" s="505">
        <v>0</v>
      </c>
      <c r="F55" s="505">
        <f t="shared" si="1"/>
        <v>0</v>
      </c>
      <c r="G55" s="506"/>
      <c r="H55" s="2325"/>
      <c r="I55" s="2328"/>
      <c r="J55" s="979"/>
    </row>
    <row r="56" spans="1:10" ht="30" customHeight="1" thickBot="1" x14ac:dyDescent="0.25">
      <c r="A56" s="2601" t="str">
        <f>F!A177</f>
        <v>F34</v>
      </c>
      <c r="B56" s="2596" t="str">
        <f>F!B177</f>
        <v>Width of Vegetated Zone within Wetland</v>
      </c>
      <c r="C56" s="487" t="str">
        <f>F!C177</f>
        <v>At the time during the growing season when the AA's water level is lowest, the average width of vegetated area in the AA that separates adjoining uplands from open water within the AA is:</v>
      </c>
      <c r="D56" s="306"/>
      <c r="E56" s="512"/>
      <c r="F56" s="307"/>
      <c r="G56" s="508">
        <f>IF((AllSat1&gt;0),"",IF((TooSmall=1),"",IF((NoOpenPonded=1),"", (MAX(F57:F62)/MAX(E57:E62)))))</f>
        <v>1</v>
      </c>
      <c r="H56" s="2324" t="s">
        <v>1808</v>
      </c>
      <c r="I56" s="2326" t="s">
        <v>345</v>
      </c>
    </row>
    <row r="57" spans="1:10" ht="21" customHeight="1" x14ac:dyDescent="0.2">
      <c r="A57" s="2597"/>
      <c r="B57" s="2597"/>
      <c r="C57" s="356" t="str">
        <f>F!C178</f>
        <v>&lt;1 m.</v>
      </c>
      <c r="D57" s="220">
        <f>F!D178</f>
        <v>0</v>
      </c>
      <c r="E57" s="309">
        <v>0</v>
      </c>
      <c r="F57" s="309">
        <f t="shared" ref="F57:F62" si="2">D57*E57</f>
        <v>0</v>
      </c>
      <c r="G57" s="503"/>
      <c r="H57" s="2324"/>
      <c r="I57" s="2327"/>
    </row>
    <row r="58" spans="1:10" ht="21" customHeight="1" x14ac:dyDescent="0.2">
      <c r="A58" s="2597"/>
      <c r="B58" s="2597"/>
      <c r="C58" s="356" t="str">
        <f>F!C179</f>
        <v>1 - 9 m.</v>
      </c>
      <c r="D58" s="220">
        <f>F!D179</f>
        <v>0</v>
      </c>
      <c r="E58" s="309">
        <v>2</v>
      </c>
      <c r="F58" s="309">
        <f t="shared" si="2"/>
        <v>0</v>
      </c>
      <c r="G58" s="504"/>
      <c r="H58" s="2324"/>
      <c r="I58" s="2327"/>
    </row>
    <row r="59" spans="1:10" ht="21" customHeight="1" x14ac:dyDescent="0.2">
      <c r="A59" s="2597"/>
      <c r="B59" s="2597"/>
      <c r="C59" s="356" t="str">
        <f>F!C180</f>
        <v>10 - 29 m.</v>
      </c>
      <c r="D59" s="220">
        <f>F!D180</f>
        <v>0</v>
      </c>
      <c r="E59" s="309">
        <v>3</v>
      </c>
      <c r="F59" s="309">
        <f t="shared" si="2"/>
        <v>0</v>
      </c>
      <c r="G59" s="504"/>
      <c r="H59" s="2324"/>
      <c r="I59" s="2327"/>
    </row>
    <row r="60" spans="1:10" ht="21" customHeight="1" x14ac:dyDescent="0.2">
      <c r="A60" s="2597"/>
      <c r="B60" s="2597"/>
      <c r="C60" s="356" t="str">
        <f>F!C181</f>
        <v>30 - 49 m.</v>
      </c>
      <c r="D60" s="220">
        <f>F!D181</f>
        <v>0</v>
      </c>
      <c r="E60" s="309">
        <v>4</v>
      </c>
      <c r="F60" s="309">
        <f t="shared" si="2"/>
        <v>0</v>
      </c>
      <c r="G60" s="504"/>
      <c r="H60" s="2324"/>
      <c r="I60" s="2327"/>
    </row>
    <row r="61" spans="1:10" ht="21" customHeight="1" x14ac:dyDescent="0.2">
      <c r="A61" s="2597"/>
      <c r="B61" s="2597"/>
      <c r="C61" s="356" t="str">
        <f>F!C182</f>
        <v>50 - 100 m.</v>
      </c>
      <c r="D61" s="220">
        <f>F!D182</f>
        <v>0</v>
      </c>
      <c r="E61" s="309">
        <v>5</v>
      </c>
      <c r="F61" s="309">
        <f t="shared" si="2"/>
        <v>0</v>
      </c>
      <c r="G61" s="504"/>
      <c r="H61" s="2324"/>
      <c r="I61" s="2327"/>
    </row>
    <row r="62" spans="1:10" ht="21" customHeight="1" thickBot="1" x14ac:dyDescent="0.25">
      <c r="A62" s="2602"/>
      <c r="B62" s="2598"/>
      <c r="C62" s="356" t="str">
        <f>F!C183</f>
        <v>&gt; 100 m, or open water is absent at that time.</v>
      </c>
      <c r="D62" s="220">
        <f>F!D183</f>
        <v>1</v>
      </c>
      <c r="E62" s="311">
        <v>7</v>
      </c>
      <c r="F62" s="311">
        <f t="shared" si="2"/>
        <v>7</v>
      </c>
      <c r="G62" s="509"/>
      <c r="H62" s="2324"/>
      <c r="I62" s="2328"/>
    </row>
    <row r="63" spans="1:10" ht="30" customHeight="1" thickBot="1" x14ac:dyDescent="0.25">
      <c r="A63" s="2483" t="str">
        <f>F!A184</f>
        <v>F35</v>
      </c>
      <c r="B63" s="2505" t="str">
        <f>F!B184</f>
        <v>Flat Shoreline Extent</v>
      </c>
      <c r="C63" s="355" t="str">
        <f>F!C184</f>
        <v>During most of the part of the growing season when water is present, the percentage of the AA's water edge length that is nearly flat (a slope less than about 5% measured within 5 m landward of the water) is:</v>
      </c>
      <c r="D63" s="501"/>
      <c r="E63" s="511"/>
      <c r="F63" s="511"/>
      <c r="G63" s="499">
        <f>IF((AllSat1&gt;0),"",IF((TooSmall=1),"",IF((NoOpenPonded=1),"",MAX(F64:F68)/MAX(E64:E68))))</f>
        <v>0.25</v>
      </c>
      <c r="H63" s="2323" t="s">
        <v>1446</v>
      </c>
      <c r="I63" s="2326" t="s">
        <v>2848</v>
      </c>
    </row>
    <row r="64" spans="1:10" ht="15" customHeight="1" x14ac:dyDescent="0.2">
      <c r="A64" s="2501"/>
      <c r="B64" s="2515"/>
      <c r="C64" s="356" t="str">
        <f>F!C185</f>
        <v>&lt;1% of the water edge.</v>
      </c>
      <c r="D64" s="220">
        <f>F!D185</f>
        <v>0</v>
      </c>
      <c r="E64" s="309">
        <v>0</v>
      </c>
      <c r="F64" s="311">
        <f>D64*E64</f>
        <v>0</v>
      </c>
      <c r="G64" s="504"/>
      <c r="H64" s="2324"/>
      <c r="I64" s="2327"/>
    </row>
    <row r="65" spans="1:9" ht="15" customHeight="1" x14ac:dyDescent="0.2">
      <c r="A65" s="2501"/>
      <c r="B65" s="2515"/>
      <c r="C65" s="357" t="str">
        <f>F!C186</f>
        <v>1-25% of the water edge.</v>
      </c>
      <c r="D65" s="221">
        <f>F!D186</f>
        <v>1</v>
      </c>
      <c r="E65" s="309">
        <v>1</v>
      </c>
      <c r="F65" s="311">
        <f>D65*E65</f>
        <v>1</v>
      </c>
      <c r="G65" s="504"/>
      <c r="H65" s="2324"/>
      <c r="I65" s="2327"/>
    </row>
    <row r="66" spans="1:9" ht="15" customHeight="1" x14ac:dyDescent="0.2">
      <c r="A66" s="2501"/>
      <c r="B66" s="2515"/>
      <c r="C66" s="357" t="str">
        <f>F!C187</f>
        <v>25-50% of the water edge.</v>
      </c>
      <c r="D66" s="221">
        <f>F!D187</f>
        <v>0</v>
      </c>
      <c r="E66" s="309">
        <v>2</v>
      </c>
      <c r="F66" s="311">
        <f>D66*E66</f>
        <v>0</v>
      </c>
      <c r="G66" s="504"/>
      <c r="H66" s="2324"/>
      <c r="I66" s="2327"/>
    </row>
    <row r="67" spans="1:9" ht="15" customHeight="1" x14ac:dyDescent="0.2">
      <c r="A67" s="2501"/>
      <c r="B67" s="2515"/>
      <c r="C67" s="357" t="str">
        <f>F!C188</f>
        <v>50-75% of the water edge.</v>
      </c>
      <c r="D67" s="221">
        <f>F!D188</f>
        <v>0</v>
      </c>
      <c r="E67" s="309">
        <v>3</v>
      </c>
      <c r="F67" s="311">
        <f>D67*E67</f>
        <v>0</v>
      </c>
      <c r="G67" s="504"/>
      <c r="H67" s="2324"/>
      <c r="I67" s="2327"/>
    </row>
    <row r="68" spans="1:9" ht="15.6" customHeight="1" thickBot="1" x14ac:dyDescent="0.25">
      <c r="A68" s="2502"/>
      <c r="B68" s="2516"/>
      <c r="C68" s="358" t="str">
        <f>F!C189</f>
        <v>&gt;75% of the water edge.</v>
      </c>
      <c r="D68" s="226">
        <f>F!D189</f>
        <v>0</v>
      </c>
      <c r="E68" s="505">
        <v>4</v>
      </c>
      <c r="F68" s="505">
        <f>D68*E68</f>
        <v>0</v>
      </c>
      <c r="G68" s="506"/>
      <c r="H68" s="2325"/>
      <c r="I68" s="2328"/>
    </row>
    <row r="69" spans="1:9" ht="30" customHeight="1" thickBot="1" x14ac:dyDescent="0.25">
      <c r="A69" s="2500" t="str">
        <f>F!A195</f>
        <v>F37</v>
      </c>
      <c r="B69" s="2595" t="str">
        <f>F!B195</f>
        <v>Interspersion of Emergents &amp; Open Water</v>
      </c>
      <c r="C69" s="492" t="str">
        <f>F!C195</f>
        <v>During most of the part of the growing season when water is present, the spatial pattern of emergent vegetation within the water is mostly:</v>
      </c>
      <c r="D69" s="501"/>
      <c r="E69" s="511"/>
      <c r="F69" s="507"/>
      <c r="G69" s="499">
        <f>IF((AllSat1&gt;0),"",IF((TooSmall=1),"",IF((NoOpenPonded=1),"",IF((NoOpenPonded+NoOpenPonded1&gt;0),"",IF((AllOpenPond=1),"",IF((NoRobustEm=1),"",MAX(F70:F72)/MAX(E70:E72)))))))</f>
        <v>0</v>
      </c>
      <c r="H69" s="2323" t="s">
        <v>1177</v>
      </c>
      <c r="I69" s="2326" t="s">
        <v>996</v>
      </c>
    </row>
    <row r="70" spans="1:9" ht="15" customHeight="1" x14ac:dyDescent="0.2">
      <c r="A70" s="2606"/>
      <c r="B70" s="2611"/>
      <c r="C70" s="493" t="str">
        <f>F!C196</f>
        <v>Scattered. More than 30% of such vegetation forms small islands or corridors surrounded by water.</v>
      </c>
      <c r="D70" s="227">
        <f>F!D196</f>
        <v>0</v>
      </c>
      <c r="E70" s="309">
        <v>2</v>
      </c>
      <c r="F70" s="309">
        <f>D70*E70</f>
        <v>0</v>
      </c>
      <c r="G70" s="504"/>
      <c r="H70" s="2324"/>
      <c r="I70" s="2327"/>
    </row>
    <row r="71" spans="1:9" ht="15" customHeight="1" x14ac:dyDescent="0.2">
      <c r="A71" s="2606"/>
      <c r="B71" s="2611"/>
      <c r="C71" s="494" t="str">
        <f>F!C197</f>
        <v>Intermediate.</v>
      </c>
      <c r="D71" s="228">
        <f>F!D197</f>
        <v>0</v>
      </c>
      <c r="E71" s="309">
        <v>1</v>
      </c>
      <c r="F71" s="309">
        <f>D71*E71</f>
        <v>0</v>
      </c>
      <c r="G71" s="504"/>
      <c r="H71" s="2324"/>
      <c r="I71" s="2327"/>
    </row>
    <row r="72" spans="1:9" ht="27" customHeight="1" thickBot="1" x14ac:dyDescent="0.25">
      <c r="A72" s="2607"/>
      <c r="B72" s="2612"/>
      <c r="C72" s="495" t="str">
        <f>F!C198</f>
        <v>Clumped. More than 70% of such vegetation is in bands along the wetland perimeter or is clumped at one or a few sides of the surface water area.</v>
      </c>
      <c r="D72" s="229">
        <f>F!D198</f>
        <v>1</v>
      </c>
      <c r="E72" s="505">
        <v>0</v>
      </c>
      <c r="F72" s="505">
        <f>D72*E72</f>
        <v>0</v>
      </c>
      <c r="G72" s="506"/>
      <c r="H72" s="2325"/>
      <c r="I72" s="2328"/>
    </row>
    <row r="73" spans="1:9" ht="60" customHeight="1" thickBot="1" x14ac:dyDescent="0.25">
      <c r="A73" s="2483" t="str">
        <f>F!A206</f>
        <v>F42</v>
      </c>
      <c r="B73" s="2608" t="str">
        <f>F!B206</f>
        <v>Channel Connection &amp; Outflow Duration</v>
      </c>
      <c r="C73" s="355"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73" s="501"/>
      <c r="E73" s="511"/>
      <c r="F73" s="507"/>
      <c r="G73" s="502">
        <f>MAX(F74:F78)/MAX(E74:E78)</f>
        <v>0.33333333333333331</v>
      </c>
      <c r="H73" s="2323" t="s">
        <v>1809</v>
      </c>
      <c r="I73" s="2326" t="s">
        <v>346</v>
      </c>
    </row>
    <row r="74" spans="1:9" ht="17.45" customHeight="1" x14ac:dyDescent="0.2">
      <c r="A74" s="2501"/>
      <c r="B74" s="2599"/>
      <c r="C74" s="356" t="str">
        <f>F!C207</f>
        <v>Persistent (surface water flows out for &gt;9 months/year).</v>
      </c>
      <c r="D74" s="220">
        <f>F!D207</f>
        <v>0</v>
      </c>
      <c r="E74" s="309">
        <v>1</v>
      </c>
      <c r="F74" s="309">
        <f>D74*E74</f>
        <v>0</v>
      </c>
      <c r="G74" s="503"/>
      <c r="H74" s="2324"/>
      <c r="I74" s="2327"/>
    </row>
    <row r="75" spans="1:9" ht="15" customHeight="1" x14ac:dyDescent="0.2">
      <c r="A75" s="2501"/>
      <c r="B75" s="2599"/>
      <c r="C75" s="357" t="str">
        <f>F!C208</f>
        <v>Seasonal (surface water flows out for 14 days to 9 months/year, not necessarily consecutive).</v>
      </c>
      <c r="D75" s="221">
        <f>F!D208</f>
        <v>1</v>
      </c>
      <c r="E75" s="309">
        <v>2</v>
      </c>
      <c r="F75" s="309">
        <f>D75*E75</f>
        <v>2</v>
      </c>
      <c r="G75" s="504"/>
      <c r="H75" s="2324"/>
      <c r="I75" s="2327"/>
    </row>
    <row r="76" spans="1:9" ht="17.25" customHeight="1" x14ac:dyDescent="0.2">
      <c r="A76" s="2501"/>
      <c r="B76" s="2599"/>
      <c r="C76" s="357" t="str">
        <f>F!C209</f>
        <v>Temporary (surface water flows out for &lt;14 days, not necessarily consecutive).</v>
      </c>
      <c r="D76" s="221">
        <f>F!D209</f>
        <v>0</v>
      </c>
      <c r="E76" s="309">
        <v>3</v>
      </c>
      <c r="F76" s="309">
        <f>D76*E76</f>
        <v>0</v>
      </c>
      <c r="G76" s="504"/>
      <c r="H76" s="2324"/>
      <c r="I76" s="2327"/>
    </row>
    <row r="77" spans="1:9" ht="27" customHeight="1" x14ac:dyDescent="0.2">
      <c r="A77" s="2501"/>
      <c r="B77" s="2599"/>
      <c r="C77" s="357" t="str">
        <f>F!C210</f>
        <v>None -- but maps show a stream network downslope from the AA and within a distance that is less than the AA's length. SKIP to F47 (pH Measurement).</v>
      </c>
      <c r="D77" s="221">
        <f>F!D210</f>
        <v>0</v>
      </c>
      <c r="E77" s="515">
        <v>6</v>
      </c>
      <c r="F77" s="309">
        <f>D77*E77</f>
        <v>0</v>
      </c>
      <c r="G77" s="509"/>
      <c r="H77" s="2324"/>
      <c r="I77" s="2327"/>
    </row>
    <row r="78" spans="1:9" ht="27" customHeight="1" thickBot="1" x14ac:dyDescent="0.25">
      <c r="A78" s="2502"/>
      <c r="B78" s="2615"/>
      <c r="C78" s="496" t="str">
        <f>F!C211</f>
        <v>No surface water flows out of the wetland except possibly during extreme events (&lt;once per 10 years). Or, water flows only into a wetland, ditch, or lake that lacks an outlet. SKIP to F47 (pH Measurement).</v>
      </c>
      <c r="D78" s="231">
        <f>F!D211</f>
        <v>0</v>
      </c>
      <c r="E78" s="505">
        <v>6</v>
      </c>
      <c r="F78" s="505">
        <f>D78*E78</f>
        <v>0</v>
      </c>
      <c r="G78" s="506"/>
      <c r="H78" s="2325"/>
      <c r="I78" s="2328"/>
    </row>
    <row r="79" spans="1:9" ht="30" customHeight="1" thickBot="1" x14ac:dyDescent="0.25">
      <c r="A79" s="2483" t="str">
        <f>F!A212</f>
        <v>F43</v>
      </c>
      <c r="B79" s="2505" t="str">
        <f>F!B212</f>
        <v xml:space="preserve">Outflow Confinement </v>
      </c>
      <c r="C79" s="355" t="str">
        <f>F!C212</f>
        <v>During major runoff events, in the places where surface water exits the AA or connected waters nearby, the water:</v>
      </c>
      <c r="D79" s="501"/>
      <c r="E79" s="511"/>
      <c r="F79" s="507"/>
      <c r="G79" s="502">
        <f>IF((OutNone+OutNone1&gt;0),"",MAX(F80:F82)/MAX(E80:E82))</f>
        <v>0.5</v>
      </c>
      <c r="H79" s="2529" t="s">
        <v>1810</v>
      </c>
      <c r="I79" s="2326" t="s">
        <v>347</v>
      </c>
    </row>
    <row r="80" spans="1:9" ht="42" customHeight="1" x14ac:dyDescent="0.2">
      <c r="A80" s="2501"/>
      <c r="B80" s="2515"/>
      <c r="C80" s="356" t="str">
        <f>F!C213</f>
        <v>Mostly passes through a pipe, culvert, narrowly breached dike, berm, beaver dam, or other partial obstruction (other than natural topography) that does not appear to drain the wetland artificially during most of the growing season.</v>
      </c>
      <c r="D80" s="220">
        <f>F!D213</f>
        <v>0</v>
      </c>
      <c r="E80" s="309">
        <v>2</v>
      </c>
      <c r="F80" s="309">
        <f>D80*E80</f>
        <v>0</v>
      </c>
      <c r="G80" s="503"/>
      <c r="H80" s="2404"/>
      <c r="I80" s="2327"/>
    </row>
    <row r="81" spans="1:10" ht="15" customHeight="1" x14ac:dyDescent="0.2">
      <c r="A81" s="2501"/>
      <c r="B81" s="2515"/>
      <c r="C81" s="357" t="str">
        <f>F!C214</f>
        <v>Leaves through natural exits (channels or diffuse outflow), not mainly through artificial or temporary features.</v>
      </c>
      <c r="D81" s="221">
        <f>F!D214</f>
        <v>1</v>
      </c>
      <c r="E81" s="309">
        <v>1</v>
      </c>
      <c r="F81" s="309">
        <f>D81*E81</f>
        <v>1</v>
      </c>
      <c r="G81" s="517"/>
      <c r="H81" s="2404"/>
      <c r="I81" s="2327"/>
    </row>
    <row r="82" spans="1:10" ht="27" customHeight="1" thickBot="1" x14ac:dyDescent="0.25">
      <c r="A82" s="2502"/>
      <c r="B82" s="2516"/>
      <c r="C82" s="358" t="str">
        <f>F!C215</f>
        <v>Is exported more quickly than usual due to ditches or pipes within the AA or connected to its outlet, or within 10 m of the AA's edge, which drain the wetland artificially, or water is pumped out of the AA.</v>
      </c>
      <c r="D82" s="226">
        <f>F!D215</f>
        <v>0</v>
      </c>
      <c r="E82" s="505">
        <v>0</v>
      </c>
      <c r="F82" s="505">
        <f>D82*E82</f>
        <v>0</v>
      </c>
      <c r="G82" s="506"/>
      <c r="H82" s="2530"/>
      <c r="I82" s="2328"/>
    </row>
    <row r="83" spans="1:10" ht="36" customHeight="1" thickBot="1" x14ac:dyDescent="0.25">
      <c r="A83" s="2603" t="str">
        <f>F!A218</f>
        <v>F46</v>
      </c>
      <c r="B83" s="2505" t="str">
        <f>F!B218</f>
        <v>Throughflow Resistance</v>
      </c>
      <c r="C83" s="487" t="str">
        <f>F!C218</f>
        <v>During its travel through the AA at the time of peak annual flow, water arriving in channels: [select only the ONE encountered by most of the incoming water].</v>
      </c>
      <c r="D83" s="501"/>
      <c r="E83" s="512"/>
      <c r="F83" s="307"/>
      <c r="G83" s="508">
        <f>IF(AND(Inflows=0,OutNone=1,OutNone1=1),"",(MAX(F84:F88)/MAX(E84:E88)))</f>
        <v>0.75</v>
      </c>
      <c r="H83" s="2323" t="s">
        <v>2245</v>
      </c>
      <c r="I83" s="2326" t="s">
        <v>348</v>
      </c>
    </row>
    <row r="84" spans="1:10" ht="45" customHeight="1" x14ac:dyDescent="0.2">
      <c r="A84" s="2604"/>
      <c r="B84" s="2515"/>
      <c r="C84" s="356" t="str">
        <f>F!C219</f>
        <v>Does not bump into many plant stems as it travels through the AA. Nearly all the water continues to travel in unvegetated (often incised) channels that have minimal contact with wetland vegetation, or through a zone of open water such as an instream pond or lake.</v>
      </c>
      <c r="D84" s="220">
        <f>F!D219</f>
        <v>0</v>
      </c>
      <c r="E84" s="309">
        <v>0</v>
      </c>
      <c r="F84" s="309">
        <f>D84*E84</f>
        <v>0</v>
      </c>
      <c r="G84" s="503"/>
      <c r="H84" s="2324"/>
      <c r="I84" s="2327"/>
    </row>
    <row r="85" spans="1:10" ht="18" customHeight="1" x14ac:dyDescent="0.2">
      <c r="A85" s="2604"/>
      <c r="B85" s="2515"/>
      <c r="C85" s="357" t="str">
        <f>F!C220</f>
        <v>Bumps into herbaceous vegetation but mostly remains in fairly straight channels.</v>
      </c>
      <c r="D85" s="221">
        <f>F!D220</f>
        <v>0</v>
      </c>
      <c r="E85" s="309">
        <v>3</v>
      </c>
      <c r="F85" s="309">
        <f>D85*E85</f>
        <v>0</v>
      </c>
      <c r="G85" s="504"/>
      <c r="H85" s="2324"/>
      <c r="I85" s="2327"/>
    </row>
    <row r="86" spans="1:10" ht="30" customHeight="1" x14ac:dyDescent="0.2">
      <c r="A86" s="2604"/>
      <c r="B86" s="2515"/>
      <c r="C86" s="357" t="str">
        <f>F!C221</f>
        <v>Bumps into herbaceous vegetation and mostly spreads throughout, or is in widely meandering, multi-branched, or braided channels.</v>
      </c>
      <c r="D86" s="221">
        <f>F!D221</f>
        <v>1</v>
      </c>
      <c r="E86" s="309">
        <v>6</v>
      </c>
      <c r="F86" s="309">
        <f>D86*E86</f>
        <v>6</v>
      </c>
      <c r="G86" s="504"/>
      <c r="H86" s="2324"/>
      <c r="I86" s="2327"/>
    </row>
    <row r="87" spans="1:10" ht="18" customHeight="1" x14ac:dyDescent="0.2">
      <c r="A87" s="2604"/>
      <c r="B87" s="2515"/>
      <c r="C87" s="357" t="str">
        <f>F!C222</f>
        <v>Bumps into tree trunks and/or shrub stems but mostly remains in fairly straight channels.</v>
      </c>
      <c r="D87" s="221">
        <f>F!D222</f>
        <v>0</v>
      </c>
      <c r="E87" s="309">
        <v>4</v>
      </c>
      <c r="F87" s="309">
        <f>D87*E87</f>
        <v>0</v>
      </c>
      <c r="G87" s="504"/>
      <c r="H87" s="2324"/>
      <c r="I87" s="2327"/>
    </row>
    <row r="88" spans="1:10" ht="33" customHeight="1" thickBot="1" x14ac:dyDescent="0.25">
      <c r="A88" s="2605"/>
      <c r="B88" s="2516"/>
      <c r="C88" s="354" t="str">
        <f>F!C223</f>
        <v>Bumps into tree trunks and/or shrub stems and follows a fairly indirect path from entrance to exit (meandering, multi-branched, or braided).</v>
      </c>
      <c r="D88" s="222">
        <f>F!D223</f>
        <v>0</v>
      </c>
      <c r="E88" s="311">
        <v>8</v>
      </c>
      <c r="F88" s="311">
        <f>D88*E88</f>
        <v>0</v>
      </c>
      <c r="G88" s="509"/>
      <c r="H88" s="2325"/>
      <c r="I88" s="2328"/>
    </row>
    <row r="89" spans="1:10" s="6" customFormat="1" ht="21" customHeight="1" thickBot="1" x14ac:dyDescent="0.25">
      <c r="A89" s="2586" t="str">
        <f>F!A241</f>
        <v>F51</v>
      </c>
      <c r="B89" s="2323" t="str">
        <f>F!B241</f>
        <v>Internal Gradient</v>
      </c>
      <c r="C89" s="1176" t="str">
        <f>F!C241</f>
        <v>The gradient along most of the flow path within the AA is:</v>
      </c>
      <c r="D89" s="833"/>
      <c r="E89" s="304"/>
      <c r="F89" s="305"/>
      <c r="G89" s="465">
        <f>MAX(F90:F93)/MAX(E90:E93)</f>
        <v>1</v>
      </c>
      <c r="H89" s="2529"/>
      <c r="I89" s="2326" t="s">
        <v>351</v>
      </c>
      <c r="J89" s="107"/>
    </row>
    <row r="90" spans="1:10" s="6" customFormat="1" ht="15" customHeight="1" x14ac:dyDescent="0.2">
      <c r="A90" s="2399"/>
      <c r="B90" s="2399"/>
      <c r="C90" s="1133" t="str">
        <f>F!C242</f>
        <v>&lt;2% or the AA has no surface water outlet (not even seasonally).</v>
      </c>
      <c r="D90" s="205">
        <f>F!D242</f>
        <v>1</v>
      </c>
      <c r="E90" s="316">
        <v>4</v>
      </c>
      <c r="F90" s="300">
        <f>D90*E90</f>
        <v>4</v>
      </c>
      <c r="G90" s="548"/>
      <c r="H90" s="2404"/>
      <c r="I90" s="2327"/>
      <c r="J90" s="107"/>
    </row>
    <row r="91" spans="1:10" s="6" customFormat="1" ht="15" customHeight="1" x14ac:dyDescent="0.2">
      <c r="A91" s="2399"/>
      <c r="B91" s="2399"/>
      <c r="C91" s="868" t="str">
        <f>F!C243</f>
        <v>2-5%.</v>
      </c>
      <c r="D91" s="205">
        <f>F!D243</f>
        <v>0</v>
      </c>
      <c r="E91" s="316">
        <v>2</v>
      </c>
      <c r="F91" s="300">
        <f>D91*E91</f>
        <v>0</v>
      </c>
      <c r="G91" s="549"/>
      <c r="H91" s="2404"/>
      <c r="I91" s="2327"/>
      <c r="J91" s="107"/>
    </row>
    <row r="92" spans="1:10" s="6" customFormat="1" ht="15" customHeight="1" x14ac:dyDescent="0.2">
      <c r="A92" s="2399"/>
      <c r="B92" s="2399"/>
      <c r="C92" s="868" t="str">
        <f>F!C244</f>
        <v>6-10%.</v>
      </c>
      <c r="D92" s="205">
        <f>F!D244</f>
        <v>0</v>
      </c>
      <c r="E92" s="316">
        <v>1</v>
      </c>
      <c r="F92" s="300">
        <f>D92*E92</f>
        <v>0</v>
      </c>
      <c r="G92" s="549"/>
      <c r="H92" s="2404"/>
      <c r="I92" s="2327"/>
      <c r="J92" s="107"/>
    </row>
    <row r="93" spans="1:10" s="6" customFormat="1" ht="15" customHeight="1" thickBot="1" x14ac:dyDescent="0.25">
      <c r="A93" s="2553"/>
      <c r="B93" s="2553"/>
      <c r="C93" s="937" t="str">
        <f>F!C245</f>
        <v>&gt;10%.</v>
      </c>
      <c r="D93" s="206">
        <f>F!D245</f>
        <v>0</v>
      </c>
      <c r="E93" s="317">
        <v>0</v>
      </c>
      <c r="F93" s="301">
        <f>D93*E93</f>
        <v>0</v>
      </c>
      <c r="G93" s="550"/>
      <c r="H93" s="2408"/>
      <c r="I93" s="2328"/>
      <c r="J93" s="107"/>
    </row>
    <row r="94" spans="1:10" ht="45" customHeight="1" thickBot="1" x14ac:dyDescent="0.25">
      <c r="A94" s="1120" t="str">
        <f>S!A69</f>
        <v>S5</v>
      </c>
      <c r="B94" s="1120" t="str">
        <f>S!B69</f>
        <v>Soil or Sediment Alteration Within the Assessment Area</v>
      </c>
      <c r="C94" s="1121" t="str">
        <f>S!E86</f>
        <v>Stressor subscore=</v>
      </c>
      <c r="D94" s="522">
        <f>S!F86</f>
        <v>0.83333333333333337</v>
      </c>
      <c r="E94" s="514"/>
      <c r="F94" s="514"/>
      <c r="G94" s="414">
        <f>1-D94</f>
        <v>0.16666666666666663</v>
      </c>
      <c r="H94" s="365" t="s">
        <v>1880</v>
      </c>
      <c r="I94" s="1172"/>
    </row>
    <row r="95" spans="1:10" s="106" customFormat="1" ht="36" customHeight="1" thickBot="1" x14ac:dyDescent="0.25">
      <c r="A95" s="1205" t="s">
        <v>88</v>
      </c>
      <c r="B95" s="1206" t="s">
        <v>1899</v>
      </c>
      <c r="C95" s="1207" t="s">
        <v>1165</v>
      </c>
      <c r="D95" s="1208" t="s">
        <v>45</v>
      </c>
      <c r="E95" s="1209" t="s">
        <v>1189</v>
      </c>
      <c r="F95" s="1210" t="s">
        <v>1190</v>
      </c>
      <c r="G95" s="1211" t="s">
        <v>2555</v>
      </c>
      <c r="H95" s="1206" t="s">
        <v>1118</v>
      </c>
      <c r="I95" s="1206" t="s">
        <v>2424</v>
      </c>
    </row>
    <row r="96" spans="1:10" ht="45" customHeight="1" thickBot="1" x14ac:dyDescent="0.25">
      <c r="A96" s="2505" t="str">
        <f>OF!A99</f>
        <v>OF20</v>
      </c>
      <c r="B96" s="2505" t="str">
        <f>OF!B99</f>
        <v xml:space="preserve">Degraded Water Upstream </v>
      </c>
      <c r="C96" s="348" t="str">
        <f>OF!C99</f>
        <v xml:space="preserve">Sampling indicates a problem with concentrations of metals, hydrocarbons, nutrients, or other substances (excluding bacteria, acidic water, high temperatures) being present at levels harmful to aquatic life or humans, and:  </v>
      </c>
      <c r="D96" s="501"/>
      <c r="E96" s="511"/>
      <c r="F96" s="507"/>
      <c r="G96" s="500" t="str">
        <f>IF((D100=1),"", IF((D99=1),0, IF((D98=1),0.5, 1)))</f>
        <v/>
      </c>
      <c r="H96" s="2323" t="s">
        <v>1542</v>
      </c>
      <c r="I96" s="2326" t="s">
        <v>1112</v>
      </c>
    </row>
    <row r="97" spans="1:9" ht="15" customHeight="1" x14ac:dyDescent="0.2">
      <c r="A97" s="2515"/>
      <c r="B97" s="2515"/>
      <c r="C97" s="1888" t="str">
        <f>OF!C100</f>
        <v>The condition is present within the AA.</v>
      </c>
      <c r="D97" s="218">
        <f>OF!D100</f>
        <v>0</v>
      </c>
      <c r="E97" s="309"/>
      <c r="F97" s="519"/>
      <c r="G97" s="504"/>
      <c r="H97" s="2324"/>
      <c r="I97" s="2327"/>
    </row>
    <row r="98" spans="1:9" ht="27" customHeight="1" x14ac:dyDescent="0.2">
      <c r="A98" s="2515"/>
      <c r="B98" s="2515"/>
      <c r="C98" s="1889" t="str">
        <f>OF!C101</f>
        <v>The condition is present in waters within 1 km that flow into the AA, but has not been documented in the AA itself.</v>
      </c>
      <c r="D98" s="203">
        <f>OF!D101</f>
        <v>0</v>
      </c>
      <c r="E98" s="309"/>
      <c r="F98" s="519"/>
      <c r="G98" s="504"/>
      <c r="H98" s="2324"/>
      <c r="I98" s="2327"/>
    </row>
    <row r="99" spans="1:9" ht="27" customHeight="1" x14ac:dyDescent="0.2">
      <c r="A99" s="2515"/>
      <c r="B99" s="2515"/>
      <c r="C99" s="1889" t="str">
        <f>OF!C102</f>
        <v>Sampling during both low water periods and times with high runoff (storms, snowmelt) indicates no problems in either the AA or inflowing waters.</v>
      </c>
      <c r="D99" s="203">
        <f>OF!D102</f>
        <v>0</v>
      </c>
      <c r="E99" s="309"/>
      <c r="F99" s="519"/>
      <c r="G99" s="504"/>
      <c r="H99" s="2324"/>
      <c r="I99" s="2327"/>
    </row>
    <row r="100" spans="1:9" ht="27" customHeight="1" thickBot="1" x14ac:dyDescent="0.25">
      <c r="A100" s="2516"/>
      <c r="B100" s="2516"/>
      <c r="C100" s="1892" t="str">
        <f>OF!C103</f>
        <v>Data are insufficient (no or inadequate sampling within 1 km, or condition exists only at &gt;1 km upstream). This is the situation for nearly all wetlands in this region.</v>
      </c>
      <c r="D100" s="204">
        <f>OF!D103</f>
        <v>1</v>
      </c>
      <c r="E100" s="505"/>
      <c r="F100" s="520"/>
      <c r="G100" s="506"/>
      <c r="H100" s="2325"/>
      <c r="I100" s="2328"/>
    </row>
    <row r="101" spans="1:9" ht="19.5" customHeight="1" thickBot="1" x14ac:dyDescent="0.25">
      <c r="A101" s="2504" t="str">
        <f>OF!A104</f>
        <v>OF21</v>
      </c>
      <c r="B101" s="2487" t="str">
        <f>OF!B104</f>
        <v xml:space="preserve">Degraded Water Downstream </v>
      </c>
      <c r="C101" s="486" t="str">
        <f>OF!C104</f>
        <v>The problem described above is downslope from the AA, and:</v>
      </c>
      <c r="D101" s="501"/>
      <c r="E101" s="512"/>
      <c r="F101" s="307"/>
      <c r="G101" s="518" t="str">
        <f>IF((D105=1),"", IF((D104=1),0, IF((D103=1),0.5, 1)))</f>
        <v/>
      </c>
      <c r="H101" s="2324" t="s">
        <v>87</v>
      </c>
      <c r="I101" s="2326" t="s">
        <v>411</v>
      </c>
    </row>
    <row r="102" spans="1:9" ht="15" customHeight="1" x14ac:dyDescent="0.2">
      <c r="A102" s="2504"/>
      <c r="B102" s="2487"/>
      <c r="C102" s="1888" t="str">
        <f>OF!C105</f>
        <v>The condition is present within 1 km downslope and connected to the AA by a channel.</v>
      </c>
      <c r="D102" s="218">
        <f>OF!D105</f>
        <v>0</v>
      </c>
      <c r="E102" s="309"/>
      <c r="F102" s="309"/>
      <c r="G102" s="503"/>
      <c r="H102" s="2324"/>
      <c r="I102" s="2327"/>
    </row>
    <row r="103" spans="1:9" ht="27" customHeight="1" x14ac:dyDescent="0.2">
      <c r="A103" s="2504"/>
      <c r="B103" s="2487"/>
      <c r="C103" s="1888" t="str">
        <f>OF!C106</f>
        <v>The condition is present within 5 km downslope and connected to the AA by a channel, or within 1 km but not connected to the AA by a channel.</v>
      </c>
      <c r="D103" s="218">
        <f>OF!D106</f>
        <v>0</v>
      </c>
      <c r="E103" s="309"/>
      <c r="F103" s="309"/>
      <c r="G103" s="504"/>
      <c r="H103" s="2324"/>
      <c r="I103" s="2327"/>
    </row>
    <row r="104" spans="1:9" ht="27" customHeight="1" x14ac:dyDescent="0.2">
      <c r="A104" s="2504"/>
      <c r="B104" s="2487"/>
      <c r="C104" s="1888" t="str">
        <f>OF!C107</f>
        <v>Sampling during both low water periods and times with high runoff (storms, snowmelt) indicates no problems in either the AA or inflowing waters.</v>
      </c>
      <c r="D104" s="218">
        <f>OF!D107</f>
        <v>0</v>
      </c>
      <c r="E104" s="309"/>
      <c r="F104" s="309"/>
      <c r="G104" s="504"/>
      <c r="H104" s="2324"/>
      <c r="I104" s="2327"/>
    </row>
    <row r="105" spans="1:9" ht="27" customHeight="1" thickBot="1" x14ac:dyDescent="0.25">
      <c r="A105" s="2504"/>
      <c r="B105" s="2487"/>
      <c r="C105" s="1897" t="str">
        <f>OF!C108</f>
        <v>Data are insufficient (no or inadequate sampling within 1 km, or condition exists only at &gt;1 km upstream). This is the situation for nearly all wetlands in this region.</v>
      </c>
      <c r="D105" s="219">
        <f>OF!D108</f>
        <v>1</v>
      </c>
      <c r="E105" s="311"/>
      <c r="F105" s="311"/>
      <c r="G105" s="509"/>
      <c r="H105" s="2324"/>
      <c r="I105" s="2328"/>
    </row>
    <row r="106" spans="1:9" ht="84" customHeight="1" thickBot="1" x14ac:dyDescent="0.25">
      <c r="A106" s="2483" t="str">
        <f>OF!A109</f>
        <v>OF22</v>
      </c>
      <c r="B106" s="2608" t="str">
        <f>OF!B109</f>
        <v>Wetland as a % of Its Contributing Area (Catchment)</v>
      </c>
      <c r="C106" s="355" t="str">
        <f>OF!C109</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106" s="501"/>
      <c r="E106" s="511"/>
      <c r="F106" s="507"/>
      <c r="G106" s="500">
        <f>MAX(F107:F110)/MAX(E107:E110)</f>
        <v>0</v>
      </c>
      <c r="H106" s="2529" t="s">
        <v>1539</v>
      </c>
      <c r="I106" s="2326" t="s">
        <v>356</v>
      </c>
    </row>
    <row r="107" spans="1:9" ht="15" customHeight="1" x14ac:dyDescent="0.2">
      <c r="A107" s="2484"/>
      <c r="B107" s="2609"/>
      <c r="C107" s="1898" t="str">
        <f>OF!C110</f>
        <v>&lt;0.01, or catchment size unknown due to stormwater pipes that collect water from an indeterminate area.</v>
      </c>
      <c r="D107" s="220">
        <f>OF!D110</f>
        <v>0</v>
      </c>
      <c r="E107" s="309">
        <v>3</v>
      </c>
      <c r="F107" s="309">
        <f>D107*E107</f>
        <v>0</v>
      </c>
      <c r="G107" s="503"/>
      <c r="H107" s="2404"/>
      <c r="I107" s="2327"/>
    </row>
    <row r="108" spans="1:9" ht="15" customHeight="1" x14ac:dyDescent="0.2">
      <c r="A108" s="2484"/>
      <c r="B108" s="2609"/>
      <c r="C108" s="1899" t="str">
        <f>OF!C111</f>
        <v>0.01 to 0.1.</v>
      </c>
      <c r="D108" s="221">
        <f>OF!D111</f>
        <v>0</v>
      </c>
      <c r="E108" s="309">
        <v>2</v>
      </c>
      <c r="F108" s="309">
        <f>D108*E108</f>
        <v>0</v>
      </c>
      <c r="G108" s="504"/>
      <c r="H108" s="2404"/>
      <c r="I108" s="2327"/>
    </row>
    <row r="109" spans="1:9" ht="15" customHeight="1" x14ac:dyDescent="0.2">
      <c r="A109" s="2484"/>
      <c r="B109" s="2609"/>
      <c r="C109" s="1899" t="str">
        <f>OF!C112</f>
        <v>0.1 to 1.</v>
      </c>
      <c r="D109" s="221">
        <f>OF!D112</f>
        <v>0</v>
      </c>
      <c r="E109" s="309">
        <v>1</v>
      </c>
      <c r="F109" s="309">
        <f>D109*E109</f>
        <v>0</v>
      </c>
      <c r="G109" s="504"/>
      <c r="H109" s="2404"/>
      <c r="I109" s="2327"/>
    </row>
    <row r="110" spans="1:9" ht="27" customHeight="1" thickBot="1" x14ac:dyDescent="0.25">
      <c r="A110" s="2485"/>
      <c r="B110" s="2610"/>
      <c r="C110" s="1900" t="str">
        <f>OF!C113</f>
        <v xml:space="preserve">&gt;1 (wetland is larger than its catchment (e.g., wetland with flat surrounding terrain and no inlet, or is entirely isolated by dikes, or is a raised bog). </v>
      </c>
      <c r="D110" s="226">
        <f>OF!D113</f>
        <v>0</v>
      </c>
      <c r="E110" s="505">
        <v>0</v>
      </c>
      <c r="F110" s="505">
        <f>D110*E110</f>
        <v>0</v>
      </c>
      <c r="G110" s="506"/>
      <c r="H110" s="2530"/>
      <c r="I110" s="2328"/>
    </row>
    <row r="111" spans="1:9" ht="45" customHeight="1" thickBot="1" x14ac:dyDescent="0.25">
      <c r="A111" s="2483" t="str">
        <f>OF!A114</f>
        <v>OF23</v>
      </c>
      <c r="B111" s="2608" t="str">
        <f>OF!B114</f>
        <v>Unvegetated Surface in the Contributing Area</v>
      </c>
      <c r="C111" s="355" t="str">
        <f>OF!C114</f>
        <v>The proportion of the AA's contributing area (measured to no more than 1000 m upslope) that is comprised of buildings, roads, parking lots, other pavement, exposed bedrock, landslides, and other mostly-bare surface is about :</v>
      </c>
      <c r="D111" s="501"/>
      <c r="E111" s="511"/>
      <c r="F111" s="507"/>
      <c r="G111" s="500">
        <f>IF((NoCA=1),"", MAX(F112:F114)/MAX(E112:E114))</f>
        <v>0</v>
      </c>
      <c r="H111" s="2529" t="s">
        <v>1886</v>
      </c>
      <c r="I111" s="2326" t="s">
        <v>357</v>
      </c>
    </row>
    <row r="112" spans="1:9" ht="15" customHeight="1" x14ac:dyDescent="0.2">
      <c r="A112" s="2484"/>
      <c r="B112" s="2609"/>
      <c r="C112" s="1898" t="str">
        <f>OF!C115</f>
        <v>&lt;10%.</v>
      </c>
      <c r="D112" s="220">
        <f>OF!D115</f>
        <v>1</v>
      </c>
      <c r="E112" s="309">
        <v>0</v>
      </c>
      <c r="F112" s="309">
        <f>D112*E112</f>
        <v>0</v>
      </c>
      <c r="G112" s="503"/>
      <c r="H112" s="2404"/>
      <c r="I112" s="2327"/>
    </row>
    <row r="113" spans="1:9" ht="15" customHeight="1" x14ac:dyDescent="0.2">
      <c r="A113" s="2484"/>
      <c r="B113" s="2609"/>
      <c r="C113" s="1899" t="str">
        <f>OF!C116</f>
        <v>10 to 25%.</v>
      </c>
      <c r="D113" s="221">
        <f>OF!D116</f>
        <v>0</v>
      </c>
      <c r="E113" s="309">
        <v>1</v>
      </c>
      <c r="F113" s="309">
        <f>D113*E113</f>
        <v>0</v>
      </c>
      <c r="G113" s="504"/>
      <c r="H113" s="2404"/>
      <c r="I113" s="2327"/>
    </row>
    <row r="114" spans="1:9" ht="15" customHeight="1" thickBot="1" x14ac:dyDescent="0.25">
      <c r="A114" s="2485"/>
      <c r="B114" s="2610"/>
      <c r="C114" s="1900" t="str">
        <f>OF!C117</f>
        <v>&gt;25%.</v>
      </c>
      <c r="D114" s="226">
        <f>OF!D117</f>
        <v>0</v>
      </c>
      <c r="E114" s="505">
        <v>2</v>
      </c>
      <c r="F114" s="505">
        <f>D114*E114</f>
        <v>0</v>
      </c>
      <c r="G114" s="506"/>
      <c r="H114" s="2530"/>
      <c r="I114" s="2328"/>
    </row>
    <row r="115" spans="1:9" ht="126" customHeight="1" thickBot="1" x14ac:dyDescent="0.25">
      <c r="A115" s="2594" t="str">
        <f>OF!A118</f>
        <v>OF24</v>
      </c>
      <c r="B115" s="2599" t="str">
        <f>OF!B118</f>
        <v>Transport From Upslope</v>
      </c>
      <c r="C115" s="487" t="str">
        <f>OF!C118</f>
        <v>A relatively large proportion of the precipitation that falls farther upslope in the CA reaches this wetland quickly as runoff (surface water), as indicated by the following: 
(a) input channel is present,
(b) input channels have been straightened,
(c) upslope wetlands have been ditched extensively,
(d) land cover is mostly non-forest,
(e) CA slopes are steep, and/or
(f) most CA soils are shallow (bedrock near surface) and/or have high runoff coefficients. 
This statement is:</v>
      </c>
      <c r="D115" s="501"/>
      <c r="E115" s="512"/>
      <c r="F115" s="307"/>
      <c r="G115" s="518">
        <f>IF((NoCA=1),"", MAX(F116:F118)/MAX(E116:E118))</f>
        <v>0</v>
      </c>
      <c r="H115" s="2404" t="s">
        <v>1811</v>
      </c>
      <c r="I115" s="2326" t="s">
        <v>358</v>
      </c>
    </row>
    <row r="116" spans="1:9" ht="18" customHeight="1" x14ac:dyDescent="0.2">
      <c r="A116" s="2504"/>
      <c r="B116" s="2609"/>
      <c r="C116" s="1898" t="str">
        <f>OF!C119</f>
        <v>Mostly true.</v>
      </c>
      <c r="D116" s="220">
        <f>OF!D119</f>
        <v>0</v>
      </c>
      <c r="E116" s="309">
        <v>2</v>
      </c>
      <c r="F116" s="309">
        <f>D116*E116</f>
        <v>0</v>
      </c>
      <c r="G116" s="503"/>
      <c r="H116" s="2404"/>
      <c r="I116" s="2327"/>
    </row>
    <row r="117" spans="1:9" ht="18" customHeight="1" x14ac:dyDescent="0.2">
      <c r="A117" s="2504"/>
      <c r="B117" s="2609"/>
      <c r="C117" s="1899" t="str">
        <f>OF!C120</f>
        <v>Somewhat true.</v>
      </c>
      <c r="D117" s="221">
        <f>OF!D120</f>
        <v>0</v>
      </c>
      <c r="E117" s="309">
        <v>1</v>
      </c>
      <c r="F117" s="309">
        <f>D117*E117</f>
        <v>0</v>
      </c>
      <c r="G117" s="504"/>
      <c r="H117" s="2404"/>
      <c r="I117" s="2327"/>
    </row>
    <row r="118" spans="1:9" ht="18" customHeight="1" thickBot="1" x14ac:dyDescent="0.25">
      <c r="A118" s="2504"/>
      <c r="B118" s="2609"/>
      <c r="C118" s="1901" t="str">
        <f>OF!C121</f>
        <v>Mostly untrue.</v>
      </c>
      <c r="D118" s="222">
        <f>OF!D121</f>
        <v>1</v>
      </c>
      <c r="E118" s="311">
        <v>0</v>
      </c>
      <c r="F118" s="311">
        <f>D118*E118</f>
        <v>0</v>
      </c>
      <c r="G118" s="509"/>
      <c r="H118" s="2404"/>
      <c r="I118" s="2328"/>
    </row>
    <row r="119" spans="1:9" ht="30" customHeight="1" thickBot="1" x14ac:dyDescent="0.25">
      <c r="A119" s="2495" t="str">
        <f>F!A121</f>
        <v>F24</v>
      </c>
      <c r="B119" s="2486" t="str">
        <f>F!B121</f>
        <v>% of AA Without Surface Water</v>
      </c>
      <c r="C119" s="348" t="str">
        <f>F!C121</f>
        <v>The percentage of the AA that never contains surface water during an average year (that is, except perhaps for a few hours after snowmelt or rainstorms), but which is still a wetland, is:</v>
      </c>
      <c r="D119" s="501"/>
      <c r="E119" s="511"/>
      <c r="F119" s="511"/>
      <c r="G119" s="500">
        <f>MAX(F120:F125)/MAX(E120:E125)</f>
        <v>0</v>
      </c>
      <c r="H119" s="2323" t="s">
        <v>973</v>
      </c>
      <c r="I119" s="2326" t="s">
        <v>974</v>
      </c>
    </row>
    <row r="120" spans="1:9" ht="15" customHeight="1" x14ac:dyDescent="0.2">
      <c r="A120" s="2484"/>
      <c r="B120" s="2487"/>
      <c r="C120" s="349" t="str">
        <f>F!C122</f>
        <v xml:space="preserve">&lt;1% . In other words, all or nearly all of the AA is covered by water permanently or at least seasonally.  </v>
      </c>
      <c r="D120" s="218">
        <f>F!D122</f>
        <v>1</v>
      </c>
      <c r="E120" s="309">
        <v>6</v>
      </c>
      <c r="F120" s="309">
        <v>0</v>
      </c>
      <c r="G120" s="504"/>
      <c r="H120" s="2324"/>
      <c r="I120" s="2327"/>
    </row>
    <row r="121" spans="1:9" ht="15" customHeight="1" x14ac:dyDescent="0.2">
      <c r="A121" s="2484"/>
      <c r="B121" s="2487"/>
      <c r="C121" s="349" t="str">
        <f>F!C123</f>
        <v>1-25% of the AA,  or &lt;1% but &gt;0.01 ha never contains surface water.</v>
      </c>
      <c r="D121" s="218">
        <f>F!D123</f>
        <v>0</v>
      </c>
      <c r="E121" s="309">
        <v>5</v>
      </c>
      <c r="F121" s="309">
        <v>0</v>
      </c>
      <c r="G121" s="504"/>
      <c r="H121" s="2324"/>
      <c r="I121" s="2327"/>
    </row>
    <row r="122" spans="1:9" ht="15" customHeight="1" x14ac:dyDescent="0.2">
      <c r="A122" s="2484"/>
      <c r="B122" s="2487"/>
      <c r="C122" s="349" t="str">
        <f>F!C124</f>
        <v>25-50% of the AA never contains surface water.</v>
      </c>
      <c r="D122" s="218">
        <f>F!D124</f>
        <v>0</v>
      </c>
      <c r="E122" s="309">
        <v>4</v>
      </c>
      <c r="F122" s="309">
        <v>0</v>
      </c>
      <c r="G122" s="504"/>
      <c r="H122" s="2324"/>
      <c r="I122" s="2327"/>
    </row>
    <row r="123" spans="1:9" ht="15" customHeight="1" x14ac:dyDescent="0.2">
      <c r="A123" s="2484"/>
      <c r="B123" s="2487"/>
      <c r="C123" s="349" t="str">
        <f>F!C125</f>
        <v>50-75% of the AA never contains surface water.</v>
      </c>
      <c r="D123" s="218">
        <f>F!D125</f>
        <v>0</v>
      </c>
      <c r="E123" s="309">
        <v>3</v>
      </c>
      <c r="F123" s="309">
        <v>0</v>
      </c>
      <c r="G123" s="504"/>
      <c r="H123" s="2324"/>
      <c r="I123" s="2327"/>
    </row>
    <row r="124" spans="1:9" ht="27" customHeight="1" x14ac:dyDescent="0.2">
      <c r="A124" s="2484"/>
      <c r="B124" s="2487"/>
      <c r="C124" s="349" t="str">
        <f>F!C126</f>
        <v>75-99% of the AA never contains surface water, OR &gt;99% and there is at least one persistently ponded water body larger than 1 ha in the AA.</v>
      </c>
      <c r="D124" s="218">
        <f>F!D126</f>
        <v>0</v>
      </c>
      <c r="E124" s="311">
        <v>2</v>
      </c>
      <c r="F124" s="311"/>
      <c r="G124" s="509"/>
      <c r="H124" s="2324"/>
      <c r="I124" s="2327"/>
    </row>
    <row r="125" spans="1:9" ht="27" customHeight="1" thickBot="1" x14ac:dyDescent="0.25">
      <c r="A125" s="2485"/>
      <c r="B125" s="2488"/>
      <c r="C125" s="350" t="str">
        <f>F!C127</f>
        <v>99-100%. AND there is no persistently ponded water body larger than 1 ha within the AA. Enter "1" and SKIP to F42 (Channel Connection).</v>
      </c>
      <c r="D125" s="277">
        <f>F!D127</f>
        <v>0</v>
      </c>
      <c r="E125" s="505">
        <v>1</v>
      </c>
      <c r="F125" s="505">
        <v>0</v>
      </c>
      <c r="G125" s="506"/>
      <c r="H125" s="2325"/>
      <c r="I125" s="2328"/>
    </row>
    <row r="126" spans="1:9" ht="30" customHeight="1" thickBot="1" x14ac:dyDescent="0.25">
      <c r="A126" s="2594" t="str">
        <f>F!A146</f>
        <v>F28</v>
      </c>
      <c r="B126" s="2599" t="str">
        <f>F!B146</f>
        <v>Annual Water Fluctuation Range</v>
      </c>
      <c r="C126" s="487" t="str">
        <f>F!C146</f>
        <v>The annual fluctuation in surface water level within most of the parts of the AA that contain surface water at least temporarily is:</v>
      </c>
      <c r="D126" s="306"/>
      <c r="E126" s="512"/>
      <c r="F126" s="307"/>
      <c r="G126" s="518">
        <f>IF((AllSat1&gt;0),"",IF((NoSeasonal=1),"",MAX(F127:F131)/MAX(E127:E131)))</f>
        <v>1</v>
      </c>
      <c r="H126" s="2324" t="s">
        <v>275</v>
      </c>
      <c r="I126" s="2326" t="s">
        <v>353</v>
      </c>
    </row>
    <row r="127" spans="1:9" ht="15" customHeight="1" x14ac:dyDescent="0.2">
      <c r="A127" s="2594"/>
      <c r="B127" s="2599"/>
      <c r="C127" s="356" t="str">
        <f>F!C147</f>
        <v>&lt;10 cm change (stable or nearly so).</v>
      </c>
      <c r="D127" s="220">
        <f>F!D147</f>
        <v>0</v>
      </c>
      <c r="E127" s="309">
        <v>0</v>
      </c>
      <c r="F127" s="309">
        <f>D127*E127</f>
        <v>0</v>
      </c>
      <c r="G127" s="503"/>
      <c r="H127" s="2324"/>
      <c r="I127" s="2327"/>
    </row>
    <row r="128" spans="1:9" ht="15" customHeight="1" x14ac:dyDescent="0.2">
      <c r="A128" s="2594"/>
      <c r="B128" s="2599"/>
      <c r="C128" s="357" t="str">
        <f>F!C148</f>
        <v>10 cm - 50 cm change.</v>
      </c>
      <c r="D128" s="221">
        <f>F!D148</f>
        <v>0</v>
      </c>
      <c r="E128" s="309">
        <v>2</v>
      </c>
      <c r="F128" s="309">
        <f>D128*E128</f>
        <v>0</v>
      </c>
      <c r="G128" s="504"/>
      <c r="H128" s="2324"/>
      <c r="I128" s="2327"/>
    </row>
    <row r="129" spans="1:12" ht="15" customHeight="1" x14ac:dyDescent="0.2">
      <c r="A129" s="2594"/>
      <c r="B129" s="2599"/>
      <c r="C129" s="357" t="str">
        <f>F!C149</f>
        <v>0.5 - 1 m change.</v>
      </c>
      <c r="D129" s="221">
        <f>F!D149</f>
        <v>0</v>
      </c>
      <c r="E129" s="309">
        <v>3</v>
      </c>
      <c r="F129" s="309">
        <f>D129*E129</f>
        <v>0</v>
      </c>
      <c r="G129" s="504"/>
      <c r="H129" s="2324"/>
      <c r="I129" s="2327"/>
    </row>
    <row r="130" spans="1:12" ht="15" customHeight="1" x14ac:dyDescent="0.2">
      <c r="A130" s="2594"/>
      <c r="B130" s="2599"/>
      <c r="C130" s="357" t="str">
        <f>F!C150</f>
        <v>1-2 m change.</v>
      </c>
      <c r="D130" s="221">
        <f>F!D150</f>
        <v>0</v>
      </c>
      <c r="E130" s="311">
        <v>4</v>
      </c>
      <c r="F130" s="309">
        <f>D130*E130</f>
        <v>0</v>
      </c>
      <c r="G130" s="509"/>
      <c r="H130" s="2324"/>
      <c r="I130" s="2327"/>
    </row>
    <row r="131" spans="1:12" ht="15" customHeight="1" thickBot="1" x14ac:dyDescent="0.25">
      <c r="A131" s="2594"/>
      <c r="B131" s="2599"/>
      <c r="C131" s="357" t="str">
        <f>F!C151</f>
        <v>&gt;2 m change.</v>
      </c>
      <c r="D131" s="221">
        <f>F!D151</f>
        <v>1</v>
      </c>
      <c r="E131" s="311">
        <v>5</v>
      </c>
      <c r="F131" s="311">
        <f>D131*E131</f>
        <v>5</v>
      </c>
      <c r="G131" s="509"/>
      <c r="H131" s="2324"/>
      <c r="I131" s="2328"/>
    </row>
    <row r="132" spans="1:12" ht="60" customHeight="1" thickBot="1" x14ac:dyDescent="0.25">
      <c r="A132" s="484" t="str">
        <f>F!A216</f>
        <v>F44</v>
      </c>
      <c r="B132" s="498" t="str">
        <f>F!B216</f>
        <v>Tributary Channel</v>
      </c>
      <c r="C132" s="497" t="str">
        <f>F!C216</f>
        <v>At least once annually, surface water from a tributary channel that is &gt;100 m long moves into the AA.  Or, surface water from a larger permanent water body adjacent to the AA spills into the AA.  If it enters only via a pipe, that pipe must be fed by a mapped stream or lake further upslope. If no, SKIP to F47 (pH Measurement).</v>
      </c>
      <c r="D132" s="233">
        <f>F!D216</f>
        <v>1</v>
      </c>
      <c r="E132" s="514"/>
      <c r="F132" s="521"/>
      <c r="G132" s="500">
        <f>D132</f>
        <v>1</v>
      </c>
      <c r="H132" s="4" t="s">
        <v>69</v>
      </c>
      <c r="I132" s="103" t="s">
        <v>354</v>
      </c>
    </row>
    <row r="133" spans="1:12" ht="45" customHeight="1" thickBot="1" x14ac:dyDescent="0.25">
      <c r="A133" s="2608" t="str">
        <f>F!A247</f>
        <v>F52</v>
      </c>
      <c r="B133" s="2608" t="str">
        <f>F!B247</f>
        <v>Vegetated Buffer as % of Perimeter</v>
      </c>
      <c r="C133" s="355" t="str">
        <f>F!C247</f>
        <v>Within a zone extending 30 m laterally from the AA's edge with upland and/or other wetlands, the percentage that contains perennial vegetation cover (except lawns, row crops, heavily grazed land, conifer plantations) is:</v>
      </c>
      <c r="D133" s="543"/>
      <c r="E133" s="511"/>
      <c r="F133" s="507"/>
      <c r="G133" s="500">
        <f>IF((NoCA=1),"", MAX(F134:F138)/MAX(E134:E138))</f>
        <v>1</v>
      </c>
      <c r="H133" s="2323" t="s">
        <v>1299</v>
      </c>
      <c r="I133" s="2326" t="s">
        <v>355</v>
      </c>
    </row>
    <row r="134" spans="1:12" ht="15" customHeight="1" x14ac:dyDescent="0.2">
      <c r="A134" s="2599"/>
      <c r="B134" s="2599"/>
      <c r="C134" s="1125" t="str">
        <f>F!C248</f>
        <v>&lt;5%.</v>
      </c>
      <c r="D134" s="221">
        <f>F!D248</f>
        <v>1</v>
      </c>
      <c r="E134" s="515">
        <v>4</v>
      </c>
      <c r="F134" s="309">
        <f>D134*E134</f>
        <v>4</v>
      </c>
      <c r="G134" s="503"/>
      <c r="H134" s="2324"/>
      <c r="I134" s="2327"/>
    </row>
    <row r="135" spans="1:12" ht="15" customHeight="1" x14ac:dyDescent="0.2">
      <c r="A135" s="2599"/>
      <c r="B135" s="2599"/>
      <c r="C135" s="1217" t="str">
        <f>F!C249</f>
        <v>5 to 30%.</v>
      </c>
      <c r="D135" s="221">
        <f>F!D249</f>
        <v>0</v>
      </c>
      <c r="E135" s="515">
        <v>3</v>
      </c>
      <c r="F135" s="309">
        <f>D135*E135</f>
        <v>0</v>
      </c>
      <c r="G135" s="504"/>
      <c r="H135" s="2324"/>
      <c r="I135" s="2327"/>
    </row>
    <row r="136" spans="1:12" ht="15" customHeight="1" x14ac:dyDescent="0.2">
      <c r="A136" s="2599"/>
      <c r="B136" s="2599"/>
      <c r="C136" s="1218" t="str">
        <f>F!C250</f>
        <v>30 to 60%.</v>
      </c>
      <c r="D136" s="221">
        <f>F!D250</f>
        <v>0</v>
      </c>
      <c r="E136" s="515">
        <v>2</v>
      </c>
      <c r="F136" s="309">
        <f>D136*E136</f>
        <v>0</v>
      </c>
      <c r="G136" s="504"/>
      <c r="H136" s="2324"/>
      <c r="I136" s="2327"/>
    </row>
    <row r="137" spans="1:12" ht="15" customHeight="1" x14ac:dyDescent="0.2">
      <c r="A137" s="2599"/>
      <c r="B137" s="2599"/>
      <c r="C137" s="1218" t="str">
        <f>F!C251</f>
        <v>60 to 90%.</v>
      </c>
      <c r="D137" s="296">
        <f>F!D251</f>
        <v>0</v>
      </c>
      <c r="E137" s="515">
        <v>1</v>
      </c>
      <c r="F137" s="309">
        <f>D137*E137</f>
        <v>0</v>
      </c>
      <c r="G137" s="504"/>
      <c r="H137" s="2324"/>
      <c r="I137" s="2327"/>
    </row>
    <row r="138" spans="1:12" ht="15" customHeight="1" thickBot="1" x14ac:dyDescent="0.25">
      <c r="A138" s="2615"/>
      <c r="B138" s="2615"/>
      <c r="C138" s="1126" t="str">
        <f>F!C252</f>
        <v>&gt;90%, or all the area within 30 m of the AA edge is other wetlands. SKIP to F55.</v>
      </c>
      <c r="D138" s="231">
        <f>F!D252</f>
        <v>0</v>
      </c>
      <c r="E138" s="505">
        <v>0</v>
      </c>
      <c r="F138" s="505">
        <f>D138*E138</f>
        <v>0</v>
      </c>
      <c r="G138" s="506"/>
      <c r="H138" s="2325"/>
      <c r="I138" s="2328"/>
    </row>
    <row r="139" spans="1:12" ht="30" customHeight="1" thickBot="1" x14ac:dyDescent="0.25">
      <c r="A139" s="2515" t="str">
        <f>F!A256</f>
        <v>F54</v>
      </c>
      <c r="B139" s="2515" t="str">
        <f>F!B256</f>
        <v xml:space="preserve">Buffer Slope </v>
      </c>
      <c r="C139" s="355" t="str">
        <f>F!C256</f>
        <v>The steepest and/or most disturbed part of the upland area that is within 30 m of the wetland and occupies &gt;10% of that upland area has a percent slope of:</v>
      </c>
      <c r="D139" s="1221"/>
      <c r="E139" s="512"/>
      <c r="F139" s="307"/>
      <c r="G139" s="518">
        <f>IF((NoCA=1),"", IF((BuffAllNat=1),"",MAX(F140:F143)/MAX(E140:E143)))</f>
        <v>0</v>
      </c>
      <c r="H139" s="2324" t="s">
        <v>1890</v>
      </c>
      <c r="I139" s="2326" t="s">
        <v>160</v>
      </c>
    </row>
    <row r="140" spans="1:12" ht="21" customHeight="1" x14ac:dyDescent="0.2">
      <c r="A140" s="2515"/>
      <c r="B140" s="2515"/>
      <c r="C140" s="1125" t="str">
        <f>F!C257</f>
        <v>&lt;1% (flat -- almost no noticeable slope) or all the area within 30 m of the AA edge is other wetlands.</v>
      </c>
      <c r="D140" s="1224">
        <f>F!D257</f>
        <v>1</v>
      </c>
      <c r="E140" s="309">
        <v>0</v>
      </c>
      <c r="F140" s="309">
        <f>D140*E140</f>
        <v>0</v>
      </c>
      <c r="G140" s="503"/>
      <c r="H140" s="2324"/>
      <c r="I140" s="2327"/>
      <c r="L140" s="63"/>
    </row>
    <row r="141" spans="1:12" ht="21" customHeight="1" x14ac:dyDescent="0.2">
      <c r="A141" s="2515"/>
      <c r="B141" s="2515"/>
      <c r="C141" s="61" t="str">
        <f>F!C258</f>
        <v>2-5%.</v>
      </c>
      <c r="D141" s="1223">
        <f>F!D258</f>
        <v>0</v>
      </c>
      <c r="E141" s="309">
        <v>1</v>
      </c>
      <c r="F141" s="309">
        <f>D141*E141</f>
        <v>0</v>
      </c>
      <c r="G141" s="504"/>
      <c r="H141" s="2324"/>
      <c r="I141" s="2327"/>
    </row>
    <row r="142" spans="1:12" ht="21" customHeight="1" x14ac:dyDescent="0.2">
      <c r="A142" s="2515"/>
      <c r="B142" s="2515"/>
      <c r="C142" s="1220" t="str">
        <f>F!C259</f>
        <v>5-30%.</v>
      </c>
      <c r="D142" s="1222">
        <f>F!D259</f>
        <v>0</v>
      </c>
      <c r="E142" s="309">
        <v>4</v>
      </c>
      <c r="F142" s="309">
        <f>D142*E142</f>
        <v>0</v>
      </c>
      <c r="G142" s="504"/>
      <c r="H142" s="2324"/>
      <c r="I142" s="2327"/>
    </row>
    <row r="143" spans="1:12" ht="21" customHeight="1" thickBot="1" x14ac:dyDescent="0.25">
      <c r="A143" s="2515"/>
      <c r="B143" s="2515"/>
      <c r="C143" s="1219" t="str">
        <f>F!C260</f>
        <v>&gt;30%.</v>
      </c>
      <c r="D143" s="231">
        <f>F!D260</f>
        <v>0</v>
      </c>
      <c r="E143" s="505">
        <v>6</v>
      </c>
      <c r="F143" s="311">
        <f>D143*E143</f>
        <v>0</v>
      </c>
      <c r="G143" s="509"/>
      <c r="H143" s="2324"/>
      <c r="I143" s="2328"/>
    </row>
    <row r="144" spans="1:12" ht="45" customHeight="1" thickBot="1" x14ac:dyDescent="0.25">
      <c r="A144" s="485" t="str">
        <f>S!A51</f>
        <v>S4</v>
      </c>
      <c r="B144" s="112" t="str">
        <f>S!B51</f>
        <v>Excessive Sediment Loading from Contributing Area</v>
      </c>
      <c r="C144" s="359" t="str">
        <f>S!E68</f>
        <v>Stressor subscore=</v>
      </c>
      <c r="D144" s="522">
        <f>S!F68</f>
        <v>0.58333333333333337</v>
      </c>
      <c r="E144" s="514"/>
      <c r="F144" s="521"/>
      <c r="G144" s="500">
        <f>IF((NoCA=1),"", D144)</f>
        <v>0.58333333333333337</v>
      </c>
      <c r="H144" s="73" t="s">
        <v>1391</v>
      </c>
      <c r="I144" s="103" t="s">
        <v>359</v>
      </c>
    </row>
    <row r="145" spans="1:10" s="63" customFormat="1" ht="21" customHeight="1" thickBot="1" x14ac:dyDescent="0.25">
      <c r="A145" s="2622"/>
      <c r="B145" s="2622"/>
      <c r="C145" s="2622"/>
      <c r="D145" s="2622"/>
      <c r="E145" s="2622"/>
      <c r="F145" s="2622"/>
      <c r="G145" s="2622"/>
      <c r="H145" s="2622"/>
      <c r="I145" s="996"/>
      <c r="J145" s="109"/>
    </row>
    <row r="146" spans="1:10" s="63" customFormat="1" ht="21" customHeight="1" x14ac:dyDescent="0.2">
      <c r="A146" s="2618"/>
      <c r="B146" s="2618"/>
      <c r="C146" s="2618"/>
      <c r="D146" s="2623" t="s">
        <v>1120</v>
      </c>
      <c r="E146" s="2624"/>
      <c r="F146" s="2624"/>
      <c r="G146" s="1430">
        <f>IF((AllSat1 + AllSat1&gt;0),"", AVERAGE(Fluc2,SeasPct2))</f>
        <v>0.875</v>
      </c>
      <c r="H146" s="1422" t="s">
        <v>2084</v>
      </c>
      <c r="I146" s="1423" t="s">
        <v>2099</v>
      </c>
      <c r="J146" s="109"/>
    </row>
    <row r="147" spans="1:10" s="63" customFormat="1" ht="27" customHeight="1" x14ac:dyDescent="0.2">
      <c r="A147" s="2618"/>
      <c r="B147" s="2618"/>
      <c r="C147" s="2618"/>
      <c r="D147" s="2613" t="s">
        <v>322</v>
      </c>
      <c r="E147" s="2614"/>
      <c r="F147" s="2614"/>
      <c r="G147" s="1429">
        <f>IF((AllSat1=1),"",AVERAGE(OutDur2,FlowDist2,DepthC2,Ponding2,Constric2,WatEdgeSlope2))</f>
        <v>0.44722222222222219</v>
      </c>
      <c r="H147" s="1985" t="s">
        <v>2085</v>
      </c>
      <c r="I147" s="1424" t="s">
        <v>322</v>
      </c>
      <c r="J147" s="109"/>
    </row>
    <row r="148" spans="1:10" s="63" customFormat="1" ht="21" customHeight="1" x14ac:dyDescent="0.2">
      <c r="A148" s="2618"/>
      <c r="B148" s="2618"/>
      <c r="C148" s="2618"/>
      <c r="D148" s="2613" t="s">
        <v>1124</v>
      </c>
      <c r="E148" s="2614"/>
      <c r="F148" s="2614"/>
      <c r="G148" s="1429">
        <f>AVERAGE(Gradient2,WetPctCA2,AVERAGE(Girreg2, Gcover2,SoilDisturb3))</f>
        <v>0.49629629629629629</v>
      </c>
      <c r="H148" s="1985" t="s">
        <v>2086</v>
      </c>
      <c r="I148" s="1424" t="s">
        <v>2100</v>
      </c>
      <c r="J148" s="109"/>
    </row>
    <row r="149" spans="1:10" s="63" customFormat="1" ht="30" customHeight="1" thickBot="1" x14ac:dyDescent="0.25">
      <c r="A149" s="2618"/>
      <c r="B149" s="2618"/>
      <c r="C149" s="2618"/>
      <c r="D149" s="2620" t="s">
        <v>1125</v>
      </c>
      <c r="E149" s="2621"/>
      <c r="F149" s="2621"/>
      <c r="G149" s="1275" t="str">
        <f>IF((AllSat1=1),"", IF((NoPonded=1),"", AVERAGE(WidthAbs2,AVERAGE(_GDD2, ThruFlo2,Interspers2,AqPlantCov2))))</f>
        <v/>
      </c>
      <c r="H149" s="1425" t="s">
        <v>2446</v>
      </c>
      <c r="I149" s="1426" t="s">
        <v>2101</v>
      </c>
      <c r="J149" s="109"/>
    </row>
    <row r="150" spans="1:10" s="63" customFormat="1" ht="21" customHeight="1" thickBot="1" x14ac:dyDescent="0.25">
      <c r="A150" s="2618"/>
      <c r="B150" s="2618"/>
      <c r="C150" s="2618"/>
      <c r="D150" s="2618"/>
      <c r="E150" s="2618"/>
      <c r="F150" s="2618"/>
      <c r="G150" s="2618"/>
      <c r="H150" s="2618"/>
      <c r="I150" s="478"/>
      <c r="J150" s="109"/>
    </row>
    <row r="151" spans="1:10" ht="30" customHeight="1" thickBot="1" x14ac:dyDescent="0.25">
      <c r="A151" s="2618"/>
      <c r="B151" s="2619"/>
      <c r="C151" s="2506" t="s">
        <v>80</v>
      </c>
      <c r="D151" s="2507"/>
      <c r="E151" s="2508"/>
      <c r="F151" s="1193" t="s">
        <v>52</v>
      </c>
      <c r="G151" s="1276">
        <f>10*(IF((AllSat1=1), DryIntercept, IF((OutNone+OutNone1&gt;0),1, (2*AVERAGE(Entrain, LiveStore2) + AVERAGE(DryIntercept, WetIntercept))/3)))</f>
        <v>6.0617283950617287</v>
      </c>
      <c r="H151" s="2525" t="s">
        <v>2087</v>
      </c>
      <c r="I151" s="2526"/>
    </row>
    <row r="152" spans="1:10" s="60" customFormat="1" ht="30" customHeight="1" thickBot="1" x14ac:dyDescent="0.25">
      <c r="A152" s="2618"/>
      <c r="B152" s="2619"/>
      <c r="C152" s="2506" t="s">
        <v>1904</v>
      </c>
      <c r="D152" s="2507"/>
      <c r="E152" s="2508"/>
      <c r="F152" s="1453" t="s">
        <v>2219</v>
      </c>
      <c r="G152" s="1277">
        <f>10*(MAX(ToxData2, ToxUp2, AVERAGE(Inflo2,SatPct2v,AVERAGE(ImpervPctSS,ErodibleSS,CAnatPct2, BuffSlope2,CApct2,TransportSS,MaxFluc2,ToxData2))))</f>
        <v>4.5634920634920633</v>
      </c>
      <c r="H152" s="2525" t="s">
        <v>2352</v>
      </c>
      <c r="I152" s="2526"/>
      <c r="J152" s="108"/>
    </row>
    <row r="153" spans="1:10" ht="21" customHeight="1" thickBot="1" x14ac:dyDescent="0.25">
      <c r="A153" s="61"/>
      <c r="B153" s="61"/>
      <c r="C153" s="61"/>
      <c r="D153" s="61"/>
      <c r="E153" s="61"/>
      <c r="F153" s="61"/>
      <c r="G153" s="61"/>
      <c r="H153" s="61"/>
    </row>
    <row r="154" spans="1:10" s="60" customFormat="1" ht="21" customHeight="1" thickBot="1" x14ac:dyDescent="0.25">
      <c r="A154" s="61"/>
      <c r="B154" s="61"/>
      <c r="C154" s="61"/>
      <c r="D154" s="61"/>
      <c r="E154" s="61"/>
      <c r="F154" s="61"/>
      <c r="G154" s="61"/>
      <c r="H154" s="2625" t="s">
        <v>669</v>
      </c>
      <c r="I154" s="2626"/>
      <c r="J154" s="108"/>
    </row>
    <row r="155" spans="1:10" s="60" customFormat="1" ht="42" customHeight="1" x14ac:dyDescent="0.2">
      <c r="A155" s="61"/>
      <c r="B155" s="61"/>
      <c r="C155" s="61"/>
      <c r="D155" s="61"/>
      <c r="E155" s="61"/>
      <c r="F155" s="61"/>
      <c r="G155" s="61"/>
      <c r="H155" s="2368" t="s">
        <v>2409</v>
      </c>
      <c r="I155" s="2552"/>
      <c r="J155" s="108"/>
    </row>
    <row r="156" spans="1:10" s="60" customFormat="1" ht="42" customHeight="1" x14ac:dyDescent="0.2">
      <c r="A156" s="61"/>
      <c r="B156" s="61"/>
      <c r="C156" s="61"/>
      <c r="D156" s="61"/>
      <c r="E156" s="61"/>
      <c r="F156" s="61"/>
      <c r="G156" s="61"/>
      <c r="H156" s="2531" t="s">
        <v>688</v>
      </c>
      <c r="I156" s="2532"/>
      <c r="J156" s="108"/>
    </row>
    <row r="157" spans="1:10" s="60" customFormat="1" ht="41.25" customHeight="1" x14ac:dyDescent="0.2">
      <c r="A157" s="61"/>
      <c r="B157" s="61"/>
      <c r="C157" s="61"/>
      <c r="D157" s="61"/>
      <c r="E157" s="61"/>
      <c r="F157" s="61"/>
      <c r="G157" s="61"/>
      <c r="H157" s="2531" t="s">
        <v>689</v>
      </c>
      <c r="I157" s="2532"/>
      <c r="J157" s="108"/>
    </row>
    <row r="158" spans="1:10" s="60" customFormat="1" ht="27" customHeight="1" x14ac:dyDescent="0.2">
      <c r="A158" s="61"/>
      <c r="B158" s="61"/>
      <c r="C158" s="61"/>
      <c r="D158" s="61"/>
      <c r="E158" s="61"/>
      <c r="F158" s="61"/>
      <c r="G158" s="61"/>
      <c r="H158" s="2531" t="s">
        <v>2410</v>
      </c>
      <c r="I158" s="2532"/>
      <c r="J158" s="108"/>
    </row>
    <row r="159" spans="1:10" s="60" customFormat="1" ht="27" customHeight="1" x14ac:dyDescent="0.2">
      <c r="A159" s="61"/>
      <c r="B159" s="61"/>
      <c r="C159" s="61"/>
      <c r="D159" s="61"/>
      <c r="E159" s="61"/>
      <c r="F159" s="61"/>
      <c r="G159" s="61"/>
      <c r="H159" s="2531" t="s">
        <v>691</v>
      </c>
      <c r="I159" s="2532"/>
      <c r="J159" s="108"/>
    </row>
    <row r="160" spans="1:10" s="60" customFormat="1" ht="27" customHeight="1" x14ac:dyDescent="0.2">
      <c r="A160" s="61"/>
      <c r="B160" s="61"/>
      <c r="C160" s="61"/>
      <c r="D160" s="61"/>
      <c r="E160" s="61"/>
      <c r="F160" s="61"/>
      <c r="G160" s="61"/>
      <c r="H160" s="2531" t="s">
        <v>692</v>
      </c>
      <c r="I160" s="2532"/>
      <c r="J160" s="108"/>
    </row>
    <row r="161" spans="1:10" s="60" customFormat="1" ht="27" customHeight="1" x14ac:dyDescent="0.2">
      <c r="A161" s="61"/>
      <c r="B161" s="61"/>
      <c r="C161" s="61"/>
      <c r="D161" s="61"/>
      <c r="E161" s="61"/>
      <c r="F161" s="61"/>
      <c r="G161" s="61"/>
      <c r="H161" s="2531" t="s">
        <v>693</v>
      </c>
      <c r="I161" s="2532"/>
      <c r="J161" s="108"/>
    </row>
    <row r="162" spans="1:10" s="60" customFormat="1" ht="27" customHeight="1" x14ac:dyDescent="0.2">
      <c r="A162" s="61"/>
      <c r="B162" s="61"/>
      <c r="C162" s="61"/>
      <c r="D162" s="61"/>
      <c r="E162" s="61"/>
      <c r="F162" s="61"/>
      <c r="G162" s="61"/>
      <c r="H162" s="2531" t="s">
        <v>694</v>
      </c>
      <c r="I162" s="2532"/>
      <c r="J162" s="108"/>
    </row>
    <row r="163" spans="1:10" s="60" customFormat="1" ht="27" customHeight="1" x14ac:dyDescent="0.2">
      <c r="A163" s="61"/>
      <c r="B163" s="61"/>
      <c r="C163" s="61"/>
      <c r="D163" s="61"/>
      <c r="E163" s="61"/>
      <c r="F163" s="61"/>
      <c r="G163" s="61"/>
      <c r="H163" s="2531" t="s">
        <v>695</v>
      </c>
      <c r="I163" s="2532"/>
      <c r="J163" s="108"/>
    </row>
    <row r="164" spans="1:10" s="60" customFormat="1" ht="27" customHeight="1" x14ac:dyDescent="0.2">
      <c r="A164" s="61"/>
      <c r="B164" s="61"/>
      <c r="C164" s="61"/>
      <c r="D164" s="61"/>
      <c r="E164" s="61"/>
      <c r="F164" s="61"/>
      <c r="G164" s="61"/>
      <c r="H164" s="2531" t="s">
        <v>696</v>
      </c>
      <c r="I164" s="2532"/>
      <c r="J164" s="108"/>
    </row>
    <row r="165" spans="1:10" s="60" customFormat="1" ht="39.75" customHeight="1" x14ac:dyDescent="0.2">
      <c r="A165" s="61"/>
      <c r="B165" s="61"/>
      <c r="C165" s="61"/>
      <c r="D165" s="61"/>
      <c r="E165" s="61"/>
      <c r="F165" s="61"/>
      <c r="G165" s="61"/>
      <c r="H165" s="2531" t="s">
        <v>697</v>
      </c>
      <c r="I165" s="2532"/>
      <c r="J165" s="108"/>
    </row>
    <row r="166" spans="1:10" s="60" customFormat="1" ht="27" customHeight="1" x14ac:dyDescent="0.2">
      <c r="A166" s="61"/>
      <c r="B166" s="61"/>
      <c r="C166" s="61"/>
      <c r="D166" s="61"/>
      <c r="E166" s="61"/>
      <c r="F166" s="61"/>
      <c r="G166" s="61"/>
      <c r="H166" s="2531" t="s">
        <v>698</v>
      </c>
      <c r="I166" s="2532"/>
      <c r="J166" s="108"/>
    </row>
    <row r="167" spans="1:10" s="60" customFormat="1" ht="27" customHeight="1" x14ac:dyDescent="0.2">
      <c r="A167" s="61"/>
      <c r="B167" s="61"/>
      <c r="C167" s="61"/>
      <c r="D167" s="61"/>
      <c r="E167" s="61"/>
      <c r="F167" s="61"/>
      <c r="G167" s="61"/>
      <c r="H167" s="2531" t="s">
        <v>699</v>
      </c>
      <c r="I167" s="2532"/>
      <c r="J167" s="108"/>
    </row>
    <row r="168" spans="1:10" s="60" customFormat="1" ht="40.5" customHeight="1" x14ac:dyDescent="0.2">
      <c r="A168" s="61"/>
      <c r="B168" s="61"/>
      <c r="C168" s="61"/>
      <c r="D168" s="61"/>
      <c r="E168" s="61"/>
      <c r="F168" s="61"/>
      <c r="G168" s="61"/>
      <c r="H168" s="2535" t="s">
        <v>1392</v>
      </c>
      <c r="I168" s="2536"/>
      <c r="J168" s="108"/>
    </row>
    <row r="169" spans="1:10" s="60" customFormat="1" ht="27" customHeight="1" x14ac:dyDescent="0.2">
      <c r="A169" s="61"/>
      <c r="B169" s="61"/>
      <c r="C169" s="61"/>
      <c r="D169" s="61"/>
      <c r="E169" s="61"/>
      <c r="F169" s="61"/>
      <c r="G169" s="61"/>
      <c r="H169" s="2531" t="s">
        <v>700</v>
      </c>
      <c r="I169" s="2532"/>
      <c r="J169" s="108"/>
    </row>
    <row r="170" spans="1:10" s="60" customFormat="1" ht="27" customHeight="1" x14ac:dyDescent="0.2">
      <c r="A170" s="61"/>
      <c r="B170" s="61"/>
      <c r="C170" s="61"/>
      <c r="D170" s="61"/>
      <c r="E170" s="61"/>
      <c r="F170" s="61"/>
      <c r="G170" s="61"/>
      <c r="H170" s="2531" t="s">
        <v>701</v>
      </c>
      <c r="I170" s="2532"/>
      <c r="J170" s="108"/>
    </row>
    <row r="171" spans="1:10" s="60" customFormat="1" ht="27" customHeight="1" x14ac:dyDescent="0.2">
      <c r="A171" s="61"/>
      <c r="B171" s="61"/>
      <c r="C171" s="61"/>
      <c r="D171" s="61"/>
      <c r="E171" s="61"/>
      <c r="F171" s="61"/>
      <c r="G171" s="61"/>
      <c r="H171" s="2531" t="s">
        <v>702</v>
      </c>
      <c r="I171" s="2532"/>
      <c r="J171" s="108"/>
    </row>
    <row r="172" spans="1:10" s="60" customFormat="1" ht="27" customHeight="1" x14ac:dyDescent="0.2">
      <c r="A172" s="61"/>
      <c r="B172" s="61"/>
      <c r="C172" s="61"/>
      <c r="D172" s="61"/>
      <c r="E172" s="61"/>
      <c r="F172" s="61"/>
      <c r="G172" s="61"/>
      <c r="H172" s="2531" t="s">
        <v>787</v>
      </c>
      <c r="I172" s="2532"/>
      <c r="J172" s="108"/>
    </row>
    <row r="173" spans="1:10" s="60" customFormat="1" ht="42" customHeight="1" x14ac:dyDescent="0.2">
      <c r="A173" s="61"/>
      <c r="B173" s="61"/>
      <c r="C173" s="61"/>
      <c r="D173" s="61"/>
      <c r="E173" s="61"/>
      <c r="F173" s="61"/>
      <c r="G173" s="61"/>
      <c r="H173" s="2531" t="s">
        <v>703</v>
      </c>
      <c r="I173" s="2532"/>
      <c r="J173" s="108"/>
    </row>
    <row r="174" spans="1:10" s="60" customFormat="1" ht="27" customHeight="1" x14ac:dyDescent="0.2">
      <c r="A174" s="61"/>
      <c r="B174" s="61"/>
      <c r="C174" s="61"/>
      <c r="D174" s="61"/>
      <c r="E174" s="61"/>
      <c r="F174" s="61"/>
      <c r="G174" s="61"/>
      <c r="H174" s="2531" t="s">
        <v>704</v>
      </c>
      <c r="I174" s="2532"/>
      <c r="J174" s="108"/>
    </row>
    <row r="175" spans="1:10" s="60" customFormat="1" ht="42" customHeight="1" thickBot="1" x14ac:dyDescent="0.25">
      <c r="A175" s="61"/>
      <c r="B175" s="61"/>
      <c r="C175" s="61"/>
      <c r="D175" s="61"/>
      <c r="E175" s="61"/>
      <c r="F175" s="61"/>
      <c r="G175" s="61"/>
      <c r="H175" s="2533" t="s">
        <v>705</v>
      </c>
      <c r="I175" s="2534"/>
      <c r="J175" s="108"/>
    </row>
    <row r="176" spans="1:10" s="60" customFormat="1" ht="27" customHeight="1" x14ac:dyDescent="0.2">
      <c r="A176" s="61"/>
      <c r="B176" s="61"/>
      <c r="C176" s="61"/>
      <c r="D176" s="61"/>
      <c r="E176" s="61"/>
      <c r="F176" s="61"/>
      <c r="G176" s="61"/>
      <c r="H176" s="21"/>
      <c r="I176" s="3"/>
      <c r="J176" s="108"/>
    </row>
    <row r="177" spans="1:10" s="60" customFormat="1" ht="42" customHeight="1" x14ac:dyDescent="0.2">
      <c r="A177" s="61"/>
      <c r="B177" s="61"/>
      <c r="C177" s="61"/>
      <c r="D177" s="61"/>
      <c r="E177" s="61"/>
      <c r="F177" s="61"/>
      <c r="G177" s="61"/>
      <c r="H177" s="1094"/>
      <c r="I177" s="3"/>
      <c r="J177" s="108"/>
    </row>
    <row r="178" spans="1:10" s="60" customFormat="1" ht="27" customHeight="1" x14ac:dyDescent="0.2">
      <c r="A178" s="61"/>
      <c r="B178" s="61"/>
      <c r="C178" s="61"/>
      <c r="D178" s="61"/>
      <c r="E178" s="61"/>
      <c r="F178" s="61"/>
      <c r="G178" s="61"/>
      <c r="H178" s="1094"/>
      <c r="I178" s="3"/>
      <c r="J178" s="108"/>
    </row>
    <row r="179" spans="1:10" s="60" customFormat="1" x14ac:dyDescent="0.2">
      <c r="A179" s="61"/>
      <c r="B179" s="61"/>
      <c r="C179" s="61"/>
      <c r="D179" s="61"/>
      <c r="E179" s="61"/>
      <c r="F179" s="61"/>
      <c r="G179" s="61"/>
      <c r="H179" s="1094"/>
      <c r="I179" s="3"/>
      <c r="J179" s="108"/>
    </row>
    <row r="180" spans="1:10" x14ac:dyDescent="0.2">
      <c r="H180" s="1094"/>
    </row>
    <row r="181" spans="1:10" s="60" customFormat="1" x14ac:dyDescent="0.2">
      <c r="A181" s="62"/>
      <c r="B181" s="61"/>
      <c r="C181" s="61"/>
      <c r="D181" s="133"/>
      <c r="E181" s="133"/>
      <c r="F181" s="133"/>
      <c r="G181" s="135"/>
      <c r="H181" s="1094"/>
      <c r="I181" s="3"/>
      <c r="J181" s="108"/>
    </row>
    <row r="182" spans="1:10" s="60" customFormat="1" x14ac:dyDescent="0.2">
      <c r="A182" s="62"/>
      <c r="B182" s="61"/>
      <c r="C182" s="61"/>
      <c r="D182" s="133"/>
      <c r="E182" s="133"/>
      <c r="F182" s="133"/>
      <c r="G182" s="135"/>
      <c r="H182" s="1094"/>
      <c r="I182" s="3"/>
      <c r="J182" s="108"/>
    </row>
    <row r="183" spans="1:10" s="60" customFormat="1" x14ac:dyDescent="0.2">
      <c r="A183" s="62"/>
      <c r="B183" s="61"/>
      <c r="C183" s="61"/>
      <c r="D183" s="133"/>
      <c r="E183" s="133"/>
      <c r="F183" s="133"/>
      <c r="G183" s="135"/>
      <c r="H183" s="1094"/>
      <c r="I183" s="3"/>
      <c r="J183" s="108"/>
    </row>
    <row r="184" spans="1:10" s="60" customFormat="1" x14ac:dyDescent="0.2">
      <c r="A184" s="62"/>
      <c r="B184" s="61"/>
      <c r="C184" s="61"/>
      <c r="D184" s="133"/>
      <c r="E184" s="133"/>
      <c r="F184" s="133"/>
      <c r="G184" s="135"/>
      <c r="H184" s="1094"/>
      <c r="I184" s="3"/>
      <c r="J184" s="108"/>
    </row>
    <row r="185" spans="1:10" s="60" customFormat="1" x14ac:dyDescent="0.2">
      <c r="A185" s="62"/>
      <c r="B185" s="61"/>
      <c r="C185" s="61"/>
      <c r="D185" s="133"/>
      <c r="E185" s="133"/>
      <c r="F185" s="133"/>
      <c r="G185" s="135"/>
      <c r="H185" s="1094"/>
      <c r="I185" s="3"/>
      <c r="J185" s="108"/>
    </row>
    <row r="186" spans="1:10" s="60" customFormat="1" x14ac:dyDescent="0.2">
      <c r="A186" s="62"/>
      <c r="B186" s="61"/>
      <c r="C186" s="61"/>
      <c r="D186" s="133"/>
      <c r="E186" s="133"/>
      <c r="F186" s="133"/>
      <c r="G186" s="135"/>
      <c r="H186" s="1094"/>
      <c r="I186" s="3"/>
      <c r="J186" s="108"/>
    </row>
    <row r="187" spans="1:10" s="60" customFormat="1" x14ac:dyDescent="0.2">
      <c r="A187" s="62"/>
      <c r="B187" s="61"/>
      <c r="C187" s="61"/>
      <c r="D187" s="133"/>
      <c r="E187" s="133"/>
      <c r="F187" s="133"/>
      <c r="G187" s="135"/>
      <c r="H187" s="1094"/>
      <c r="I187" s="3"/>
      <c r="J187" s="108"/>
    </row>
    <row r="188" spans="1:10" s="60" customFormat="1" x14ac:dyDescent="0.2">
      <c r="A188" s="62"/>
      <c r="B188" s="61"/>
      <c r="C188" s="61"/>
      <c r="D188" s="133"/>
      <c r="E188" s="133"/>
      <c r="F188" s="133"/>
      <c r="G188" s="135"/>
      <c r="H188" s="1094"/>
      <c r="I188" s="3"/>
      <c r="J188" s="108"/>
    </row>
    <row r="189" spans="1:10" s="60" customFormat="1" x14ac:dyDescent="0.2">
      <c r="A189" s="62"/>
      <c r="B189" s="61"/>
      <c r="C189" s="61"/>
      <c r="D189" s="133"/>
      <c r="E189" s="133"/>
      <c r="F189" s="133"/>
      <c r="G189" s="135"/>
      <c r="H189" s="1094"/>
      <c r="I189" s="3"/>
      <c r="J189" s="108"/>
    </row>
    <row r="190" spans="1:10" s="60" customFormat="1" x14ac:dyDescent="0.2">
      <c r="A190" s="62"/>
      <c r="B190" s="61"/>
      <c r="C190" s="61"/>
      <c r="D190" s="133"/>
      <c r="E190" s="133"/>
      <c r="F190" s="133"/>
      <c r="G190" s="135"/>
      <c r="H190" s="1094"/>
      <c r="I190" s="3"/>
      <c r="J190" s="108"/>
    </row>
    <row r="191" spans="1:10" s="60" customFormat="1" x14ac:dyDescent="0.2">
      <c r="A191" s="62"/>
      <c r="B191" s="61"/>
      <c r="C191" s="61"/>
      <c r="D191" s="133"/>
      <c r="E191" s="133"/>
      <c r="F191" s="133"/>
      <c r="G191" s="135"/>
      <c r="H191" s="1094"/>
      <c r="I191" s="3"/>
      <c r="J191" s="108"/>
    </row>
    <row r="192" spans="1:10" s="60" customFormat="1" x14ac:dyDescent="0.2">
      <c r="A192" s="62"/>
      <c r="B192" s="61"/>
      <c r="C192" s="61"/>
      <c r="D192" s="133"/>
      <c r="E192" s="133"/>
      <c r="F192" s="133"/>
      <c r="G192" s="135"/>
      <c r="H192" s="1094"/>
      <c r="I192" s="3"/>
      <c r="J192" s="108"/>
    </row>
    <row r="193" spans="1:10" s="60" customFormat="1" x14ac:dyDescent="0.2">
      <c r="A193" s="62"/>
      <c r="B193" s="61"/>
      <c r="C193" s="61"/>
      <c r="D193" s="133"/>
      <c r="E193" s="133"/>
      <c r="F193" s="133"/>
      <c r="G193" s="135"/>
      <c r="H193" s="1094"/>
      <c r="I193" s="3"/>
      <c r="J193" s="108"/>
    </row>
    <row r="194" spans="1:10" s="60" customFormat="1" x14ac:dyDescent="0.2">
      <c r="A194" s="62"/>
      <c r="B194" s="61"/>
      <c r="C194" s="61"/>
      <c r="D194" s="133"/>
      <c r="E194" s="133"/>
      <c r="F194" s="133"/>
      <c r="G194" s="135"/>
      <c r="H194" s="1094"/>
      <c r="I194" s="3"/>
      <c r="J194" s="108"/>
    </row>
    <row r="195" spans="1:10" s="60" customFormat="1" x14ac:dyDescent="0.2">
      <c r="A195" s="62"/>
      <c r="B195" s="61"/>
      <c r="C195" s="61"/>
      <c r="D195" s="133"/>
      <c r="E195" s="133"/>
      <c r="F195" s="133"/>
      <c r="G195" s="135"/>
      <c r="H195" s="1094"/>
      <c r="I195" s="3"/>
      <c r="J195" s="108"/>
    </row>
    <row r="196" spans="1:10" s="60" customFormat="1" x14ac:dyDescent="0.2">
      <c r="A196" s="62"/>
      <c r="B196" s="61"/>
      <c r="C196" s="61"/>
      <c r="D196" s="133"/>
      <c r="E196" s="133"/>
      <c r="F196" s="133"/>
      <c r="G196" s="135"/>
      <c r="H196" s="1094"/>
      <c r="I196" s="3"/>
      <c r="J196" s="108"/>
    </row>
    <row r="197" spans="1:10" s="60" customFormat="1" x14ac:dyDescent="0.2">
      <c r="A197" s="62"/>
      <c r="B197" s="61"/>
      <c r="C197" s="61"/>
      <c r="D197" s="133"/>
      <c r="E197" s="133"/>
      <c r="F197" s="133"/>
      <c r="G197" s="135"/>
      <c r="H197" s="1094"/>
      <c r="I197" s="3"/>
      <c r="J197" s="108"/>
    </row>
    <row r="198" spans="1:10" s="60" customFormat="1" x14ac:dyDescent="0.2">
      <c r="A198" s="62"/>
      <c r="B198" s="61"/>
      <c r="C198" s="61"/>
      <c r="D198" s="133"/>
      <c r="E198" s="133"/>
      <c r="F198" s="133"/>
      <c r="G198" s="135"/>
      <c r="H198" s="1094"/>
      <c r="I198" s="3"/>
      <c r="J198" s="108"/>
    </row>
    <row r="199" spans="1:10" s="60" customFormat="1" x14ac:dyDescent="0.2">
      <c r="A199" s="62"/>
      <c r="B199" s="61"/>
      <c r="C199" s="61"/>
      <c r="D199" s="133"/>
      <c r="E199" s="133"/>
      <c r="F199" s="133"/>
      <c r="G199" s="135"/>
      <c r="H199" s="1094"/>
      <c r="I199" s="3"/>
      <c r="J199" s="108"/>
    </row>
    <row r="200" spans="1:10" s="60" customFormat="1" x14ac:dyDescent="0.2">
      <c r="A200" s="62"/>
      <c r="B200" s="61"/>
      <c r="C200" s="61"/>
      <c r="D200" s="133"/>
      <c r="E200" s="133"/>
      <c r="F200" s="133"/>
      <c r="G200" s="135"/>
      <c r="H200" s="1094"/>
      <c r="I200" s="3"/>
      <c r="J200" s="108"/>
    </row>
    <row r="201" spans="1:10" s="60" customFormat="1" x14ac:dyDescent="0.2">
      <c r="A201" s="62"/>
      <c r="B201" s="61"/>
      <c r="C201" s="61"/>
      <c r="D201" s="133"/>
      <c r="E201" s="133"/>
      <c r="F201" s="133"/>
      <c r="G201" s="135"/>
      <c r="H201" s="1094"/>
      <c r="I201" s="3"/>
      <c r="J201" s="108"/>
    </row>
    <row r="202" spans="1:10" s="60" customFormat="1" x14ac:dyDescent="0.2">
      <c r="A202" s="62"/>
      <c r="B202" s="61"/>
      <c r="C202" s="61"/>
      <c r="D202" s="133"/>
      <c r="E202" s="133"/>
      <c r="F202" s="133"/>
      <c r="G202" s="135"/>
      <c r="H202" s="1094"/>
      <c r="I202" s="3"/>
      <c r="J202" s="108"/>
    </row>
    <row r="203" spans="1:10" s="60" customFormat="1" x14ac:dyDescent="0.2">
      <c r="A203" s="62"/>
      <c r="B203" s="61"/>
      <c r="C203" s="61"/>
      <c r="D203" s="133"/>
      <c r="E203" s="133"/>
      <c r="F203" s="133"/>
      <c r="G203" s="135"/>
      <c r="H203" s="1094"/>
      <c r="I203" s="3"/>
      <c r="J203" s="108"/>
    </row>
    <row r="204" spans="1:10" s="60" customFormat="1" x14ac:dyDescent="0.2">
      <c r="A204" s="62"/>
      <c r="B204" s="61"/>
      <c r="C204" s="61"/>
      <c r="D204" s="133"/>
      <c r="E204" s="133"/>
      <c r="F204" s="133"/>
      <c r="G204" s="135"/>
      <c r="H204" s="1094"/>
      <c r="I204" s="3"/>
      <c r="J204" s="108"/>
    </row>
    <row r="205" spans="1:10" s="60" customFormat="1" x14ac:dyDescent="0.2">
      <c r="A205" s="62"/>
      <c r="B205" s="61"/>
      <c r="C205" s="61"/>
      <c r="D205" s="133"/>
      <c r="E205" s="133"/>
      <c r="F205" s="133"/>
      <c r="G205" s="135"/>
      <c r="H205" s="1094"/>
      <c r="I205" s="3"/>
      <c r="J205" s="108"/>
    </row>
    <row r="206" spans="1:10" s="60" customFormat="1" x14ac:dyDescent="0.2">
      <c r="A206" s="62"/>
      <c r="B206" s="61"/>
      <c r="C206" s="61"/>
      <c r="D206" s="133"/>
      <c r="E206" s="133"/>
      <c r="F206" s="133"/>
      <c r="G206" s="135"/>
      <c r="H206" s="1094"/>
      <c r="I206" s="3"/>
      <c r="J206" s="108"/>
    </row>
    <row r="207" spans="1:10" s="60" customFormat="1" x14ac:dyDescent="0.2">
      <c r="A207" s="62"/>
      <c r="B207" s="61"/>
      <c r="C207" s="61"/>
      <c r="D207" s="133"/>
      <c r="E207" s="133"/>
      <c r="F207" s="133"/>
      <c r="G207" s="135"/>
      <c r="H207" s="1094"/>
      <c r="I207" s="3"/>
      <c r="J207" s="108"/>
    </row>
    <row r="208" spans="1:10" s="60" customFormat="1" x14ac:dyDescent="0.2">
      <c r="A208" s="62"/>
      <c r="B208" s="61"/>
      <c r="C208" s="61"/>
      <c r="D208" s="133"/>
      <c r="E208" s="133"/>
      <c r="F208" s="133"/>
      <c r="G208" s="135"/>
      <c r="H208" s="1094"/>
      <c r="I208" s="3"/>
      <c r="J208" s="108"/>
    </row>
    <row r="209" spans="1:10" s="60" customFormat="1" x14ac:dyDescent="0.2">
      <c r="A209" s="62"/>
      <c r="B209" s="61"/>
      <c r="C209" s="61"/>
      <c r="D209" s="133"/>
      <c r="E209" s="133"/>
      <c r="F209" s="133"/>
      <c r="G209" s="135"/>
      <c r="H209" s="1094"/>
      <c r="I209" s="3"/>
      <c r="J209" s="108"/>
    </row>
    <row r="210" spans="1:10" s="60" customFormat="1" x14ac:dyDescent="0.2">
      <c r="A210" s="62"/>
      <c r="B210" s="61"/>
      <c r="C210" s="61"/>
      <c r="D210" s="133"/>
      <c r="E210" s="133"/>
      <c r="F210" s="133"/>
      <c r="G210" s="135"/>
      <c r="H210" s="1094"/>
      <c r="I210" s="3"/>
      <c r="J210" s="108"/>
    </row>
    <row r="211" spans="1:10" s="60" customFormat="1" x14ac:dyDescent="0.2">
      <c r="A211" s="62"/>
      <c r="B211" s="61"/>
      <c r="C211" s="61"/>
      <c r="D211" s="133"/>
      <c r="E211" s="133"/>
      <c r="F211" s="133"/>
      <c r="G211" s="135"/>
      <c r="H211" s="1094"/>
      <c r="I211" s="3"/>
      <c r="J211" s="108"/>
    </row>
    <row r="212" spans="1:10" s="60" customFormat="1" x14ac:dyDescent="0.2">
      <c r="A212" s="62"/>
      <c r="B212" s="61"/>
      <c r="C212" s="61"/>
      <c r="D212" s="133"/>
      <c r="E212" s="133"/>
      <c r="F212" s="133"/>
      <c r="G212" s="135"/>
      <c r="H212" s="1094"/>
      <c r="I212" s="3"/>
      <c r="J212" s="108"/>
    </row>
    <row r="213" spans="1:10" s="60" customFormat="1" x14ac:dyDescent="0.2">
      <c r="A213" s="62"/>
      <c r="B213" s="61"/>
      <c r="C213" s="61"/>
      <c r="D213" s="133"/>
      <c r="E213" s="133"/>
      <c r="F213" s="133"/>
      <c r="G213" s="135"/>
      <c r="H213" s="1094"/>
      <c r="I213" s="3"/>
      <c r="J213" s="108"/>
    </row>
    <row r="214" spans="1:10" s="60" customFormat="1" x14ac:dyDescent="0.2">
      <c r="A214" s="62"/>
      <c r="B214" s="61"/>
      <c r="C214" s="61"/>
      <c r="D214" s="133"/>
      <c r="E214" s="133"/>
      <c r="F214" s="133"/>
      <c r="G214" s="135"/>
      <c r="H214" s="1094"/>
      <c r="I214" s="3"/>
      <c r="J214" s="108"/>
    </row>
    <row r="215" spans="1:10" s="60" customFormat="1" x14ac:dyDescent="0.2">
      <c r="A215" s="62"/>
      <c r="B215" s="61"/>
      <c r="C215" s="61"/>
      <c r="D215" s="133"/>
      <c r="E215" s="133"/>
      <c r="F215" s="133"/>
      <c r="G215" s="135"/>
      <c r="H215" s="1094"/>
      <c r="I215" s="3"/>
      <c r="J215" s="108"/>
    </row>
    <row r="216" spans="1:10" s="60" customFormat="1" x14ac:dyDescent="0.2">
      <c r="A216" s="62"/>
      <c r="B216" s="61"/>
      <c r="C216" s="61"/>
      <c r="D216" s="133"/>
      <c r="E216" s="133"/>
      <c r="F216" s="133"/>
      <c r="G216" s="135"/>
      <c r="H216" s="1094"/>
      <c r="I216" s="3"/>
      <c r="J216" s="108"/>
    </row>
    <row r="217" spans="1:10" s="60" customFormat="1" x14ac:dyDescent="0.2">
      <c r="A217" s="62"/>
      <c r="B217" s="61"/>
      <c r="C217" s="61"/>
      <c r="D217" s="133"/>
      <c r="E217" s="133"/>
      <c r="F217" s="133"/>
      <c r="G217" s="135"/>
      <c r="H217" s="1094"/>
      <c r="I217" s="3"/>
      <c r="J217" s="108"/>
    </row>
    <row r="218" spans="1:10" s="60" customFormat="1" x14ac:dyDescent="0.2">
      <c r="A218" s="62"/>
      <c r="B218" s="61"/>
      <c r="C218" s="61"/>
      <c r="D218" s="133"/>
      <c r="E218" s="133"/>
      <c r="F218" s="133"/>
      <c r="G218" s="135"/>
      <c r="H218" s="1094"/>
      <c r="I218" s="3"/>
      <c r="J218" s="108"/>
    </row>
    <row r="219" spans="1:10" s="60" customFormat="1" x14ac:dyDescent="0.2">
      <c r="A219" s="62"/>
      <c r="B219" s="61"/>
      <c r="C219" s="61"/>
      <c r="D219" s="133"/>
      <c r="E219" s="133"/>
      <c r="F219" s="133"/>
      <c r="G219" s="135"/>
      <c r="H219" s="1094"/>
      <c r="I219" s="3"/>
      <c r="J219" s="108"/>
    </row>
    <row r="220" spans="1:10" s="60" customFormat="1" x14ac:dyDescent="0.2">
      <c r="A220" s="62"/>
      <c r="B220" s="61"/>
      <c r="C220" s="61"/>
      <c r="D220" s="133"/>
      <c r="E220" s="133"/>
      <c r="F220" s="133"/>
      <c r="G220" s="135"/>
      <c r="H220" s="1094"/>
      <c r="I220" s="3"/>
      <c r="J220" s="108"/>
    </row>
    <row r="221" spans="1:10" s="60" customFormat="1" x14ac:dyDescent="0.2">
      <c r="A221" s="62"/>
      <c r="B221" s="61"/>
      <c r="C221" s="61"/>
      <c r="D221" s="133"/>
      <c r="E221" s="133"/>
      <c r="F221" s="133"/>
      <c r="G221" s="135"/>
      <c r="H221" s="1094"/>
      <c r="I221" s="3"/>
      <c r="J221" s="108"/>
    </row>
    <row r="222" spans="1:10" s="60" customFormat="1" x14ac:dyDescent="0.2">
      <c r="A222" s="62"/>
      <c r="B222" s="61"/>
      <c r="C222" s="61"/>
      <c r="D222" s="133"/>
      <c r="E222" s="133"/>
      <c r="F222" s="133"/>
      <c r="G222" s="135"/>
      <c r="H222" s="1094"/>
      <c r="I222" s="3"/>
      <c r="J222" s="108"/>
    </row>
    <row r="223" spans="1:10" s="60" customFormat="1" x14ac:dyDescent="0.2">
      <c r="A223" s="62"/>
      <c r="B223" s="61"/>
      <c r="C223" s="61"/>
      <c r="D223" s="133"/>
      <c r="E223" s="133"/>
      <c r="F223" s="133"/>
      <c r="G223" s="135"/>
      <c r="H223" s="1094"/>
      <c r="I223" s="3"/>
      <c r="J223" s="108"/>
    </row>
    <row r="224" spans="1:10" s="60" customFormat="1" x14ac:dyDescent="0.2">
      <c r="A224" s="62"/>
      <c r="B224" s="61"/>
      <c r="C224" s="61"/>
      <c r="D224" s="133"/>
      <c r="E224" s="133"/>
      <c r="F224" s="133"/>
      <c r="G224" s="135"/>
      <c r="H224" s="1094"/>
      <c r="I224" s="3"/>
      <c r="J224" s="108"/>
    </row>
    <row r="225" spans="1:10" s="60" customFormat="1" x14ac:dyDescent="0.2">
      <c r="A225" s="62"/>
      <c r="B225" s="61"/>
      <c r="C225" s="61"/>
      <c r="D225" s="133"/>
      <c r="E225" s="133"/>
      <c r="F225" s="133"/>
      <c r="G225" s="135"/>
      <c r="H225" s="1094"/>
      <c r="I225" s="3"/>
      <c r="J225" s="108"/>
    </row>
    <row r="226" spans="1:10" s="60" customFormat="1" x14ac:dyDescent="0.2">
      <c r="A226" s="62"/>
      <c r="B226" s="61"/>
      <c r="C226" s="61"/>
      <c r="D226" s="133"/>
      <c r="E226" s="133"/>
      <c r="F226" s="133"/>
      <c r="G226" s="135"/>
      <c r="H226" s="1094"/>
      <c r="I226" s="3"/>
      <c r="J226" s="108"/>
    </row>
    <row r="227" spans="1:10" s="60" customFormat="1" x14ac:dyDescent="0.2">
      <c r="A227" s="62"/>
      <c r="B227" s="61"/>
      <c r="C227" s="61"/>
      <c r="D227" s="133"/>
      <c r="E227" s="133"/>
      <c r="F227" s="133"/>
      <c r="G227" s="135"/>
      <c r="H227" s="1094"/>
      <c r="I227" s="3"/>
      <c r="J227" s="108"/>
    </row>
    <row r="228" spans="1:10" s="60" customFormat="1" x14ac:dyDescent="0.2">
      <c r="A228" s="62"/>
      <c r="B228" s="61"/>
      <c r="C228" s="61"/>
      <c r="D228" s="133"/>
      <c r="E228" s="133"/>
      <c r="F228" s="133"/>
      <c r="G228" s="135"/>
      <c r="H228" s="1094"/>
      <c r="I228" s="3"/>
      <c r="J228" s="108"/>
    </row>
    <row r="229" spans="1:10" s="60" customFormat="1" x14ac:dyDescent="0.2">
      <c r="A229" s="62"/>
      <c r="B229" s="61"/>
      <c r="C229" s="61"/>
      <c r="D229" s="133"/>
      <c r="E229" s="133"/>
      <c r="F229" s="133"/>
      <c r="G229" s="135"/>
      <c r="H229" s="1094"/>
      <c r="I229" s="3"/>
      <c r="J229" s="108"/>
    </row>
    <row r="230" spans="1:10" s="60" customFormat="1" x14ac:dyDescent="0.2">
      <c r="A230" s="62"/>
      <c r="B230" s="61"/>
      <c r="C230" s="61"/>
      <c r="D230" s="133"/>
      <c r="E230" s="133"/>
      <c r="F230" s="133"/>
      <c r="G230" s="135"/>
      <c r="H230" s="1094"/>
      <c r="I230" s="3"/>
      <c r="J230" s="108"/>
    </row>
    <row r="231" spans="1:10" s="60" customFormat="1" x14ac:dyDescent="0.2">
      <c r="A231" s="62"/>
      <c r="B231" s="61"/>
      <c r="C231" s="61"/>
      <c r="D231" s="133"/>
      <c r="E231" s="133"/>
      <c r="F231" s="133"/>
      <c r="G231" s="135"/>
      <c r="H231" s="1094"/>
      <c r="I231" s="3"/>
      <c r="J231" s="108"/>
    </row>
    <row r="232" spans="1:10" s="60" customFormat="1" x14ac:dyDescent="0.2">
      <c r="A232" s="62"/>
      <c r="B232" s="61"/>
      <c r="C232" s="61"/>
      <c r="D232" s="133"/>
      <c r="E232" s="133"/>
      <c r="F232" s="133"/>
      <c r="G232" s="135"/>
      <c r="H232" s="1094"/>
      <c r="I232" s="3"/>
      <c r="J232" s="108"/>
    </row>
    <row r="233" spans="1:10" s="60" customFormat="1" x14ac:dyDescent="0.2">
      <c r="A233" s="62"/>
      <c r="B233" s="61"/>
      <c r="C233" s="61"/>
      <c r="D233" s="133"/>
      <c r="E233" s="133"/>
      <c r="F233" s="133"/>
      <c r="G233" s="135"/>
      <c r="H233" s="1094"/>
      <c r="I233" s="3"/>
      <c r="J233" s="108"/>
    </row>
    <row r="234" spans="1:10" s="60" customFormat="1" x14ac:dyDescent="0.2">
      <c r="A234" s="62"/>
      <c r="B234" s="61"/>
      <c r="C234" s="61"/>
      <c r="D234" s="133"/>
      <c r="E234" s="133"/>
      <c r="F234" s="133"/>
      <c r="G234" s="135"/>
      <c r="H234" s="1094"/>
      <c r="I234" s="3"/>
      <c r="J234" s="108"/>
    </row>
    <row r="235" spans="1:10" s="60" customFormat="1" x14ac:dyDescent="0.2">
      <c r="A235" s="62"/>
      <c r="B235" s="61"/>
      <c r="C235" s="61"/>
      <c r="D235" s="133"/>
      <c r="E235" s="133"/>
      <c r="F235" s="133"/>
      <c r="G235" s="135"/>
      <c r="H235" s="1094"/>
      <c r="I235" s="3"/>
      <c r="J235" s="108"/>
    </row>
    <row r="236" spans="1:10" s="60" customFormat="1" x14ac:dyDescent="0.2">
      <c r="A236" s="62"/>
      <c r="B236" s="61"/>
      <c r="C236" s="61"/>
      <c r="D236" s="133"/>
      <c r="E236" s="133"/>
      <c r="F236" s="133"/>
      <c r="G236" s="135"/>
      <c r="H236" s="1094"/>
      <c r="I236" s="3"/>
      <c r="J236" s="108"/>
    </row>
    <row r="237" spans="1:10" s="60" customFormat="1" x14ac:dyDescent="0.2">
      <c r="A237" s="62"/>
      <c r="B237" s="61"/>
      <c r="C237" s="61"/>
      <c r="D237" s="133"/>
      <c r="E237" s="133"/>
      <c r="F237" s="133"/>
      <c r="G237" s="135"/>
      <c r="H237" s="1094"/>
      <c r="I237" s="3"/>
      <c r="J237" s="108"/>
    </row>
    <row r="238" spans="1:10" s="60" customFormat="1" x14ac:dyDescent="0.2">
      <c r="A238" s="62"/>
      <c r="B238" s="61"/>
      <c r="C238" s="61"/>
      <c r="D238" s="133"/>
      <c r="E238" s="133"/>
      <c r="F238" s="133"/>
      <c r="G238" s="135"/>
      <c r="H238" s="1094"/>
      <c r="I238" s="3"/>
      <c r="J238" s="108"/>
    </row>
    <row r="239" spans="1:10" s="60" customFormat="1" x14ac:dyDescent="0.2">
      <c r="A239" s="62"/>
      <c r="B239" s="61"/>
      <c r="C239" s="61"/>
      <c r="D239" s="133"/>
      <c r="E239" s="133"/>
      <c r="F239" s="133"/>
      <c r="G239" s="135"/>
      <c r="H239" s="1094"/>
      <c r="I239" s="3"/>
      <c r="J239" s="108"/>
    </row>
    <row r="240" spans="1:10" s="60" customFormat="1" x14ac:dyDescent="0.2">
      <c r="A240" s="62"/>
      <c r="B240" s="61"/>
      <c r="C240" s="61"/>
      <c r="D240" s="133"/>
      <c r="E240" s="133"/>
      <c r="F240" s="133"/>
      <c r="G240" s="135"/>
      <c r="H240" s="1094"/>
      <c r="I240" s="3"/>
      <c r="J240" s="108"/>
    </row>
    <row r="241" spans="1:10" s="60" customFormat="1" x14ac:dyDescent="0.2">
      <c r="A241" s="62"/>
      <c r="B241" s="61"/>
      <c r="C241" s="61"/>
      <c r="D241" s="133"/>
      <c r="E241" s="133"/>
      <c r="F241" s="133"/>
      <c r="G241" s="135"/>
      <c r="H241" s="1094"/>
      <c r="I241" s="3"/>
      <c r="J241" s="108"/>
    </row>
    <row r="242" spans="1:10" s="60" customFormat="1" x14ac:dyDescent="0.2">
      <c r="A242" s="62"/>
      <c r="B242" s="61"/>
      <c r="C242" s="61"/>
      <c r="D242" s="133"/>
      <c r="E242" s="133"/>
      <c r="F242" s="133"/>
      <c r="G242" s="135"/>
      <c r="H242" s="1094"/>
      <c r="I242" s="3"/>
      <c r="J242" s="108"/>
    </row>
    <row r="243" spans="1:10" s="60" customFormat="1" x14ac:dyDescent="0.2">
      <c r="A243" s="62"/>
      <c r="B243" s="61"/>
      <c r="C243" s="61"/>
      <c r="D243" s="133"/>
      <c r="E243" s="133"/>
      <c r="F243" s="133"/>
      <c r="G243" s="135"/>
      <c r="H243" s="1094"/>
      <c r="I243" s="3"/>
      <c r="J243" s="108"/>
    </row>
    <row r="244" spans="1:10" s="60" customFormat="1" x14ac:dyDescent="0.2">
      <c r="A244" s="62"/>
      <c r="B244" s="61"/>
      <c r="C244" s="61"/>
      <c r="D244" s="133"/>
      <c r="E244" s="133"/>
      <c r="F244" s="133"/>
      <c r="G244" s="135"/>
      <c r="H244" s="1094"/>
      <c r="I244" s="3"/>
      <c r="J244" s="108"/>
    </row>
    <row r="245" spans="1:10" s="60" customFormat="1" x14ac:dyDescent="0.2">
      <c r="A245" s="62"/>
      <c r="B245" s="61"/>
      <c r="C245" s="61"/>
      <c r="D245" s="133"/>
      <c r="E245" s="133"/>
      <c r="F245" s="133"/>
      <c r="G245" s="135"/>
      <c r="H245" s="1094"/>
      <c r="I245" s="3"/>
      <c r="J245" s="108"/>
    </row>
    <row r="246" spans="1:10" s="60" customFormat="1" x14ac:dyDescent="0.2">
      <c r="A246" s="62"/>
      <c r="B246" s="61"/>
      <c r="C246" s="61"/>
      <c r="D246" s="133"/>
      <c r="E246" s="133"/>
      <c r="F246" s="133"/>
      <c r="G246" s="135"/>
      <c r="H246" s="1094"/>
      <c r="I246" s="3"/>
      <c r="J246" s="108"/>
    </row>
    <row r="247" spans="1:10" s="60" customFormat="1" x14ac:dyDescent="0.2">
      <c r="A247" s="62"/>
      <c r="B247" s="61"/>
      <c r="C247" s="61"/>
      <c r="D247" s="133"/>
      <c r="E247" s="133"/>
      <c r="F247" s="133"/>
      <c r="G247" s="135"/>
      <c r="H247" s="1094"/>
      <c r="I247" s="3"/>
      <c r="J247" s="108"/>
    </row>
    <row r="248" spans="1:10" s="60" customFormat="1" x14ac:dyDescent="0.2">
      <c r="A248" s="62"/>
      <c r="B248" s="61"/>
      <c r="C248" s="61"/>
      <c r="D248" s="133"/>
      <c r="E248" s="133"/>
      <c r="F248" s="133"/>
      <c r="G248" s="135"/>
      <c r="H248" s="1094"/>
      <c r="I248" s="3"/>
      <c r="J248" s="108"/>
    </row>
    <row r="249" spans="1:10" s="60" customFormat="1" x14ac:dyDescent="0.2">
      <c r="A249" s="62"/>
      <c r="B249" s="61"/>
      <c r="C249" s="61"/>
      <c r="D249" s="133"/>
      <c r="E249" s="133"/>
      <c r="F249" s="133"/>
      <c r="G249" s="135"/>
      <c r="H249" s="1094"/>
      <c r="I249" s="3"/>
      <c r="J249" s="108"/>
    </row>
    <row r="250" spans="1:10" s="60" customFormat="1" x14ac:dyDescent="0.2">
      <c r="A250" s="62"/>
      <c r="B250" s="61"/>
      <c r="C250" s="61"/>
      <c r="D250" s="133"/>
      <c r="E250" s="133"/>
      <c r="F250" s="133"/>
      <c r="G250" s="135"/>
      <c r="H250" s="1094"/>
      <c r="I250" s="3"/>
      <c r="J250" s="108"/>
    </row>
    <row r="251" spans="1:10" s="60" customFormat="1" x14ac:dyDescent="0.2">
      <c r="A251" s="62"/>
      <c r="B251" s="61"/>
      <c r="C251" s="61"/>
      <c r="D251" s="133"/>
      <c r="E251" s="133"/>
      <c r="F251" s="133"/>
      <c r="G251" s="135"/>
      <c r="H251" s="1094"/>
      <c r="I251" s="3"/>
      <c r="J251" s="108"/>
    </row>
    <row r="252" spans="1:10" s="60" customFormat="1" x14ac:dyDescent="0.2">
      <c r="A252" s="62"/>
      <c r="B252" s="61"/>
      <c r="C252" s="61"/>
      <c r="D252" s="133"/>
      <c r="E252" s="133"/>
      <c r="F252" s="133"/>
      <c r="G252" s="135"/>
      <c r="H252" s="1094"/>
      <c r="I252" s="3"/>
      <c r="J252" s="108"/>
    </row>
    <row r="253" spans="1:10" s="60" customFormat="1" x14ac:dyDescent="0.2">
      <c r="A253" s="62"/>
      <c r="B253" s="61"/>
      <c r="C253" s="61"/>
      <c r="D253" s="133"/>
      <c r="E253" s="133"/>
      <c r="F253" s="133"/>
      <c r="G253" s="135"/>
      <c r="H253" s="1094"/>
      <c r="I253" s="3"/>
      <c r="J253" s="108"/>
    </row>
    <row r="254" spans="1:10" s="60" customFormat="1" x14ac:dyDescent="0.2">
      <c r="A254" s="62"/>
      <c r="B254" s="61"/>
      <c r="C254" s="61"/>
      <c r="D254" s="133"/>
      <c r="E254" s="133"/>
      <c r="F254" s="133"/>
      <c r="G254" s="135"/>
      <c r="H254" s="1094"/>
      <c r="I254" s="3"/>
      <c r="J254" s="108"/>
    </row>
    <row r="255" spans="1:10" s="60" customFormat="1" x14ac:dyDescent="0.2">
      <c r="A255" s="62"/>
      <c r="B255" s="61"/>
      <c r="C255" s="61"/>
      <c r="D255" s="133"/>
      <c r="E255" s="133"/>
      <c r="F255" s="133"/>
      <c r="G255" s="135"/>
      <c r="H255" s="1094"/>
      <c r="I255" s="3"/>
      <c r="J255" s="108"/>
    </row>
    <row r="256" spans="1:10" s="60" customFormat="1" x14ac:dyDescent="0.2">
      <c r="A256" s="62"/>
      <c r="B256" s="61"/>
      <c r="C256" s="61"/>
      <c r="D256" s="133"/>
      <c r="E256" s="133"/>
      <c r="F256" s="133"/>
      <c r="G256" s="135"/>
      <c r="H256" s="1094"/>
      <c r="I256" s="3"/>
      <c r="J256" s="108"/>
    </row>
    <row r="257" spans="1:10" s="60" customFormat="1" x14ac:dyDescent="0.2">
      <c r="A257" s="62"/>
      <c r="B257" s="61"/>
      <c r="C257" s="61"/>
      <c r="D257" s="133"/>
      <c r="E257" s="133"/>
      <c r="F257" s="133"/>
      <c r="G257" s="135"/>
      <c r="H257" s="1094"/>
      <c r="I257" s="3"/>
      <c r="J257" s="108"/>
    </row>
    <row r="258" spans="1:10" s="60" customFormat="1" x14ac:dyDescent="0.2">
      <c r="A258" s="62"/>
      <c r="B258" s="61"/>
      <c r="C258" s="61"/>
      <c r="D258" s="133"/>
      <c r="E258" s="133"/>
      <c r="F258" s="133"/>
      <c r="G258" s="135"/>
      <c r="H258" s="1094"/>
      <c r="I258" s="3"/>
      <c r="J258" s="108"/>
    </row>
    <row r="259" spans="1:10" s="60" customFormat="1" x14ac:dyDescent="0.2">
      <c r="A259" s="62"/>
      <c r="B259" s="61"/>
      <c r="C259" s="61"/>
      <c r="D259" s="133"/>
      <c r="E259" s="133"/>
      <c r="F259" s="133"/>
      <c r="G259" s="135"/>
      <c r="H259" s="1094"/>
      <c r="I259" s="3"/>
      <c r="J259" s="108"/>
    </row>
    <row r="260" spans="1:10" s="60" customFormat="1" x14ac:dyDescent="0.2">
      <c r="A260" s="62"/>
      <c r="B260" s="61"/>
      <c r="C260" s="61"/>
      <c r="D260" s="133"/>
      <c r="E260" s="133"/>
      <c r="F260" s="133"/>
      <c r="G260" s="135"/>
      <c r="H260" s="1094"/>
      <c r="I260" s="3"/>
      <c r="J260" s="108"/>
    </row>
    <row r="261" spans="1:10" s="60" customFormat="1" x14ac:dyDescent="0.2">
      <c r="A261" s="62"/>
      <c r="B261" s="61"/>
      <c r="C261" s="61"/>
      <c r="D261" s="133"/>
      <c r="E261" s="133"/>
      <c r="F261" s="133"/>
      <c r="G261" s="135"/>
      <c r="H261" s="1094"/>
      <c r="I261" s="3"/>
      <c r="J261" s="108"/>
    </row>
    <row r="262" spans="1:10" s="60" customFormat="1" x14ac:dyDescent="0.2">
      <c r="A262" s="62"/>
      <c r="B262" s="61"/>
      <c r="C262" s="61"/>
      <c r="D262" s="133"/>
      <c r="E262" s="133"/>
      <c r="F262" s="133"/>
      <c r="G262" s="135"/>
      <c r="H262" s="1094"/>
      <c r="I262" s="3"/>
      <c r="J262" s="108"/>
    </row>
    <row r="263" spans="1:10" s="60" customFormat="1" x14ac:dyDescent="0.2">
      <c r="A263" s="62"/>
      <c r="B263" s="61"/>
      <c r="C263" s="61"/>
      <c r="D263" s="133"/>
      <c r="E263" s="133"/>
      <c r="F263" s="133"/>
      <c r="G263" s="135"/>
      <c r="H263" s="1094"/>
      <c r="I263" s="3"/>
      <c r="J263" s="108"/>
    </row>
    <row r="264" spans="1:10" s="60" customFormat="1" x14ac:dyDescent="0.2">
      <c r="A264" s="62"/>
      <c r="B264" s="61"/>
      <c r="C264" s="61"/>
      <c r="D264" s="133"/>
      <c r="E264" s="133"/>
      <c r="F264" s="133"/>
      <c r="G264" s="135"/>
      <c r="H264" s="1094"/>
      <c r="I264" s="3"/>
      <c r="J264" s="108"/>
    </row>
    <row r="265" spans="1:10" s="60" customFormat="1" x14ac:dyDescent="0.2">
      <c r="A265" s="62"/>
      <c r="B265" s="61"/>
      <c r="C265" s="61"/>
      <c r="D265" s="133"/>
      <c r="E265" s="133"/>
      <c r="F265" s="133"/>
      <c r="G265" s="135"/>
      <c r="H265" s="1094"/>
      <c r="I265" s="3"/>
      <c r="J265" s="108"/>
    </row>
    <row r="266" spans="1:10" s="60" customFormat="1" x14ac:dyDescent="0.2">
      <c r="A266" s="62"/>
      <c r="B266" s="61"/>
      <c r="C266" s="61"/>
      <c r="D266" s="133"/>
      <c r="E266" s="133"/>
      <c r="F266" s="133"/>
      <c r="G266" s="135"/>
      <c r="H266" s="1094"/>
      <c r="I266" s="3"/>
      <c r="J266" s="108"/>
    </row>
    <row r="267" spans="1:10" s="60" customFormat="1" x14ac:dyDescent="0.2">
      <c r="A267" s="62"/>
      <c r="B267" s="61"/>
      <c r="C267" s="61"/>
      <c r="D267" s="133"/>
      <c r="E267" s="133"/>
      <c r="F267" s="133"/>
      <c r="G267" s="135"/>
      <c r="H267" s="1094"/>
      <c r="I267" s="3"/>
      <c r="J267" s="108"/>
    </row>
    <row r="268" spans="1:10" s="60" customFormat="1" x14ac:dyDescent="0.2">
      <c r="A268" s="62"/>
      <c r="B268" s="61"/>
      <c r="C268" s="61"/>
      <c r="D268" s="133"/>
      <c r="E268" s="133"/>
      <c r="F268" s="133"/>
      <c r="G268" s="135"/>
      <c r="H268" s="1094"/>
      <c r="I268" s="3"/>
      <c r="J268" s="108"/>
    </row>
    <row r="269" spans="1:10" s="60" customFormat="1" x14ac:dyDescent="0.2">
      <c r="A269" s="62"/>
      <c r="B269" s="61"/>
      <c r="C269" s="61"/>
      <c r="D269" s="133"/>
      <c r="E269" s="133"/>
      <c r="F269" s="133"/>
      <c r="G269" s="135"/>
      <c r="H269" s="1094"/>
      <c r="I269" s="3"/>
      <c r="J269" s="108"/>
    </row>
    <row r="270" spans="1:10" s="60" customFormat="1" x14ac:dyDescent="0.2">
      <c r="A270" s="62"/>
      <c r="B270" s="61"/>
      <c r="C270" s="61"/>
      <c r="D270" s="133"/>
      <c r="E270" s="133"/>
      <c r="F270" s="133"/>
      <c r="G270" s="135"/>
      <c r="H270" s="1094"/>
      <c r="I270" s="3"/>
      <c r="J270" s="108"/>
    </row>
    <row r="271" spans="1:10" s="60" customFormat="1" x14ac:dyDescent="0.2">
      <c r="A271" s="62"/>
      <c r="B271" s="61"/>
      <c r="C271" s="61"/>
      <c r="D271" s="133"/>
      <c r="E271" s="133"/>
      <c r="F271" s="133"/>
      <c r="G271" s="135"/>
      <c r="H271" s="1094"/>
      <c r="I271" s="3"/>
      <c r="J271" s="108"/>
    </row>
    <row r="272" spans="1:10" s="60" customFormat="1" x14ac:dyDescent="0.2">
      <c r="A272" s="62"/>
      <c r="B272" s="61"/>
      <c r="C272" s="61"/>
      <c r="D272" s="133"/>
      <c r="E272" s="133"/>
      <c r="F272" s="133"/>
      <c r="G272" s="135"/>
      <c r="H272" s="1094"/>
      <c r="I272" s="3"/>
      <c r="J272" s="108"/>
    </row>
    <row r="273" spans="1:10" s="60" customFormat="1" x14ac:dyDescent="0.2">
      <c r="A273" s="62"/>
      <c r="B273" s="61"/>
      <c r="C273" s="61"/>
      <c r="D273" s="133"/>
      <c r="E273" s="133"/>
      <c r="F273" s="133"/>
      <c r="G273" s="135"/>
      <c r="H273" s="1094"/>
      <c r="I273" s="3"/>
      <c r="J273" s="108"/>
    </row>
    <row r="274" spans="1:10" s="60" customFormat="1" x14ac:dyDescent="0.2">
      <c r="A274" s="62"/>
      <c r="B274" s="61"/>
      <c r="C274" s="61"/>
      <c r="D274" s="133"/>
      <c r="E274" s="133"/>
      <c r="F274" s="133"/>
      <c r="G274" s="135"/>
      <c r="H274" s="1094"/>
      <c r="I274" s="3"/>
      <c r="J274" s="108"/>
    </row>
    <row r="275" spans="1:10" s="60" customFormat="1" x14ac:dyDescent="0.2">
      <c r="A275" s="62"/>
      <c r="B275" s="61"/>
      <c r="C275" s="61"/>
      <c r="D275" s="133"/>
      <c r="E275" s="133"/>
      <c r="F275" s="133"/>
      <c r="G275" s="135"/>
      <c r="H275" s="1094"/>
      <c r="I275" s="3"/>
      <c r="J275" s="108"/>
    </row>
    <row r="276" spans="1:10" s="60" customFormat="1" x14ac:dyDescent="0.2">
      <c r="A276" s="62"/>
      <c r="B276" s="61"/>
      <c r="C276" s="61"/>
      <c r="D276" s="133"/>
      <c r="E276" s="133"/>
      <c r="F276" s="133"/>
      <c r="G276" s="135"/>
      <c r="H276" s="20"/>
      <c r="I276" s="3"/>
      <c r="J276" s="108"/>
    </row>
    <row r="277" spans="1:10" s="60" customFormat="1" x14ac:dyDescent="0.2">
      <c r="A277" s="62"/>
      <c r="B277" s="61"/>
      <c r="C277" s="61"/>
      <c r="D277" s="133"/>
      <c r="E277" s="133"/>
      <c r="F277" s="133"/>
      <c r="G277" s="135"/>
      <c r="H277" s="20"/>
      <c r="I277" s="3"/>
      <c r="J277" s="108"/>
    </row>
    <row r="278" spans="1:10" s="60" customFormat="1" x14ac:dyDescent="0.2">
      <c r="A278" s="62"/>
      <c r="B278" s="61"/>
      <c r="C278" s="61"/>
      <c r="D278" s="133"/>
      <c r="E278" s="133"/>
      <c r="F278" s="133"/>
      <c r="G278" s="135"/>
      <c r="H278" s="20"/>
      <c r="I278" s="3"/>
      <c r="J278" s="108"/>
    </row>
    <row r="279" spans="1:10" s="60" customFormat="1" x14ac:dyDescent="0.2">
      <c r="A279" s="62"/>
      <c r="B279" s="61"/>
      <c r="C279" s="61"/>
      <c r="D279" s="133"/>
      <c r="E279" s="133"/>
      <c r="F279" s="133"/>
      <c r="G279" s="135"/>
      <c r="H279" s="20"/>
      <c r="I279" s="3"/>
      <c r="J279" s="108"/>
    </row>
    <row r="280" spans="1:10" s="60" customFormat="1" x14ac:dyDescent="0.2">
      <c r="A280" s="62"/>
      <c r="B280" s="61"/>
      <c r="C280" s="61"/>
      <c r="D280" s="133"/>
      <c r="E280" s="133"/>
      <c r="F280" s="133"/>
      <c r="G280" s="135"/>
      <c r="H280" s="20"/>
      <c r="I280" s="3"/>
      <c r="J280" s="108"/>
    </row>
    <row r="281" spans="1:10" s="60" customFormat="1" x14ac:dyDescent="0.2">
      <c r="A281" s="62"/>
      <c r="B281" s="61"/>
      <c r="C281" s="61"/>
      <c r="D281" s="133"/>
      <c r="E281" s="133"/>
      <c r="F281" s="133"/>
      <c r="G281" s="135"/>
      <c r="H281" s="20"/>
      <c r="I281" s="3"/>
      <c r="J281" s="108"/>
    </row>
    <row r="282" spans="1:10" s="60" customFormat="1" x14ac:dyDescent="0.2">
      <c r="A282" s="62"/>
      <c r="B282" s="61"/>
      <c r="C282" s="61"/>
      <c r="D282" s="133"/>
      <c r="E282" s="133"/>
      <c r="F282" s="133"/>
      <c r="G282" s="135"/>
      <c r="H282" s="20"/>
      <c r="I282" s="3"/>
      <c r="J282" s="108"/>
    </row>
    <row r="283" spans="1:10" s="60" customFormat="1" x14ac:dyDescent="0.2">
      <c r="A283" s="62"/>
      <c r="B283" s="61"/>
      <c r="C283" s="61"/>
      <c r="D283" s="133"/>
      <c r="E283" s="133"/>
      <c r="F283" s="133"/>
      <c r="G283" s="135"/>
      <c r="H283" s="20"/>
      <c r="I283" s="3"/>
      <c r="J283" s="108"/>
    </row>
    <row r="284" spans="1:10" s="60" customFormat="1" x14ac:dyDescent="0.2">
      <c r="A284" s="62"/>
      <c r="B284" s="61"/>
      <c r="C284" s="61"/>
      <c r="D284" s="133"/>
      <c r="E284" s="133"/>
      <c r="F284" s="133"/>
      <c r="G284" s="135"/>
      <c r="H284" s="20"/>
      <c r="I284" s="3"/>
      <c r="J284" s="108"/>
    </row>
    <row r="285" spans="1:10" s="60" customFormat="1" x14ac:dyDescent="0.2">
      <c r="A285" s="62"/>
      <c r="B285" s="61"/>
      <c r="C285" s="61"/>
      <c r="D285" s="133"/>
      <c r="E285" s="133"/>
      <c r="F285" s="133"/>
      <c r="G285" s="135"/>
      <c r="H285" s="20"/>
      <c r="I285" s="3"/>
      <c r="J285" s="108"/>
    </row>
    <row r="286" spans="1:10" s="60" customFormat="1" x14ac:dyDescent="0.2">
      <c r="A286" s="62"/>
      <c r="B286" s="61"/>
      <c r="C286" s="61"/>
      <c r="D286" s="133"/>
      <c r="E286" s="133"/>
      <c r="F286" s="133"/>
      <c r="G286" s="135"/>
      <c r="H286" s="20"/>
      <c r="I286" s="3"/>
      <c r="J286" s="108"/>
    </row>
    <row r="287" spans="1:10" s="60" customFormat="1" x14ac:dyDescent="0.2">
      <c r="A287" s="62"/>
      <c r="B287" s="61"/>
      <c r="C287" s="61"/>
      <c r="D287" s="133"/>
      <c r="E287" s="133"/>
      <c r="F287" s="133"/>
      <c r="G287" s="135"/>
      <c r="H287" s="20"/>
      <c r="I287" s="3"/>
      <c r="J287" s="108"/>
    </row>
    <row r="288" spans="1:10" s="60" customFormat="1" x14ac:dyDescent="0.2">
      <c r="A288" s="62"/>
      <c r="B288" s="61"/>
      <c r="C288" s="61"/>
      <c r="D288" s="133"/>
      <c r="E288" s="133"/>
      <c r="F288" s="133"/>
      <c r="G288" s="135"/>
      <c r="H288" s="20"/>
      <c r="I288" s="3"/>
      <c r="J288" s="108"/>
    </row>
    <row r="289" spans="1:10" s="60" customFormat="1" x14ac:dyDescent="0.2">
      <c r="A289" s="62"/>
      <c r="B289" s="61"/>
      <c r="C289" s="61"/>
      <c r="D289" s="133"/>
      <c r="E289" s="133"/>
      <c r="F289" s="133"/>
      <c r="G289" s="135"/>
      <c r="H289" s="20"/>
      <c r="I289" s="3"/>
      <c r="J289" s="108"/>
    </row>
    <row r="290" spans="1:10" s="60" customFormat="1" x14ac:dyDescent="0.2">
      <c r="A290" s="62"/>
      <c r="B290" s="61"/>
      <c r="C290" s="61"/>
      <c r="D290" s="133"/>
      <c r="E290" s="133"/>
      <c r="F290" s="133"/>
      <c r="G290" s="135"/>
      <c r="H290" s="20"/>
      <c r="I290" s="3"/>
      <c r="J290" s="108"/>
    </row>
    <row r="291" spans="1:10" s="60" customFormat="1" x14ac:dyDescent="0.2">
      <c r="A291" s="62"/>
      <c r="B291" s="61"/>
      <c r="C291" s="61"/>
      <c r="D291" s="133"/>
      <c r="E291" s="133"/>
      <c r="F291" s="133"/>
      <c r="G291" s="135"/>
      <c r="H291" s="20"/>
      <c r="I291" s="3"/>
      <c r="J291" s="108"/>
    </row>
    <row r="292" spans="1:10" s="60" customFormat="1" x14ac:dyDescent="0.2">
      <c r="A292" s="62"/>
      <c r="B292" s="61"/>
      <c r="C292" s="61"/>
      <c r="D292" s="133"/>
      <c r="E292" s="133"/>
      <c r="F292" s="133"/>
      <c r="G292" s="135"/>
      <c r="H292" s="20"/>
      <c r="I292" s="3"/>
      <c r="J292" s="108"/>
    </row>
    <row r="293" spans="1:10" s="60" customFormat="1" x14ac:dyDescent="0.2">
      <c r="A293" s="62"/>
      <c r="B293" s="61"/>
      <c r="C293" s="61"/>
      <c r="D293" s="133"/>
      <c r="E293" s="133"/>
      <c r="F293" s="133"/>
      <c r="G293" s="135"/>
      <c r="H293" s="20"/>
      <c r="I293" s="3"/>
      <c r="J293" s="108"/>
    </row>
    <row r="294" spans="1:10" s="60" customFormat="1" x14ac:dyDescent="0.2">
      <c r="A294" s="62"/>
      <c r="B294" s="61"/>
      <c r="C294" s="61"/>
      <c r="D294" s="133"/>
      <c r="E294" s="133"/>
      <c r="F294" s="133"/>
      <c r="G294" s="135"/>
      <c r="H294" s="20"/>
      <c r="I294" s="3"/>
      <c r="J294" s="108"/>
    </row>
    <row r="295" spans="1:10" s="60" customFormat="1" x14ac:dyDescent="0.2">
      <c r="A295" s="62"/>
      <c r="B295" s="61"/>
      <c r="C295" s="61"/>
      <c r="D295" s="133"/>
      <c r="E295" s="133"/>
      <c r="F295" s="133"/>
      <c r="G295" s="135"/>
      <c r="H295" s="20"/>
      <c r="I295" s="3"/>
      <c r="J295" s="108"/>
    </row>
    <row r="296" spans="1:10" s="60" customFormat="1" x14ac:dyDescent="0.2">
      <c r="A296" s="62"/>
      <c r="B296" s="61"/>
      <c r="C296" s="61"/>
      <c r="D296" s="133"/>
      <c r="E296" s="133"/>
      <c r="F296" s="133"/>
      <c r="G296" s="135"/>
      <c r="H296" s="20"/>
      <c r="I296" s="3"/>
      <c r="J296" s="108"/>
    </row>
    <row r="297" spans="1:10" s="60" customFormat="1" x14ac:dyDescent="0.2">
      <c r="A297" s="62"/>
      <c r="B297" s="61"/>
      <c r="C297" s="61"/>
      <c r="D297" s="133"/>
      <c r="E297" s="133"/>
      <c r="F297" s="133"/>
      <c r="G297" s="135"/>
      <c r="H297" s="20"/>
      <c r="I297" s="3"/>
      <c r="J297" s="108"/>
    </row>
    <row r="298" spans="1:10" s="60" customFormat="1" x14ac:dyDescent="0.2">
      <c r="A298" s="62"/>
      <c r="B298" s="61"/>
      <c r="C298" s="61"/>
      <c r="D298" s="133"/>
      <c r="E298" s="133"/>
      <c r="F298" s="133"/>
      <c r="G298" s="135"/>
      <c r="H298" s="20"/>
      <c r="I298" s="3"/>
      <c r="J298" s="108"/>
    </row>
    <row r="299" spans="1:10" s="60" customFormat="1" x14ac:dyDescent="0.2">
      <c r="A299" s="62"/>
      <c r="B299" s="61"/>
      <c r="C299" s="61"/>
      <c r="D299" s="133"/>
      <c r="E299" s="133"/>
      <c r="F299" s="133"/>
      <c r="G299" s="135"/>
      <c r="H299" s="20"/>
      <c r="I299" s="3"/>
      <c r="J299" s="108"/>
    </row>
    <row r="300" spans="1:10" s="60" customFormat="1" x14ac:dyDescent="0.2">
      <c r="A300" s="62"/>
      <c r="B300" s="61"/>
      <c r="C300" s="61"/>
      <c r="D300" s="133"/>
      <c r="E300" s="133"/>
      <c r="F300" s="133"/>
      <c r="G300" s="135"/>
      <c r="H300" s="20"/>
      <c r="I300" s="3"/>
      <c r="J300" s="108"/>
    </row>
    <row r="301" spans="1:10" s="60" customFormat="1" x14ac:dyDescent="0.2">
      <c r="A301" s="62"/>
      <c r="B301" s="61"/>
      <c r="C301" s="61"/>
      <c r="D301" s="133"/>
      <c r="E301" s="133"/>
      <c r="F301" s="133"/>
      <c r="G301" s="135"/>
      <c r="H301" s="20"/>
      <c r="I301" s="3"/>
      <c r="J301" s="108"/>
    </row>
    <row r="302" spans="1:10" s="60" customFormat="1" x14ac:dyDescent="0.2">
      <c r="A302" s="62"/>
      <c r="B302" s="61"/>
      <c r="C302" s="61"/>
      <c r="D302" s="133"/>
      <c r="E302" s="133"/>
      <c r="F302" s="133"/>
      <c r="G302" s="135"/>
      <c r="H302" s="20"/>
      <c r="I302" s="3"/>
      <c r="J302" s="108"/>
    </row>
    <row r="303" spans="1:10" s="60" customFormat="1" x14ac:dyDescent="0.2">
      <c r="A303" s="62"/>
      <c r="B303" s="61"/>
      <c r="C303" s="61"/>
      <c r="D303" s="133"/>
      <c r="E303" s="133"/>
      <c r="F303" s="133"/>
      <c r="G303" s="135"/>
      <c r="H303" s="20"/>
      <c r="I303" s="3"/>
      <c r="J303" s="108"/>
    </row>
    <row r="304" spans="1:10" s="60" customFormat="1" x14ac:dyDescent="0.2">
      <c r="A304" s="62"/>
      <c r="B304" s="61"/>
      <c r="C304" s="61"/>
      <c r="D304" s="133"/>
      <c r="E304" s="133"/>
      <c r="F304" s="133"/>
      <c r="G304" s="135"/>
      <c r="H304" s="20"/>
      <c r="I304" s="3"/>
      <c r="J304" s="108"/>
    </row>
    <row r="305" spans="1:10" s="60" customFormat="1" x14ac:dyDescent="0.2">
      <c r="A305" s="62"/>
      <c r="B305" s="61"/>
      <c r="C305" s="61"/>
      <c r="D305" s="133"/>
      <c r="E305" s="133"/>
      <c r="F305" s="133"/>
      <c r="G305" s="135"/>
      <c r="H305" s="20"/>
      <c r="I305" s="3"/>
      <c r="J305" s="108"/>
    </row>
    <row r="306" spans="1:10" s="60" customFormat="1" x14ac:dyDescent="0.2">
      <c r="A306" s="62"/>
      <c r="B306" s="61"/>
      <c r="C306" s="61"/>
      <c r="D306" s="133"/>
      <c r="E306" s="133"/>
      <c r="F306" s="133"/>
      <c r="G306" s="135"/>
      <c r="H306" s="20"/>
      <c r="I306" s="3"/>
      <c r="J306" s="108"/>
    </row>
    <row r="307" spans="1:10" s="60" customFormat="1" x14ac:dyDescent="0.2">
      <c r="A307" s="62"/>
      <c r="B307" s="61"/>
      <c r="C307" s="61"/>
      <c r="D307" s="133"/>
      <c r="E307" s="133"/>
      <c r="F307" s="133"/>
      <c r="G307" s="135"/>
      <c r="H307" s="20"/>
      <c r="I307" s="3"/>
      <c r="J307" s="108"/>
    </row>
    <row r="308" spans="1:10" s="60" customFormat="1" x14ac:dyDescent="0.2">
      <c r="A308" s="62"/>
      <c r="B308" s="61"/>
      <c r="C308" s="61"/>
      <c r="D308" s="133"/>
      <c r="E308" s="133"/>
      <c r="F308" s="133"/>
      <c r="G308" s="135"/>
      <c r="H308" s="20"/>
      <c r="I308" s="3"/>
      <c r="J308" s="108"/>
    </row>
    <row r="309" spans="1:10" s="60" customFormat="1" x14ac:dyDescent="0.2">
      <c r="A309" s="62"/>
      <c r="B309" s="61"/>
      <c r="C309" s="61"/>
      <c r="D309" s="133"/>
      <c r="E309" s="133"/>
      <c r="F309" s="133"/>
      <c r="G309" s="135"/>
      <c r="H309" s="20"/>
      <c r="I309" s="3"/>
      <c r="J309" s="108"/>
    </row>
    <row r="310" spans="1:10" s="60" customFormat="1" x14ac:dyDescent="0.2">
      <c r="A310" s="62"/>
      <c r="B310" s="61"/>
      <c r="C310" s="61"/>
      <c r="D310" s="133"/>
      <c r="E310" s="133"/>
      <c r="F310" s="133"/>
      <c r="G310" s="135"/>
      <c r="H310" s="20"/>
      <c r="I310" s="3"/>
      <c r="J310" s="108"/>
    </row>
    <row r="311" spans="1:10" s="60" customFormat="1" x14ac:dyDescent="0.2">
      <c r="A311" s="62"/>
      <c r="B311" s="61"/>
      <c r="C311" s="61"/>
      <c r="D311" s="133"/>
      <c r="E311" s="133"/>
      <c r="F311" s="133"/>
      <c r="G311" s="135"/>
      <c r="H311" s="20"/>
      <c r="I311" s="3"/>
      <c r="J311" s="108"/>
    </row>
    <row r="312" spans="1:10" s="60" customFormat="1" x14ac:dyDescent="0.2">
      <c r="A312" s="62"/>
      <c r="B312" s="61"/>
      <c r="C312" s="61"/>
      <c r="D312" s="133"/>
      <c r="E312" s="133"/>
      <c r="F312" s="133"/>
      <c r="G312" s="135"/>
      <c r="H312" s="20"/>
      <c r="I312" s="3"/>
      <c r="J312" s="108"/>
    </row>
    <row r="313" spans="1:10" s="60" customFormat="1" x14ac:dyDescent="0.2">
      <c r="A313" s="62"/>
      <c r="B313" s="61"/>
      <c r="C313" s="61"/>
      <c r="D313" s="133"/>
      <c r="E313" s="133"/>
      <c r="F313" s="133"/>
      <c r="G313" s="135"/>
      <c r="H313" s="20"/>
      <c r="I313" s="3"/>
      <c r="J313" s="108"/>
    </row>
    <row r="314" spans="1:10" s="60" customFormat="1" x14ac:dyDescent="0.2">
      <c r="A314" s="62"/>
      <c r="B314" s="61"/>
      <c r="C314" s="61"/>
      <c r="D314" s="133"/>
      <c r="E314" s="133"/>
      <c r="F314" s="133"/>
      <c r="G314" s="135"/>
      <c r="H314" s="20"/>
      <c r="I314" s="3"/>
      <c r="J314" s="108"/>
    </row>
    <row r="315" spans="1:10" s="60" customFormat="1" x14ac:dyDescent="0.2">
      <c r="A315" s="62"/>
      <c r="B315" s="61"/>
      <c r="C315" s="61"/>
      <c r="D315" s="133"/>
      <c r="E315" s="133"/>
      <c r="F315" s="133"/>
      <c r="G315" s="135"/>
      <c r="H315" s="20"/>
      <c r="I315" s="3"/>
      <c r="J315" s="108"/>
    </row>
    <row r="316" spans="1:10" s="60" customFormat="1" x14ac:dyDescent="0.2">
      <c r="A316" s="62"/>
      <c r="B316" s="61"/>
      <c r="C316" s="61"/>
      <c r="D316" s="133"/>
      <c r="E316" s="133"/>
      <c r="F316" s="133"/>
      <c r="G316" s="135"/>
      <c r="H316" s="20"/>
      <c r="I316" s="3"/>
      <c r="J316" s="108"/>
    </row>
    <row r="317" spans="1:10" s="60" customFormat="1" x14ac:dyDescent="0.2">
      <c r="A317" s="62"/>
      <c r="B317" s="61"/>
      <c r="C317" s="61"/>
      <c r="D317" s="133"/>
      <c r="E317" s="133"/>
      <c r="F317" s="133"/>
      <c r="G317" s="135"/>
      <c r="H317" s="20"/>
      <c r="I317" s="3"/>
      <c r="J317" s="108"/>
    </row>
    <row r="318" spans="1:10" s="60" customFormat="1" x14ac:dyDescent="0.2">
      <c r="A318" s="62"/>
      <c r="B318" s="61"/>
      <c r="C318" s="61"/>
      <c r="D318" s="133"/>
      <c r="E318" s="133"/>
      <c r="F318" s="133"/>
      <c r="G318" s="135"/>
      <c r="H318" s="20"/>
      <c r="I318" s="3"/>
      <c r="J318" s="108"/>
    </row>
    <row r="319" spans="1:10" s="60" customFormat="1" x14ac:dyDescent="0.2">
      <c r="A319" s="62"/>
      <c r="B319" s="61"/>
      <c r="C319" s="61"/>
      <c r="D319" s="133"/>
      <c r="E319" s="133"/>
      <c r="F319" s="133"/>
      <c r="G319" s="135"/>
      <c r="H319" s="20"/>
      <c r="I319" s="3"/>
      <c r="J319" s="108"/>
    </row>
    <row r="320" spans="1:10" s="60" customFormat="1" x14ac:dyDescent="0.2">
      <c r="A320" s="62"/>
      <c r="B320" s="61"/>
      <c r="C320" s="61"/>
      <c r="D320" s="133"/>
      <c r="E320" s="133"/>
      <c r="F320" s="133"/>
      <c r="G320" s="135"/>
      <c r="H320" s="20"/>
      <c r="I320" s="3"/>
      <c r="J320" s="108"/>
    </row>
    <row r="321" spans="1:10" s="60" customFormat="1" x14ac:dyDescent="0.2">
      <c r="A321" s="62"/>
      <c r="B321" s="61"/>
      <c r="C321" s="61"/>
      <c r="D321" s="133"/>
      <c r="E321" s="133"/>
      <c r="F321" s="133"/>
      <c r="G321" s="135"/>
      <c r="H321" s="20"/>
      <c r="I321" s="3"/>
      <c r="J321" s="108"/>
    </row>
    <row r="322" spans="1:10" s="60" customFormat="1" x14ac:dyDescent="0.2">
      <c r="A322" s="62"/>
      <c r="B322" s="61"/>
      <c r="C322" s="61"/>
      <c r="D322" s="133"/>
      <c r="E322" s="133"/>
      <c r="F322" s="133"/>
      <c r="G322" s="135"/>
      <c r="H322" s="20"/>
      <c r="I322" s="3"/>
      <c r="J322" s="108"/>
    </row>
    <row r="323" spans="1:10" s="60" customFormat="1" x14ac:dyDescent="0.2">
      <c r="A323" s="62"/>
      <c r="B323" s="61"/>
      <c r="C323" s="61"/>
      <c r="D323" s="133"/>
      <c r="E323" s="133"/>
      <c r="F323" s="133"/>
      <c r="G323" s="135"/>
      <c r="H323" s="20"/>
      <c r="I323" s="3"/>
      <c r="J323" s="108"/>
    </row>
    <row r="324" spans="1:10" s="60" customFormat="1" x14ac:dyDescent="0.2">
      <c r="A324" s="62"/>
      <c r="B324" s="61"/>
      <c r="C324" s="61"/>
      <c r="D324" s="133"/>
      <c r="E324" s="133"/>
      <c r="F324" s="133"/>
      <c r="G324" s="135"/>
      <c r="H324" s="20"/>
      <c r="I324" s="3"/>
      <c r="J324" s="108"/>
    </row>
    <row r="325" spans="1:10" s="60" customFormat="1" x14ac:dyDescent="0.2">
      <c r="A325" s="62"/>
      <c r="B325" s="61"/>
      <c r="C325" s="61"/>
      <c r="D325" s="133"/>
      <c r="E325" s="133"/>
      <c r="F325" s="133"/>
      <c r="G325" s="135"/>
      <c r="H325" s="20"/>
      <c r="I325" s="3"/>
      <c r="J325" s="108"/>
    </row>
    <row r="326" spans="1:10" s="60" customFormat="1" x14ac:dyDescent="0.2">
      <c r="A326" s="62"/>
      <c r="B326" s="61"/>
      <c r="C326" s="61"/>
      <c r="D326" s="133"/>
      <c r="E326" s="133"/>
      <c r="F326" s="133"/>
      <c r="G326" s="135"/>
      <c r="H326" s="20"/>
      <c r="I326" s="3"/>
      <c r="J326" s="108"/>
    </row>
    <row r="327" spans="1:10" s="60" customFormat="1" x14ac:dyDescent="0.2">
      <c r="A327" s="62"/>
      <c r="B327" s="61"/>
      <c r="C327" s="61"/>
      <c r="D327" s="133"/>
      <c r="E327" s="133"/>
      <c r="F327" s="133"/>
      <c r="G327" s="135"/>
      <c r="H327" s="20"/>
      <c r="I327" s="3"/>
      <c r="J327" s="108"/>
    </row>
    <row r="328" spans="1:10" s="60" customFormat="1" x14ac:dyDescent="0.2">
      <c r="A328" s="62"/>
      <c r="B328" s="61"/>
      <c r="C328" s="61"/>
      <c r="D328" s="133"/>
      <c r="E328" s="133"/>
      <c r="F328" s="133"/>
      <c r="G328" s="135"/>
      <c r="H328" s="20"/>
      <c r="I328" s="3"/>
      <c r="J328" s="108"/>
    </row>
    <row r="329" spans="1:10" s="60" customFormat="1" x14ac:dyDescent="0.2">
      <c r="A329" s="62"/>
      <c r="B329" s="61"/>
      <c r="C329" s="61"/>
      <c r="D329" s="133"/>
      <c r="E329" s="133"/>
      <c r="F329" s="133"/>
      <c r="G329" s="135"/>
      <c r="H329" s="20"/>
      <c r="I329" s="3"/>
      <c r="J329" s="108"/>
    </row>
    <row r="330" spans="1:10" s="60" customFormat="1" x14ac:dyDescent="0.2">
      <c r="A330" s="62"/>
      <c r="B330" s="61"/>
      <c r="C330" s="61"/>
      <c r="D330" s="133"/>
      <c r="E330" s="133"/>
      <c r="F330" s="133"/>
      <c r="G330" s="135"/>
      <c r="H330" s="20"/>
      <c r="I330" s="3"/>
      <c r="J330" s="108"/>
    </row>
    <row r="331" spans="1:10" s="60" customFormat="1" x14ac:dyDescent="0.2">
      <c r="A331" s="62"/>
      <c r="B331" s="61"/>
      <c r="C331" s="61"/>
      <c r="D331" s="133"/>
      <c r="E331" s="133"/>
      <c r="F331" s="133"/>
      <c r="G331" s="135"/>
      <c r="H331" s="20"/>
      <c r="I331" s="3"/>
      <c r="J331" s="108"/>
    </row>
    <row r="332" spans="1:10" s="60" customFormat="1" x14ac:dyDescent="0.2">
      <c r="A332" s="62"/>
      <c r="B332" s="61"/>
      <c r="C332" s="61"/>
      <c r="D332" s="133"/>
      <c r="E332" s="133"/>
      <c r="F332" s="133"/>
      <c r="G332" s="135"/>
      <c r="H332" s="20"/>
      <c r="I332" s="3"/>
      <c r="J332" s="108"/>
    </row>
    <row r="333" spans="1:10" s="60" customFormat="1" x14ac:dyDescent="0.2">
      <c r="A333" s="62"/>
      <c r="B333" s="61"/>
      <c r="C333" s="61"/>
      <c r="D333" s="133"/>
      <c r="E333" s="133"/>
      <c r="F333" s="133"/>
      <c r="G333" s="135"/>
      <c r="H333" s="20"/>
      <c r="I333" s="3"/>
      <c r="J333" s="108"/>
    </row>
    <row r="334" spans="1:10" s="60" customFormat="1" x14ac:dyDescent="0.2">
      <c r="A334" s="62"/>
      <c r="B334" s="61"/>
      <c r="C334" s="61"/>
      <c r="D334" s="133"/>
      <c r="E334" s="133"/>
      <c r="F334" s="133"/>
      <c r="G334" s="135"/>
      <c r="H334" s="20"/>
      <c r="I334" s="3"/>
      <c r="J334" s="108"/>
    </row>
    <row r="335" spans="1:10" s="60" customFormat="1" x14ac:dyDescent="0.2">
      <c r="A335" s="62"/>
      <c r="B335" s="61"/>
      <c r="C335" s="61"/>
      <c r="D335" s="133"/>
      <c r="E335" s="133"/>
      <c r="F335" s="133"/>
      <c r="G335" s="135"/>
      <c r="H335" s="20"/>
      <c r="I335" s="3"/>
      <c r="J335" s="108"/>
    </row>
    <row r="336" spans="1:10" s="60" customFormat="1" x14ac:dyDescent="0.2">
      <c r="A336" s="62"/>
      <c r="B336" s="61"/>
      <c r="C336" s="61"/>
      <c r="D336" s="133"/>
      <c r="E336" s="133"/>
      <c r="F336" s="133"/>
      <c r="G336" s="135"/>
      <c r="H336" s="20"/>
      <c r="I336" s="3"/>
      <c r="J336" s="108"/>
    </row>
    <row r="337" spans="1:10" s="60" customFormat="1" x14ac:dyDescent="0.2">
      <c r="A337" s="62"/>
      <c r="B337" s="61"/>
      <c r="C337" s="61"/>
      <c r="D337" s="133"/>
      <c r="E337" s="133"/>
      <c r="F337" s="133"/>
      <c r="G337" s="135"/>
      <c r="H337" s="20"/>
      <c r="I337" s="3"/>
      <c r="J337" s="108"/>
    </row>
    <row r="338" spans="1:10" s="60" customFormat="1" x14ac:dyDescent="0.2">
      <c r="A338" s="62"/>
      <c r="B338" s="61"/>
      <c r="C338" s="61"/>
      <c r="D338" s="133"/>
      <c r="E338" s="133"/>
      <c r="F338" s="133"/>
      <c r="G338" s="135"/>
      <c r="H338" s="20"/>
      <c r="I338" s="3"/>
      <c r="J338" s="108"/>
    </row>
    <row r="339" spans="1:10" s="60" customFormat="1" x14ac:dyDescent="0.2">
      <c r="A339" s="62"/>
      <c r="B339" s="61"/>
      <c r="C339" s="61"/>
      <c r="D339" s="133"/>
      <c r="E339" s="133"/>
      <c r="F339" s="133"/>
      <c r="G339" s="135"/>
      <c r="H339" s="20"/>
      <c r="I339" s="3"/>
      <c r="J339" s="108"/>
    </row>
    <row r="340" spans="1:10" s="60" customFormat="1" x14ac:dyDescent="0.2">
      <c r="A340" s="62"/>
      <c r="B340" s="61"/>
      <c r="C340" s="61"/>
      <c r="D340" s="133"/>
      <c r="E340" s="133"/>
      <c r="F340" s="133"/>
      <c r="G340" s="135"/>
      <c r="H340" s="20"/>
      <c r="I340" s="3"/>
      <c r="J340" s="108"/>
    </row>
    <row r="341" spans="1:10" s="60" customFormat="1" x14ac:dyDescent="0.2">
      <c r="A341" s="62"/>
      <c r="B341" s="61"/>
      <c r="C341" s="61"/>
      <c r="D341" s="133"/>
      <c r="E341" s="133"/>
      <c r="F341" s="133"/>
      <c r="G341" s="135"/>
      <c r="H341" s="20"/>
      <c r="I341" s="3"/>
      <c r="J341" s="108"/>
    </row>
    <row r="342" spans="1:10" s="60" customFormat="1" x14ac:dyDescent="0.2">
      <c r="A342" s="62"/>
      <c r="B342" s="61"/>
      <c r="C342" s="61"/>
      <c r="D342" s="133"/>
      <c r="E342" s="133"/>
      <c r="F342" s="133"/>
      <c r="G342" s="135"/>
      <c r="H342" s="20"/>
      <c r="I342" s="3"/>
      <c r="J342" s="108"/>
    </row>
    <row r="343" spans="1:10" s="60" customFormat="1" x14ac:dyDescent="0.2">
      <c r="A343" s="62"/>
      <c r="B343" s="61"/>
      <c r="C343" s="61"/>
      <c r="D343" s="133"/>
      <c r="E343" s="133"/>
      <c r="F343" s="133"/>
      <c r="G343" s="135"/>
      <c r="H343" s="20"/>
      <c r="I343" s="3"/>
      <c r="J343" s="108"/>
    </row>
    <row r="344" spans="1:10" s="60" customFormat="1" x14ac:dyDescent="0.2">
      <c r="A344" s="62"/>
      <c r="B344" s="61"/>
      <c r="C344" s="61"/>
      <c r="D344" s="133"/>
      <c r="E344" s="133"/>
      <c r="F344" s="133"/>
      <c r="G344" s="135"/>
      <c r="H344" s="20"/>
      <c r="I344" s="3"/>
      <c r="J344" s="108"/>
    </row>
    <row r="345" spans="1:10" s="60" customFormat="1" x14ac:dyDescent="0.2">
      <c r="A345" s="62"/>
      <c r="B345" s="61"/>
      <c r="C345" s="61"/>
      <c r="D345" s="133"/>
      <c r="E345" s="133"/>
      <c r="F345" s="133"/>
      <c r="G345" s="135"/>
      <c r="H345" s="20"/>
      <c r="I345" s="3"/>
      <c r="J345" s="108"/>
    </row>
    <row r="346" spans="1:10" s="60" customFormat="1" x14ac:dyDescent="0.2">
      <c r="A346" s="62"/>
      <c r="B346" s="61"/>
      <c r="C346" s="61"/>
      <c r="D346" s="133"/>
      <c r="E346" s="133"/>
      <c r="F346" s="133"/>
      <c r="G346" s="135"/>
      <c r="H346" s="20"/>
      <c r="I346" s="3"/>
      <c r="J346" s="108"/>
    </row>
    <row r="347" spans="1:10" s="60" customFormat="1" x14ac:dyDescent="0.2">
      <c r="A347" s="62"/>
      <c r="B347" s="61"/>
      <c r="C347" s="61"/>
      <c r="D347" s="133"/>
      <c r="E347" s="133"/>
      <c r="F347" s="133"/>
      <c r="G347" s="135"/>
      <c r="H347" s="20"/>
      <c r="I347" s="3"/>
      <c r="J347" s="108"/>
    </row>
    <row r="348" spans="1:10" s="60" customFormat="1" x14ac:dyDescent="0.2">
      <c r="A348" s="62"/>
      <c r="B348" s="61"/>
      <c r="C348" s="61"/>
      <c r="D348" s="133"/>
      <c r="E348" s="133"/>
      <c r="F348" s="133"/>
      <c r="G348" s="135"/>
      <c r="H348" s="20"/>
      <c r="I348" s="3"/>
      <c r="J348" s="108"/>
    </row>
    <row r="349" spans="1:10" s="60" customFormat="1" x14ac:dyDescent="0.2">
      <c r="A349" s="62"/>
      <c r="B349" s="61"/>
      <c r="C349" s="61"/>
      <c r="D349" s="133"/>
      <c r="E349" s="133"/>
      <c r="F349" s="133"/>
      <c r="G349" s="135"/>
      <c r="H349" s="20"/>
      <c r="I349" s="3"/>
      <c r="J349" s="108"/>
    </row>
    <row r="350" spans="1:10" s="60" customFormat="1" x14ac:dyDescent="0.2">
      <c r="A350" s="62"/>
      <c r="B350" s="61"/>
      <c r="C350" s="61"/>
      <c r="D350" s="133"/>
      <c r="E350" s="133"/>
      <c r="F350" s="133"/>
      <c r="G350" s="135"/>
      <c r="H350" s="20"/>
      <c r="I350" s="3"/>
      <c r="J350" s="108"/>
    </row>
    <row r="351" spans="1:10" s="60" customFormat="1" x14ac:dyDescent="0.2">
      <c r="A351" s="62"/>
      <c r="B351" s="61"/>
      <c r="C351" s="61"/>
      <c r="D351" s="133"/>
      <c r="E351" s="133"/>
      <c r="F351" s="133"/>
      <c r="G351" s="135"/>
      <c r="H351" s="20"/>
      <c r="I351" s="3"/>
      <c r="J351" s="108"/>
    </row>
    <row r="352" spans="1:10" s="60" customFormat="1" x14ac:dyDescent="0.2">
      <c r="A352" s="62"/>
      <c r="B352" s="61"/>
      <c r="C352" s="61"/>
      <c r="D352" s="133"/>
      <c r="E352" s="133"/>
      <c r="F352" s="133"/>
      <c r="G352" s="135"/>
      <c r="H352" s="20"/>
      <c r="I352" s="3"/>
      <c r="J352" s="108"/>
    </row>
    <row r="353" spans="1:10" s="60" customFormat="1" x14ac:dyDescent="0.2">
      <c r="A353" s="62"/>
      <c r="B353" s="61"/>
      <c r="C353" s="61"/>
      <c r="D353" s="133"/>
      <c r="E353" s="133"/>
      <c r="F353" s="133"/>
      <c r="G353" s="135"/>
      <c r="H353" s="20"/>
      <c r="I353" s="3"/>
      <c r="J353" s="108"/>
    </row>
    <row r="354" spans="1:10" s="60" customFormat="1" x14ac:dyDescent="0.2">
      <c r="A354" s="62"/>
      <c r="B354" s="61"/>
      <c r="C354" s="61"/>
      <c r="D354" s="133"/>
      <c r="E354" s="133"/>
      <c r="F354" s="133"/>
      <c r="G354" s="135"/>
      <c r="H354" s="20"/>
      <c r="I354" s="3"/>
      <c r="J354" s="108"/>
    </row>
    <row r="355" spans="1:10" s="60" customFormat="1" x14ac:dyDescent="0.2">
      <c r="A355" s="62"/>
      <c r="B355" s="61"/>
      <c r="C355" s="61"/>
      <c r="D355" s="133"/>
      <c r="E355" s="133"/>
      <c r="F355" s="133"/>
      <c r="G355" s="135"/>
      <c r="H355" s="20"/>
      <c r="I355" s="3"/>
      <c r="J355" s="108"/>
    </row>
    <row r="356" spans="1:10" s="60" customFormat="1" x14ac:dyDescent="0.2">
      <c r="A356" s="62"/>
      <c r="B356" s="61"/>
      <c r="C356" s="61"/>
      <c r="D356" s="133"/>
      <c r="E356" s="133"/>
      <c r="F356" s="133"/>
      <c r="G356" s="135"/>
      <c r="H356" s="20"/>
      <c r="I356" s="3"/>
      <c r="J356" s="108"/>
    </row>
    <row r="357" spans="1:10" s="60" customFormat="1" x14ac:dyDescent="0.2">
      <c r="A357" s="62"/>
      <c r="B357" s="61"/>
      <c r="C357" s="61"/>
      <c r="D357" s="133"/>
      <c r="E357" s="133"/>
      <c r="F357" s="133"/>
      <c r="G357" s="135"/>
      <c r="H357" s="20"/>
      <c r="I357" s="3"/>
      <c r="J357" s="108"/>
    </row>
    <row r="358" spans="1:10" s="60" customFormat="1" x14ac:dyDescent="0.2">
      <c r="A358" s="62"/>
      <c r="B358" s="61"/>
      <c r="C358" s="61"/>
      <c r="D358" s="133"/>
      <c r="E358" s="133"/>
      <c r="F358" s="133"/>
      <c r="G358" s="135"/>
      <c r="H358" s="20"/>
      <c r="I358" s="3"/>
      <c r="J358" s="108"/>
    </row>
    <row r="359" spans="1:10" s="60" customFormat="1" x14ac:dyDescent="0.2">
      <c r="A359" s="62"/>
      <c r="B359" s="61"/>
      <c r="C359" s="61"/>
      <c r="D359" s="133"/>
      <c r="E359" s="133"/>
      <c r="F359" s="133"/>
      <c r="G359" s="135"/>
      <c r="H359" s="20"/>
      <c r="I359" s="3"/>
      <c r="J359" s="108"/>
    </row>
    <row r="360" spans="1:10" s="60" customFormat="1" x14ac:dyDescent="0.2">
      <c r="A360" s="62"/>
      <c r="B360" s="61"/>
      <c r="C360" s="61"/>
      <c r="D360" s="133"/>
      <c r="E360" s="133"/>
      <c r="F360" s="133"/>
      <c r="G360" s="135"/>
      <c r="H360" s="20"/>
      <c r="I360" s="3"/>
      <c r="J360" s="108"/>
    </row>
    <row r="361" spans="1:10" s="60" customFormat="1" x14ac:dyDescent="0.2">
      <c r="A361" s="62"/>
      <c r="B361" s="61"/>
      <c r="C361" s="61"/>
      <c r="D361" s="133"/>
      <c r="E361" s="133"/>
      <c r="F361" s="133"/>
      <c r="G361" s="135"/>
      <c r="H361" s="20"/>
      <c r="I361" s="3"/>
      <c r="J361" s="108"/>
    </row>
    <row r="362" spans="1:10" s="60" customFormat="1" x14ac:dyDescent="0.2">
      <c r="A362" s="62"/>
      <c r="B362" s="61"/>
      <c r="C362" s="61"/>
      <c r="D362" s="133"/>
      <c r="E362" s="133"/>
      <c r="F362" s="133"/>
      <c r="G362" s="135"/>
      <c r="H362" s="20"/>
      <c r="I362" s="3"/>
      <c r="J362" s="108"/>
    </row>
    <row r="363" spans="1:10" s="60" customFormat="1" x14ac:dyDescent="0.2">
      <c r="A363" s="62"/>
      <c r="B363" s="61"/>
      <c r="C363" s="61"/>
      <c r="D363" s="133"/>
      <c r="E363" s="133"/>
      <c r="F363" s="133"/>
      <c r="G363" s="135"/>
      <c r="H363" s="20"/>
      <c r="I363" s="3"/>
      <c r="J363" s="108"/>
    </row>
    <row r="364" spans="1:10" s="60" customFormat="1" x14ac:dyDescent="0.2">
      <c r="A364" s="62"/>
      <c r="B364" s="61"/>
      <c r="C364" s="61"/>
      <c r="D364" s="133"/>
      <c r="E364" s="133"/>
      <c r="F364" s="133"/>
      <c r="G364" s="135"/>
      <c r="H364" s="20"/>
      <c r="I364" s="3"/>
      <c r="J364" s="108"/>
    </row>
    <row r="365" spans="1:10" s="60" customFormat="1" x14ac:dyDescent="0.2">
      <c r="A365" s="62"/>
      <c r="B365" s="61"/>
      <c r="C365" s="61"/>
      <c r="D365" s="133"/>
      <c r="E365" s="133"/>
      <c r="F365" s="133"/>
      <c r="G365" s="135"/>
      <c r="H365" s="20"/>
      <c r="I365" s="3"/>
      <c r="J365" s="108"/>
    </row>
    <row r="366" spans="1:10" s="60" customFormat="1" x14ac:dyDescent="0.2">
      <c r="A366" s="62"/>
      <c r="B366" s="61"/>
      <c r="C366" s="61"/>
      <c r="D366" s="133"/>
      <c r="E366" s="133"/>
      <c r="F366" s="133"/>
      <c r="G366" s="135"/>
      <c r="H366" s="20"/>
      <c r="I366" s="3"/>
      <c r="J366" s="108"/>
    </row>
    <row r="367" spans="1:10" s="60" customFormat="1" x14ac:dyDescent="0.2">
      <c r="A367" s="62"/>
      <c r="B367" s="61"/>
      <c r="C367" s="61"/>
      <c r="D367" s="133"/>
      <c r="E367" s="133"/>
      <c r="F367" s="133"/>
      <c r="G367" s="135"/>
      <c r="H367" s="20"/>
      <c r="I367" s="3"/>
      <c r="J367" s="108"/>
    </row>
    <row r="368" spans="1:10" s="60" customFormat="1" x14ac:dyDescent="0.2">
      <c r="A368" s="62"/>
      <c r="B368" s="61"/>
      <c r="C368" s="61"/>
      <c r="D368" s="133"/>
      <c r="E368" s="133"/>
      <c r="F368" s="133"/>
      <c r="G368" s="135"/>
      <c r="H368" s="20"/>
      <c r="I368" s="3"/>
      <c r="J368" s="108"/>
    </row>
    <row r="369" spans="1:10" s="60" customFormat="1" x14ac:dyDescent="0.2">
      <c r="A369" s="62"/>
      <c r="B369" s="61"/>
      <c r="C369" s="61"/>
      <c r="D369" s="133"/>
      <c r="E369" s="133"/>
      <c r="F369" s="133"/>
      <c r="G369" s="135"/>
      <c r="H369" s="20"/>
      <c r="I369" s="3"/>
      <c r="J369" s="108"/>
    </row>
    <row r="370" spans="1:10" s="60" customFormat="1" x14ac:dyDescent="0.2">
      <c r="A370" s="62"/>
      <c r="B370" s="61"/>
      <c r="C370" s="61"/>
      <c r="D370" s="133"/>
      <c r="E370" s="133"/>
      <c r="F370" s="133"/>
      <c r="G370" s="135"/>
      <c r="H370" s="20"/>
      <c r="I370" s="3"/>
      <c r="J370" s="108"/>
    </row>
    <row r="371" spans="1:10" s="60" customFormat="1" x14ac:dyDescent="0.2">
      <c r="A371" s="62"/>
      <c r="B371" s="61"/>
      <c r="C371" s="61"/>
      <c r="D371" s="133"/>
      <c r="E371" s="133"/>
      <c r="F371" s="133"/>
      <c r="G371" s="135"/>
      <c r="H371" s="20"/>
      <c r="I371" s="3"/>
      <c r="J371" s="108"/>
    </row>
    <row r="372" spans="1:10" s="60" customFormat="1" x14ac:dyDescent="0.2">
      <c r="A372" s="62"/>
      <c r="B372" s="61"/>
      <c r="C372" s="61"/>
      <c r="D372" s="133"/>
      <c r="E372" s="133"/>
      <c r="F372" s="133"/>
      <c r="G372" s="135"/>
      <c r="H372" s="20"/>
      <c r="I372" s="3"/>
      <c r="J372" s="108"/>
    </row>
    <row r="373" spans="1:10" s="60" customFormat="1" x14ac:dyDescent="0.2">
      <c r="A373" s="62"/>
      <c r="B373" s="61"/>
      <c r="C373" s="61"/>
      <c r="D373" s="133"/>
      <c r="E373" s="133"/>
      <c r="F373" s="133"/>
      <c r="G373" s="135"/>
      <c r="H373" s="20"/>
      <c r="I373" s="3"/>
      <c r="J373" s="108"/>
    </row>
    <row r="374" spans="1:10" s="60" customFormat="1" x14ac:dyDescent="0.2">
      <c r="A374" s="62"/>
      <c r="B374" s="61"/>
      <c r="C374" s="61"/>
      <c r="D374" s="133"/>
      <c r="E374" s="133"/>
      <c r="F374" s="133"/>
      <c r="G374" s="135"/>
      <c r="H374" s="20"/>
      <c r="I374" s="3"/>
      <c r="J374" s="108"/>
    </row>
    <row r="375" spans="1:10" s="60" customFormat="1" x14ac:dyDescent="0.2">
      <c r="A375" s="62"/>
      <c r="B375" s="61"/>
      <c r="C375" s="61"/>
      <c r="D375" s="133"/>
      <c r="E375" s="133"/>
      <c r="F375" s="133"/>
      <c r="G375" s="135"/>
      <c r="H375" s="20"/>
      <c r="I375" s="3"/>
      <c r="J375" s="108"/>
    </row>
    <row r="376" spans="1:10" s="60" customFormat="1" x14ac:dyDescent="0.2">
      <c r="A376" s="62"/>
      <c r="B376" s="61"/>
      <c r="C376" s="61"/>
      <c r="D376" s="133"/>
      <c r="E376" s="133"/>
      <c r="F376" s="133"/>
      <c r="G376" s="135"/>
      <c r="H376" s="20"/>
      <c r="I376" s="3"/>
      <c r="J376" s="108"/>
    </row>
    <row r="377" spans="1:10" s="60" customFormat="1" x14ac:dyDescent="0.2">
      <c r="A377" s="62"/>
      <c r="B377" s="61"/>
      <c r="C377" s="61"/>
      <c r="D377" s="133"/>
      <c r="E377" s="133"/>
      <c r="F377" s="133"/>
      <c r="G377" s="135"/>
      <c r="H377" s="20"/>
      <c r="I377" s="3"/>
      <c r="J377" s="108"/>
    </row>
    <row r="378" spans="1:10" s="60" customFormat="1" x14ac:dyDescent="0.2">
      <c r="A378" s="62"/>
      <c r="B378" s="61"/>
      <c r="C378" s="61"/>
      <c r="D378" s="133"/>
      <c r="E378" s="133"/>
      <c r="F378" s="133"/>
      <c r="G378" s="135"/>
      <c r="H378" s="20"/>
      <c r="I378" s="3"/>
      <c r="J378" s="108"/>
    </row>
    <row r="379" spans="1:10" s="60" customFormat="1" x14ac:dyDescent="0.2">
      <c r="A379" s="62"/>
      <c r="B379" s="61"/>
      <c r="C379" s="61"/>
      <c r="D379" s="133"/>
      <c r="E379" s="133"/>
      <c r="F379" s="133"/>
      <c r="G379" s="135"/>
      <c r="H379" s="20"/>
      <c r="I379" s="3"/>
      <c r="J379" s="108"/>
    </row>
    <row r="380" spans="1:10" s="60" customFormat="1" x14ac:dyDescent="0.2">
      <c r="A380" s="62"/>
      <c r="B380" s="61"/>
      <c r="C380" s="61"/>
      <c r="D380" s="133"/>
      <c r="E380" s="133"/>
      <c r="F380" s="133"/>
      <c r="G380" s="135"/>
      <c r="H380" s="20"/>
      <c r="I380" s="3"/>
      <c r="J380" s="108"/>
    </row>
    <row r="381" spans="1:10" s="60" customFormat="1" x14ac:dyDescent="0.2">
      <c r="A381" s="62"/>
      <c r="B381" s="61"/>
      <c r="C381" s="61"/>
      <c r="D381" s="133"/>
      <c r="E381" s="133"/>
      <c r="F381" s="133"/>
      <c r="G381" s="135"/>
      <c r="H381" s="20"/>
      <c r="I381" s="3"/>
      <c r="J381" s="108"/>
    </row>
    <row r="382" spans="1:10" s="60" customFormat="1" x14ac:dyDescent="0.2">
      <c r="A382" s="62"/>
      <c r="B382" s="61"/>
      <c r="C382" s="61"/>
      <c r="D382" s="133"/>
      <c r="E382" s="133"/>
      <c r="F382" s="133"/>
      <c r="G382" s="135"/>
      <c r="H382" s="20"/>
      <c r="I382" s="3"/>
      <c r="J382" s="108"/>
    </row>
    <row r="383" spans="1:10" s="60" customFormat="1" x14ac:dyDescent="0.2">
      <c r="A383" s="62"/>
      <c r="B383" s="61"/>
      <c r="C383" s="61"/>
      <c r="D383" s="133"/>
      <c r="E383" s="133"/>
      <c r="F383" s="133"/>
      <c r="G383" s="135"/>
      <c r="H383" s="20"/>
      <c r="I383" s="3"/>
      <c r="J383" s="108"/>
    </row>
    <row r="384" spans="1:10" s="60" customFormat="1" x14ac:dyDescent="0.2">
      <c r="A384" s="62"/>
      <c r="B384" s="61"/>
      <c r="C384" s="61"/>
      <c r="D384" s="133"/>
      <c r="E384" s="133"/>
      <c r="F384" s="133"/>
      <c r="G384" s="135"/>
      <c r="H384" s="20"/>
      <c r="I384" s="3"/>
      <c r="J384" s="108"/>
    </row>
    <row r="385" spans="1:10" s="60" customFormat="1" x14ac:dyDescent="0.2">
      <c r="A385" s="62"/>
      <c r="B385" s="61"/>
      <c r="C385" s="61"/>
      <c r="D385" s="133"/>
      <c r="E385" s="133"/>
      <c r="F385" s="133"/>
      <c r="G385" s="135"/>
      <c r="H385" s="20"/>
      <c r="I385" s="3"/>
      <c r="J385" s="108"/>
    </row>
    <row r="386" spans="1:10" s="60" customFormat="1" x14ac:dyDescent="0.2">
      <c r="A386" s="62"/>
      <c r="B386" s="61"/>
      <c r="C386" s="61"/>
      <c r="D386" s="133"/>
      <c r="E386" s="133"/>
      <c r="F386" s="133"/>
      <c r="G386" s="135"/>
      <c r="H386" s="20"/>
      <c r="I386" s="3"/>
      <c r="J386" s="108"/>
    </row>
    <row r="387" spans="1:10" s="60" customFormat="1" x14ac:dyDescent="0.2">
      <c r="A387" s="62"/>
      <c r="B387" s="61"/>
      <c r="C387" s="61"/>
      <c r="D387" s="133"/>
      <c r="E387" s="133"/>
      <c r="F387" s="133"/>
      <c r="G387" s="135"/>
      <c r="H387" s="20"/>
      <c r="I387" s="3"/>
      <c r="J387" s="108"/>
    </row>
    <row r="388" spans="1:10" s="60" customFormat="1" x14ac:dyDescent="0.2">
      <c r="A388" s="62"/>
      <c r="B388" s="61"/>
      <c r="C388" s="61"/>
      <c r="D388" s="133"/>
      <c r="E388" s="133"/>
      <c r="F388" s="133"/>
      <c r="G388" s="135"/>
      <c r="H388" s="20"/>
      <c r="I388" s="3"/>
      <c r="J388" s="108"/>
    </row>
    <row r="389" spans="1:10" s="60" customFormat="1" x14ac:dyDescent="0.2">
      <c r="A389" s="62"/>
      <c r="B389" s="61"/>
      <c r="C389" s="61"/>
      <c r="D389" s="133"/>
      <c r="E389" s="133"/>
      <c r="F389" s="133"/>
      <c r="G389" s="135"/>
      <c r="H389" s="20"/>
      <c r="I389" s="3"/>
      <c r="J389" s="108"/>
    </row>
    <row r="390" spans="1:10" s="60" customFormat="1" x14ac:dyDescent="0.2">
      <c r="A390" s="62"/>
      <c r="B390" s="61"/>
      <c r="C390" s="61"/>
      <c r="D390" s="133"/>
      <c r="E390" s="133"/>
      <c r="F390" s="133"/>
      <c r="G390" s="135"/>
      <c r="H390" s="20"/>
      <c r="I390" s="3"/>
      <c r="J390" s="108"/>
    </row>
    <row r="391" spans="1:10" s="60" customFormat="1" x14ac:dyDescent="0.2">
      <c r="A391" s="62"/>
      <c r="B391" s="61"/>
      <c r="C391" s="61"/>
      <c r="D391" s="133"/>
      <c r="E391" s="133"/>
      <c r="F391" s="133"/>
      <c r="G391" s="135"/>
      <c r="H391" s="20"/>
      <c r="I391" s="3"/>
      <c r="J391" s="108"/>
    </row>
    <row r="392" spans="1:10" s="60" customFormat="1" x14ac:dyDescent="0.2">
      <c r="A392" s="62"/>
      <c r="B392" s="61"/>
      <c r="C392" s="61"/>
      <c r="D392" s="133"/>
      <c r="E392" s="133"/>
      <c r="F392" s="133"/>
      <c r="G392" s="135"/>
      <c r="H392" s="20"/>
      <c r="I392" s="3"/>
      <c r="J392" s="108"/>
    </row>
    <row r="393" spans="1:10" s="60" customFormat="1" x14ac:dyDescent="0.2">
      <c r="A393" s="62"/>
      <c r="B393" s="61"/>
      <c r="C393" s="61"/>
      <c r="D393" s="133"/>
      <c r="E393" s="133"/>
      <c r="F393" s="133"/>
      <c r="G393" s="135"/>
      <c r="H393" s="20"/>
      <c r="I393" s="3"/>
      <c r="J393" s="108"/>
    </row>
    <row r="394" spans="1:10" s="60" customFormat="1" x14ac:dyDescent="0.2">
      <c r="A394" s="62"/>
      <c r="B394" s="61"/>
      <c r="C394" s="61"/>
      <c r="D394" s="133"/>
      <c r="E394" s="133"/>
      <c r="F394" s="133"/>
      <c r="G394" s="135"/>
      <c r="H394" s="20"/>
      <c r="I394" s="3"/>
      <c r="J394" s="108"/>
    </row>
    <row r="395" spans="1:10" s="60" customFormat="1" x14ac:dyDescent="0.2">
      <c r="A395" s="62"/>
      <c r="B395" s="61"/>
      <c r="C395" s="61"/>
      <c r="D395" s="133"/>
      <c r="E395" s="133"/>
      <c r="F395" s="133"/>
      <c r="G395" s="135"/>
      <c r="H395" s="20"/>
      <c r="I395" s="3"/>
      <c r="J395" s="108"/>
    </row>
    <row r="396" spans="1:10" s="60" customFormat="1" x14ac:dyDescent="0.2">
      <c r="A396" s="62"/>
      <c r="B396" s="61"/>
      <c r="C396" s="61"/>
      <c r="D396" s="133"/>
      <c r="E396" s="133"/>
      <c r="F396" s="133"/>
      <c r="G396" s="135"/>
      <c r="H396" s="20"/>
      <c r="I396" s="3"/>
      <c r="J396" s="108"/>
    </row>
    <row r="397" spans="1:10" s="60" customFormat="1" x14ac:dyDescent="0.2">
      <c r="A397" s="62"/>
      <c r="B397" s="61"/>
      <c r="C397" s="61"/>
      <c r="D397" s="133"/>
      <c r="E397" s="133"/>
      <c r="F397" s="133"/>
      <c r="G397" s="135"/>
      <c r="H397" s="20"/>
      <c r="I397" s="3"/>
      <c r="J397" s="108"/>
    </row>
    <row r="398" spans="1:10" s="60" customFormat="1" x14ac:dyDescent="0.2">
      <c r="A398" s="62"/>
      <c r="B398" s="61"/>
      <c r="C398" s="61"/>
      <c r="D398" s="133"/>
      <c r="E398" s="133"/>
      <c r="F398" s="133"/>
      <c r="G398" s="135"/>
      <c r="H398" s="20"/>
      <c r="I398" s="3"/>
      <c r="J398" s="108"/>
    </row>
    <row r="399" spans="1:10" s="60" customFormat="1" x14ac:dyDescent="0.2">
      <c r="A399" s="62"/>
      <c r="B399" s="61"/>
      <c r="C399" s="61"/>
      <c r="D399" s="133"/>
      <c r="E399" s="133"/>
      <c r="F399" s="133"/>
      <c r="G399" s="135"/>
      <c r="H399" s="20"/>
      <c r="I399" s="3"/>
      <c r="J399" s="108"/>
    </row>
    <row r="400" spans="1:10" s="60" customFormat="1" x14ac:dyDescent="0.2">
      <c r="A400" s="62"/>
      <c r="B400" s="61"/>
      <c r="C400" s="61"/>
      <c r="D400" s="133"/>
      <c r="E400" s="133"/>
      <c r="F400" s="133"/>
      <c r="G400" s="135"/>
      <c r="H400" s="20"/>
      <c r="I400" s="3"/>
      <c r="J400" s="108"/>
    </row>
    <row r="401" spans="1:10" s="60" customFormat="1" x14ac:dyDescent="0.2">
      <c r="A401" s="62"/>
      <c r="B401" s="61"/>
      <c r="C401" s="61"/>
      <c r="D401" s="133"/>
      <c r="E401" s="133"/>
      <c r="F401" s="133"/>
      <c r="G401" s="135"/>
      <c r="H401" s="20"/>
      <c r="I401" s="3"/>
      <c r="J401" s="108"/>
    </row>
    <row r="402" spans="1:10" s="60" customFormat="1" x14ac:dyDescent="0.2">
      <c r="A402" s="62"/>
      <c r="B402" s="61"/>
      <c r="C402" s="61"/>
      <c r="D402" s="133"/>
      <c r="E402" s="133"/>
      <c r="F402" s="133"/>
      <c r="G402" s="135"/>
      <c r="H402" s="20"/>
      <c r="I402" s="3"/>
      <c r="J402" s="108"/>
    </row>
    <row r="403" spans="1:10" s="60" customFormat="1" x14ac:dyDescent="0.2">
      <c r="A403" s="62"/>
      <c r="B403" s="61"/>
      <c r="C403" s="61"/>
      <c r="D403" s="133"/>
      <c r="E403" s="133"/>
      <c r="F403" s="133"/>
      <c r="G403" s="135"/>
      <c r="H403" s="20"/>
      <c r="I403" s="3"/>
      <c r="J403" s="108"/>
    </row>
    <row r="404" spans="1:10" s="60" customFormat="1" x14ac:dyDescent="0.2">
      <c r="A404" s="62"/>
      <c r="B404" s="61"/>
      <c r="C404" s="61"/>
      <c r="D404" s="133"/>
      <c r="E404" s="133"/>
      <c r="F404" s="133"/>
      <c r="G404" s="135"/>
      <c r="H404" s="20"/>
      <c r="I404" s="3"/>
      <c r="J404" s="108"/>
    </row>
    <row r="405" spans="1:10" s="60" customFormat="1" x14ac:dyDescent="0.2">
      <c r="A405" s="62"/>
      <c r="B405" s="61"/>
      <c r="C405" s="61"/>
      <c r="D405" s="133"/>
      <c r="E405" s="133"/>
      <c r="F405" s="133"/>
      <c r="G405" s="135"/>
      <c r="H405" s="20"/>
      <c r="I405" s="3"/>
      <c r="J405" s="108"/>
    </row>
    <row r="406" spans="1:10" s="60" customFormat="1" x14ac:dyDescent="0.2">
      <c r="A406" s="62"/>
      <c r="B406" s="61"/>
      <c r="C406" s="61"/>
      <c r="D406" s="133"/>
      <c r="E406" s="133"/>
      <c r="F406" s="133"/>
      <c r="G406" s="135"/>
      <c r="H406" s="20"/>
      <c r="I406" s="3"/>
      <c r="J406" s="108"/>
    </row>
    <row r="407" spans="1:10" s="60" customFormat="1" x14ac:dyDescent="0.2">
      <c r="A407" s="62"/>
      <c r="B407" s="61"/>
      <c r="C407" s="61"/>
      <c r="D407" s="133"/>
      <c r="E407" s="133"/>
      <c r="F407" s="133"/>
      <c r="G407" s="135"/>
      <c r="H407" s="20"/>
      <c r="I407" s="3"/>
      <c r="J407" s="108"/>
    </row>
    <row r="408" spans="1:10" s="60" customFormat="1" x14ac:dyDescent="0.2">
      <c r="A408" s="62"/>
      <c r="B408" s="61"/>
      <c r="C408" s="61"/>
      <c r="D408" s="133"/>
      <c r="E408" s="133"/>
      <c r="F408" s="133"/>
      <c r="G408" s="135"/>
      <c r="H408" s="20"/>
      <c r="I408" s="3"/>
      <c r="J408" s="108"/>
    </row>
    <row r="409" spans="1:10" s="60" customFormat="1" x14ac:dyDescent="0.2">
      <c r="A409" s="62"/>
      <c r="B409" s="61"/>
      <c r="C409" s="61"/>
      <c r="D409" s="133"/>
      <c r="E409" s="133"/>
      <c r="F409" s="133"/>
      <c r="G409" s="135"/>
      <c r="H409" s="20"/>
      <c r="I409" s="3"/>
      <c r="J409" s="108"/>
    </row>
    <row r="410" spans="1:10" s="60" customFormat="1" x14ac:dyDescent="0.2">
      <c r="A410" s="62"/>
      <c r="B410" s="61"/>
      <c r="C410" s="61"/>
      <c r="D410" s="133"/>
      <c r="E410" s="133"/>
      <c r="F410" s="133"/>
      <c r="G410" s="135"/>
      <c r="H410" s="20"/>
      <c r="I410" s="3"/>
      <c r="J410" s="108"/>
    </row>
    <row r="411" spans="1:10" s="60" customFormat="1" x14ac:dyDescent="0.2">
      <c r="A411" s="62"/>
      <c r="B411" s="61"/>
      <c r="C411" s="61"/>
      <c r="D411" s="133"/>
      <c r="E411" s="133"/>
      <c r="F411" s="133"/>
      <c r="G411" s="135"/>
      <c r="H411" s="20"/>
      <c r="I411" s="3"/>
      <c r="J411" s="108"/>
    </row>
    <row r="412" spans="1:10" s="60" customFormat="1" x14ac:dyDescent="0.2">
      <c r="A412" s="62"/>
      <c r="B412" s="61"/>
      <c r="C412" s="61"/>
      <c r="D412" s="133"/>
      <c r="E412" s="133"/>
      <c r="F412" s="133"/>
      <c r="G412" s="135"/>
      <c r="H412" s="20"/>
      <c r="I412" s="3"/>
      <c r="J412" s="108"/>
    </row>
    <row r="413" spans="1:10" s="60" customFormat="1" x14ac:dyDescent="0.2">
      <c r="A413" s="62"/>
      <c r="B413" s="61"/>
      <c r="C413" s="61"/>
      <c r="D413" s="133"/>
      <c r="E413" s="133"/>
      <c r="F413" s="133"/>
      <c r="G413" s="135"/>
      <c r="H413" s="20"/>
      <c r="I413" s="3"/>
      <c r="J413" s="108"/>
    </row>
    <row r="414" spans="1:10" s="60" customFormat="1" x14ac:dyDescent="0.2">
      <c r="A414" s="62"/>
      <c r="B414" s="61"/>
      <c r="C414" s="61"/>
      <c r="D414" s="133"/>
      <c r="E414" s="133"/>
      <c r="F414" s="133"/>
      <c r="G414" s="135"/>
      <c r="H414" s="20"/>
      <c r="I414" s="3"/>
      <c r="J414" s="108"/>
    </row>
    <row r="415" spans="1:10" s="60" customFormat="1" x14ac:dyDescent="0.2">
      <c r="A415" s="62"/>
      <c r="B415" s="61"/>
      <c r="C415" s="61"/>
      <c r="D415" s="133"/>
      <c r="E415" s="133"/>
      <c r="F415" s="133"/>
      <c r="G415" s="135"/>
      <c r="H415" s="20"/>
      <c r="I415" s="3"/>
      <c r="J415" s="108"/>
    </row>
    <row r="416" spans="1:10" s="60" customFormat="1" x14ac:dyDescent="0.2">
      <c r="A416" s="62"/>
      <c r="B416" s="61"/>
      <c r="C416" s="61"/>
      <c r="D416" s="133"/>
      <c r="E416" s="133"/>
      <c r="F416" s="133"/>
      <c r="G416" s="135"/>
      <c r="H416" s="20"/>
      <c r="I416" s="3"/>
      <c r="J416" s="108"/>
    </row>
    <row r="417" spans="1:10" s="60" customFormat="1" x14ac:dyDescent="0.2">
      <c r="A417" s="62"/>
      <c r="B417" s="61"/>
      <c r="C417" s="61"/>
      <c r="D417" s="133"/>
      <c r="E417" s="133"/>
      <c r="F417" s="133"/>
      <c r="G417" s="135"/>
      <c r="H417" s="20"/>
      <c r="I417" s="3"/>
      <c r="J417" s="108"/>
    </row>
    <row r="418" spans="1:10" s="60" customFormat="1" x14ac:dyDescent="0.2">
      <c r="A418" s="62"/>
      <c r="B418" s="61"/>
      <c r="C418" s="61"/>
      <c r="D418" s="133"/>
      <c r="E418" s="133"/>
      <c r="F418" s="133"/>
      <c r="G418" s="135"/>
      <c r="H418" s="20"/>
      <c r="I418" s="3"/>
      <c r="J418" s="108"/>
    </row>
    <row r="419" spans="1:10" s="60" customFormat="1" x14ac:dyDescent="0.2">
      <c r="A419" s="62"/>
      <c r="B419" s="61"/>
      <c r="C419" s="61"/>
      <c r="D419" s="133"/>
      <c r="E419" s="133"/>
      <c r="F419" s="133"/>
      <c r="G419" s="135"/>
      <c r="H419" s="20"/>
      <c r="I419" s="3"/>
      <c r="J419" s="108"/>
    </row>
    <row r="420" spans="1:10" s="60" customFormat="1" x14ac:dyDescent="0.2">
      <c r="A420" s="62"/>
      <c r="B420" s="61"/>
      <c r="C420" s="61"/>
      <c r="D420" s="133"/>
      <c r="E420" s="133"/>
      <c r="F420" s="133"/>
      <c r="G420" s="135"/>
      <c r="H420" s="20"/>
      <c r="I420" s="3"/>
      <c r="J420" s="108"/>
    </row>
    <row r="421" spans="1:10" s="60" customFormat="1" x14ac:dyDescent="0.2">
      <c r="A421" s="62"/>
      <c r="B421" s="61"/>
      <c r="C421" s="61"/>
      <c r="D421" s="133"/>
      <c r="E421" s="133"/>
      <c r="F421" s="133"/>
      <c r="G421" s="135"/>
      <c r="H421" s="20"/>
      <c r="I421" s="3"/>
      <c r="J421" s="108"/>
    </row>
    <row r="422" spans="1:10" s="60" customFormat="1" x14ac:dyDescent="0.2">
      <c r="A422" s="62"/>
      <c r="B422" s="61"/>
      <c r="C422" s="61"/>
      <c r="D422" s="133"/>
      <c r="E422" s="133"/>
      <c r="F422" s="133"/>
      <c r="G422" s="135"/>
      <c r="H422" s="20"/>
      <c r="I422" s="3"/>
      <c r="J422" s="108"/>
    </row>
    <row r="423" spans="1:10" s="60" customFormat="1" x14ac:dyDescent="0.2">
      <c r="A423" s="62"/>
      <c r="B423" s="61"/>
      <c r="C423" s="61"/>
      <c r="D423" s="133"/>
      <c r="E423" s="133"/>
      <c r="F423" s="133"/>
      <c r="G423" s="135"/>
      <c r="H423" s="20"/>
      <c r="I423" s="3"/>
      <c r="J423" s="108"/>
    </row>
    <row r="424" spans="1:10" s="60" customFormat="1" x14ac:dyDescent="0.2">
      <c r="A424" s="62"/>
      <c r="B424" s="61"/>
      <c r="C424" s="61"/>
      <c r="D424" s="133"/>
      <c r="E424" s="133"/>
      <c r="F424" s="133"/>
      <c r="G424" s="135"/>
      <c r="H424" s="20"/>
      <c r="I424" s="3"/>
      <c r="J424" s="108"/>
    </row>
    <row r="425" spans="1:10" s="60" customFormat="1" x14ac:dyDescent="0.2">
      <c r="A425" s="62"/>
      <c r="B425" s="61"/>
      <c r="C425" s="61"/>
      <c r="D425" s="133"/>
      <c r="E425" s="133"/>
      <c r="F425" s="133"/>
      <c r="G425" s="135"/>
      <c r="H425" s="20"/>
      <c r="I425" s="3"/>
      <c r="J425" s="108"/>
    </row>
    <row r="426" spans="1:10" s="60" customFormat="1" x14ac:dyDescent="0.2">
      <c r="A426" s="62"/>
      <c r="B426" s="61"/>
      <c r="C426" s="61"/>
      <c r="D426" s="133"/>
      <c r="E426" s="133"/>
      <c r="F426" s="133"/>
      <c r="G426" s="135"/>
      <c r="H426" s="20"/>
      <c r="I426" s="3"/>
      <c r="J426" s="108"/>
    </row>
    <row r="427" spans="1:10" s="60" customFormat="1" x14ac:dyDescent="0.2">
      <c r="A427" s="62"/>
      <c r="B427" s="61"/>
      <c r="C427" s="61"/>
      <c r="D427" s="133"/>
      <c r="E427" s="133"/>
      <c r="F427" s="133"/>
      <c r="G427" s="135"/>
      <c r="H427" s="20"/>
      <c r="I427" s="3"/>
      <c r="J427" s="108"/>
    </row>
    <row r="428" spans="1:10" s="60" customFormat="1" x14ac:dyDescent="0.2">
      <c r="A428" s="62"/>
      <c r="B428" s="61"/>
      <c r="C428" s="61"/>
      <c r="D428" s="133"/>
      <c r="E428" s="133"/>
      <c r="F428" s="133"/>
      <c r="G428" s="135"/>
      <c r="H428" s="20"/>
      <c r="I428" s="3"/>
      <c r="J428" s="108"/>
    </row>
    <row r="429" spans="1:10" s="60" customFormat="1" x14ac:dyDescent="0.2">
      <c r="A429" s="62"/>
      <c r="B429" s="61"/>
      <c r="C429" s="61"/>
      <c r="D429" s="133"/>
      <c r="E429" s="133"/>
      <c r="F429" s="133"/>
      <c r="G429" s="135"/>
      <c r="H429" s="20"/>
      <c r="I429" s="3"/>
      <c r="J429" s="108"/>
    </row>
    <row r="430" spans="1:10" s="60" customFormat="1" x14ac:dyDescent="0.2">
      <c r="A430" s="62"/>
      <c r="B430" s="61"/>
      <c r="C430" s="61"/>
      <c r="D430" s="133"/>
      <c r="E430" s="133"/>
      <c r="F430" s="133"/>
      <c r="G430" s="135"/>
      <c r="H430" s="20"/>
      <c r="I430" s="3"/>
      <c r="J430" s="108"/>
    </row>
    <row r="431" spans="1:10" s="60" customFormat="1" x14ac:dyDescent="0.2">
      <c r="A431" s="62"/>
      <c r="B431" s="61"/>
      <c r="C431" s="61"/>
      <c r="D431" s="133"/>
      <c r="E431" s="133"/>
      <c r="F431" s="133"/>
      <c r="G431" s="135"/>
      <c r="H431" s="20"/>
      <c r="I431" s="3"/>
      <c r="J431" s="108"/>
    </row>
    <row r="432" spans="1:10" s="60" customFormat="1" x14ac:dyDescent="0.2">
      <c r="A432" s="62"/>
      <c r="B432" s="61"/>
      <c r="C432" s="61"/>
      <c r="D432" s="133"/>
      <c r="E432" s="133"/>
      <c r="F432" s="133"/>
      <c r="G432" s="135"/>
      <c r="H432" s="20"/>
      <c r="I432" s="3"/>
      <c r="J432" s="108"/>
    </row>
    <row r="433" spans="1:10" s="60" customFormat="1" x14ac:dyDescent="0.2">
      <c r="A433" s="62"/>
      <c r="B433" s="61"/>
      <c r="C433" s="61"/>
      <c r="D433" s="133"/>
      <c r="E433" s="133"/>
      <c r="F433" s="133"/>
      <c r="G433" s="135"/>
      <c r="H433" s="20"/>
      <c r="I433" s="3"/>
      <c r="J433" s="108"/>
    </row>
    <row r="434" spans="1:10" s="60" customFormat="1" x14ac:dyDescent="0.2">
      <c r="A434" s="62"/>
      <c r="B434" s="61"/>
      <c r="C434" s="61"/>
      <c r="D434" s="133"/>
      <c r="E434" s="133"/>
      <c r="F434" s="133"/>
      <c r="G434" s="135"/>
      <c r="H434" s="20"/>
      <c r="I434" s="3"/>
      <c r="J434" s="108"/>
    </row>
    <row r="435" spans="1:10" s="60" customFormat="1" x14ac:dyDescent="0.2">
      <c r="A435" s="62"/>
      <c r="B435" s="61"/>
      <c r="C435" s="61"/>
      <c r="D435" s="133"/>
      <c r="E435" s="133"/>
      <c r="F435" s="133"/>
      <c r="G435" s="135"/>
      <c r="H435" s="20"/>
      <c r="I435" s="3"/>
      <c r="J435" s="108"/>
    </row>
    <row r="436" spans="1:10" s="60" customFormat="1" x14ac:dyDescent="0.2">
      <c r="A436" s="62"/>
      <c r="B436" s="61"/>
      <c r="C436" s="61"/>
      <c r="D436" s="133"/>
      <c r="E436" s="133"/>
      <c r="F436" s="133"/>
      <c r="G436" s="135"/>
      <c r="H436" s="20"/>
      <c r="I436" s="3"/>
      <c r="J436" s="108"/>
    </row>
    <row r="437" spans="1:10" s="60" customFormat="1" x14ac:dyDescent="0.2">
      <c r="A437" s="62"/>
      <c r="B437" s="61"/>
      <c r="C437" s="61"/>
      <c r="D437" s="133"/>
      <c r="E437" s="133"/>
      <c r="F437" s="133"/>
      <c r="G437" s="135"/>
      <c r="H437" s="20"/>
      <c r="I437" s="3"/>
      <c r="J437" s="108"/>
    </row>
    <row r="438" spans="1:10" s="60" customFormat="1" x14ac:dyDescent="0.2">
      <c r="A438" s="62"/>
      <c r="B438" s="61"/>
      <c r="C438" s="61"/>
      <c r="D438" s="133"/>
      <c r="E438" s="133"/>
      <c r="F438" s="133"/>
      <c r="G438" s="135"/>
      <c r="H438" s="20"/>
      <c r="I438" s="3"/>
      <c r="J438" s="108"/>
    </row>
    <row r="439" spans="1:10" s="60" customFormat="1" x14ac:dyDescent="0.2">
      <c r="A439" s="62"/>
      <c r="B439" s="61"/>
      <c r="C439" s="61"/>
      <c r="D439" s="133"/>
      <c r="E439" s="133"/>
      <c r="F439" s="133"/>
      <c r="G439" s="135"/>
      <c r="H439" s="20"/>
      <c r="I439" s="3"/>
      <c r="J439" s="108"/>
    </row>
    <row r="440" spans="1:10" s="60" customFormat="1" x14ac:dyDescent="0.2">
      <c r="A440" s="62"/>
      <c r="B440" s="61"/>
      <c r="C440" s="61"/>
      <c r="D440" s="133"/>
      <c r="E440" s="133"/>
      <c r="F440" s="133"/>
      <c r="G440" s="135"/>
      <c r="H440" s="20"/>
      <c r="I440" s="3"/>
      <c r="J440" s="108"/>
    </row>
    <row r="441" spans="1:10" s="60" customFormat="1" x14ac:dyDescent="0.2">
      <c r="A441" s="62"/>
      <c r="B441" s="61"/>
      <c r="C441" s="61"/>
      <c r="D441" s="133"/>
      <c r="E441" s="133"/>
      <c r="F441" s="133"/>
      <c r="G441" s="135"/>
      <c r="H441" s="20"/>
      <c r="I441" s="3"/>
      <c r="J441" s="108"/>
    </row>
    <row r="442" spans="1:10" s="60" customFormat="1" x14ac:dyDescent="0.2">
      <c r="A442" s="62"/>
      <c r="B442" s="61"/>
      <c r="C442" s="61"/>
      <c r="D442" s="133"/>
      <c r="E442" s="133"/>
      <c r="F442" s="133"/>
      <c r="G442" s="135"/>
      <c r="H442" s="20"/>
      <c r="I442" s="3"/>
      <c r="J442" s="108"/>
    </row>
    <row r="443" spans="1:10" s="60" customFormat="1" x14ac:dyDescent="0.2">
      <c r="A443" s="62"/>
      <c r="B443" s="61"/>
      <c r="C443" s="61"/>
      <c r="D443" s="133"/>
      <c r="E443" s="133"/>
      <c r="F443" s="133"/>
      <c r="G443" s="135"/>
      <c r="H443" s="20"/>
      <c r="I443" s="3"/>
      <c r="J443" s="108"/>
    </row>
    <row r="444" spans="1:10" s="60" customFormat="1" x14ac:dyDescent="0.2">
      <c r="A444" s="62"/>
      <c r="B444" s="61"/>
      <c r="C444" s="61"/>
      <c r="D444" s="133"/>
      <c r="E444" s="133"/>
      <c r="F444" s="133"/>
      <c r="G444" s="135"/>
      <c r="H444" s="20"/>
      <c r="I444" s="3"/>
      <c r="J444" s="108"/>
    </row>
    <row r="445" spans="1:10" s="60" customFormat="1" x14ac:dyDescent="0.2">
      <c r="A445" s="62"/>
      <c r="B445" s="61"/>
      <c r="C445" s="61"/>
      <c r="D445" s="133"/>
      <c r="E445" s="133"/>
      <c r="F445" s="133"/>
      <c r="G445" s="135"/>
      <c r="H445" s="20"/>
      <c r="I445" s="3"/>
      <c r="J445" s="108"/>
    </row>
    <row r="446" spans="1:10" s="60" customFormat="1" x14ac:dyDescent="0.2">
      <c r="A446" s="62"/>
      <c r="B446" s="61"/>
      <c r="C446" s="61"/>
      <c r="D446" s="133"/>
      <c r="E446" s="133"/>
      <c r="F446" s="133"/>
      <c r="G446" s="135"/>
      <c r="H446" s="20"/>
      <c r="I446" s="3"/>
      <c r="J446" s="108"/>
    </row>
    <row r="447" spans="1:10" s="60" customFormat="1" x14ac:dyDescent="0.2">
      <c r="A447" s="62"/>
      <c r="B447" s="61"/>
      <c r="C447" s="61"/>
      <c r="D447" s="133"/>
      <c r="E447" s="133"/>
      <c r="F447" s="133"/>
      <c r="G447" s="135"/>
      <c r="H447" s="20"/>
      <c r="I447" s="3"/>
      <c r="J447" s="108"/>
    </row>
    <row r="448" spans="1:10" s="60" customFormat="1" x14ac:dyDescent="0.2">
      <c r="A448" s="62"/>
      <c r="B448" s="61"/>
      <c r="C448" s="61"/>
      <c r="D448" s="133"/>
      <c r="E448" s="133"/>
      <c r="F448" s="133"/>
      <c r="G448" s="135"/>
      <c r="H448" s="20"/>
      <c r="I448" s="3"/>
      <c r="J448" s="108"/>
    </row>
    <row r="449" spans="1:10" s="60" customFormat="1" x14ac:dyDescent="0.2">
      <c r="A449" s="62"/>
      <c r="B449" s="61"/>
      <c r="C449" s="61"/>
      <c r="D449" s="133"/>
      <c r="E449" s="133"/>
      <c r="F449" s="133"/>
      <c r="G449" s="135"/>
      <c r="H449" s="20"/>
      <c r="I449" s="3"/>
      <c r="J449" s="108"/>
    </row>
    <row r="450" spans="1:10" s="60" customFormat="1" x14ac:dyDescent="0.2">
      <c r="A450" s="62"/>
      <c r="B450" s="61"/>
      <c r="C450" s="61"/>
      <c r="D450" s="133"/>
      <c r="E450" s="133"/>
      <c r="F450" s="133"/>
      <c r="G450" s="135"/>
      <c r="H450" s="20"/>
      <c r="I450" s="3"/>
      <c r="J450" s="108"/>
    </row>
    <row r="451" spans="1:10" s="60" customFormat="1" x14ac:dyDescent="0.2">
      <c r="A451" s="62"/>
      <c r="B451" s="61"/>
      <c r="C451" s="61"/>
      <c r="D451" s="133"/>
      <c r="E451" s="133"/>
      <c r="F451" s="133"/>
      <c r="G451" s="135"/>
      <c r="H451" s="20"/>
      <c r="I451" s="3"/>
      <c r="J451" s="108"/>
    </row>
    <row r="452" spans="1:10" s="60" customFormat="1" x14ac:dyDescent="0.2">
      <c r="A452" s="62"/>
      <c r="B452" s="61"/>
      <c r="C452" s="61"/>
      <c r="D452" s="133"/>
      <c r="E452" s="133"/>
      <c r="F452" s="133"/>
      <c r="G452" s="135"/>
      <c r="H452" s="20"/>
      <c r="I452" s="3"/>
      <c r="J452" s="108"/>
    </row>
    <row r="453" spans="1:10" s="60" customFormat="1" x14ac:dyDescent="0.2">
      <c r="A453" s="62"/>
      <c r="B453" s="61"/>
      <c r="C453" s="61"/>
      <c r="D453" s="133"/>
      <c r="E453" s="133"/>
      <c r="F453" s="133"/>
      <c r="G453" s="135"/>
      <c r="H453" s="20"/>
      <c r="I453" s="3"/>
      <c r="J453" s="108"/>
    </row>
    <row r="454" spans="1:10" s="60" customFormat="1" x14ac:dyDescent="0.2">
      <c r="A454" s="62"/>
      <c r="B454" s="61"/>
      <c r="C454" s="61"/>
      <c r="D454" s="133"/>
      <c r="E454" s="133"/>
      <c r="F454" s="133"/>
      <c r="G454" s="135"/>
      <c r="H454" s="20"/>
      <c r="I454" s="3"/>
      <c r="J454" s="108"/>
    </row>
    <row r="455" spans="1:10" s="60" customFormat="1" x14ac:dyDescent="0.2">
      <c r="A455" s="62"/>
      <c r="B455" s="61"/>
      <c r="C455" s="61"/>
      <c r="D455" s="133"/>
      <c r="E455" s="133"/>
      <c r="F455" s="133"/>
      <c r="G455" s="135"/>
      <c r="H455" s="20"/>
      <c r="I455" s="3"/>
      <c r="J455" s="108"/>
    </row>
    <row r="456" spans="1:10" s="60" customFormat="1" x14ac:dyDescent="0.2">
      <c r="A456" s="62"/>
      <c r="B456" s="61"/>
      <c r="C456" s="61"/>
      <c r="D456" s="133"/>
      <c r="E456" s="133"/>
      <c r="F456" s="133"/>
      <c r="G456" s="135"/>
      <c r="H456" s="20"/>
      <c r="I456" s="3"/>
      <c r="J456" s="108"/>
    </row>
    <row r="457" spans="1:10" s="60" customFormat="1" x14ac:dyDescent="0.2">
      <c r="A457" s="62"/>
      <c r="B457" s="61"/>
      <c r="C457" s="61"/>
      <c r="D457" s="133"/>
      <c r="E457" s="133"/>
      <c r="F457" s="133"/>
      <c r="G457" s="135"/>
      <c r="H457" s="20"/>
      <c r="I457" s="3"/>
      <c r="J457" s="108"/>
    </row>
    <row r="458" spans="1:10" s="60" customFormat="1" x14ac:dyDescent="0.2">
      <c r="A458" s="62"/>
      <c r="B458" s="61"/>
      <c r="C458" s="61"/>
      <c r="D458" s="133"/>
      <c r="E458" s="133"/>
      <c r="F458" s="133"/>
      <c r="G458" s="135"/>
      <c r="H458" s="20"/>
      <c r="I458" s="3"/>
      <c r="J458" s="108"/>
    </row>
    <row r="459" spans="1:10" s="60" customFormat="1" x14ac:dyDescent="0.2">
      <c r="A459" s="62"/>
      <c r="B459" s="61"/>
      <c r="C459" s="61"/>
      <c r="D459" s="133"/>
      <c r="E459" s="133"/>
      <c r="F459" s="133"/>
      <c r="G459" s="135"/>
      <c r="H459" s="20"/>
      <c r="I459" s="3"/>
      <c r="J459" s="108"/>
    </row>
    <row r="460" spans="1:10" s="60" customFormat="1" x14ac:dyDescent="0.2">
      <c r="A460" s="62"/>
      <c r="B460" s="61"/>
      <c r="C460" s="61"/>
      <c r="D460" s="133"/>
      <c r="E460" s="133"/>
      <c r="F460" s="133"/>
      <c r="G460" s="135"/>
      <c r="H460" s="20"/>
      <c r="I460" s="3"/>
      <c r="J460" s="108"/>
    </row>
    <row r="461" spans="1:10" s="60" customFormat="1" x14ac:dyDescent="0.2">
      <c r="A461" s="62"/>
      <c r="B461" s="61"/>
      <c r="C461" s="61"/>
      <c r="D461" s="133"/>
      <c r="E461" s="133"/>
      <c r="F461" s="133"/>
      <c r="G461" s="135"/>
      <c r="H461" s="20"/>
      <c r="I461" s="3"/>
      <c r="J461" s="108"/>
    </row>
    <row r="462" spans="1:10" s="60" customFormat="1" x14ac:dyDescent="0.2">
      <c r="A462" s="62"/>
      <c r="B462" s="61"/>
      <c r="C462" s="61"/>
      <c r="D462" s="133"/>
      <c r="E462" s="133"/>
      <c r="F462" s="133"/>
      <c r="G462" s="135"/>
      <c r="H462" s="20"/>
      <c r="I462" s="3"/>
      <c r="J462" s="108"/>
    </row>
    <row r="463" spans="1:10" s="60" customFormat="1" x14ac:dyDescent="0.2">
      <c r="A463" s="62"/>
      <c r="B463" s="61"/>
      <c r="C463" s="61"/>
      <c r="D463" s="133"/>
      <c r="E463" s="133"/>
      <c r="F463" s="133"/>
      <c r="G463" s="135"/>
      <c r="H463" s="20"/>
      <c r="I463" s="3"/>
      <c r="J463" s="108"/>
    </row>
    <row r="464" spans="1:10" s="60" customFormat="1" x14ac:dyDescent="0.2">
      <c r="A464" s="62"/>
      <c r="B464" s="61"/>
      <c r="C464" s="61"/>
      <c r="D464" s="133"/>
      <c r="E464" s="133"/>
      <c r="F464" s="133"/>
      <c r="G464" s="135"/>
      <c r="H464" s="20"/>
      <c r="I464" s="3"/>
      <c r="J464" s="108"/>
    </row>
    <row r="465" spans="1:10" s="60" customFormat="1" x14ac:dyDescent="0.2">
      <c r="A465" s="62"/>
      <c r="B465" s="61"/>
      <c r="C465" s="61"/>
      <c r="D465" s="133"/>
      <c r="E465" s="133"/>
      <c r="F465" s="133"/>
      <c r="G465" s="135"/>
      <c r="H465" s="20"/>
      <c r="I465" s="3"/>
      <c r="J465" s="108"/>
    </row>
    <row r="466" spans="1:10" s="60" customFormat="1" x14ac:dyDescent="0.2">
      <c r="A466" s="62"/>
      <c r="B466" s="61"/>
      <c r="C466" s="61"/>
      <c r="D466" s="133"/>
      <c r="E466" s="133"/>
      <c r="F466" s="133"/>
      <c r="G466" s="135"/>
      <c r="H466" s="20"/>
      <c r="I466" s="3"/>
      <c r="J466" s="108"/>
    </row>
    <row r="467" spans="1:10" s="60" customFormat="1" x14ac:dyDescent="0.2">
      <c r="A467" s="62"/>
      <c r="B467" s="61"/>
      <c r="C467" s="61"/>
      <c r="D467" s="133"/>
      <c r="E467" s="133"/>
      <c r="F467" s="133"/>
      <c r="G467" s="135"/>
      <c r="H467" s="20"/>
      <c r="I467" s="3"/>
      <c r="J467" s="108"/>
    </row>
    <row r="468" spans="1:10" s="60" customFormat="1" x14ac:dyDescent="0.2">
      <c r="A468" s="62"/>
      <c r="B468" s="61"/>
      <c r="C468" s="61"/>
      <c r="D468" s="133"/>
      <c r="E468" s="133"/>
      <c r="F468" s="133"/>
      <c r="G468" s="135"/>
      <c r="H468" s="20"/>
      <c r="I468" s="3"/>
      <c r="J468" s="108"/>
    </row>
    <row r="469" spans="1:10" s="60" customFormat="1" x14ac:dyDescent="0.2">
      <c r="A469" s="62"/>
      <c r="B469" s="61"/>
      <c r="C469" s="61"/>
      <c r="D469" s="133"/>
      <c r="E469" s="133"/>
      <c r="F469" s="133"/>
      <c r="G469" s="135"/>
      <c r="H469" s="20"/>
      <c r="I469" s="3"/>
      <c r="J469" s="108"/>
    </row>
    <row r="470" spans="1:10" s="60" customFormat="1" x14ac:dyDescent="0.2">
      <c r="A470" s="62"/>
      <c r="B470" s="61"/>
      <c r="C470" s="61"/>
      <c r="D470" s="133"/>
      <c r="E470" s="133"/>
      <c r="F470" s="133"/>
      <c r="G470" s="135"/>
      <c r="H470" s="20"/>
      <c r="I470" s="3"/>
      <c r="J470" s="108"/>
    </row>
    <row r="471" spans="1:10" s="60" customFormat="1" x14ac:dyDescent="0.2">
      <c r="A471" s="62"/>
      <c r="B471" s="61"/>
      <c r="C471" s="61"/>
      <c r="D471" s="133"/>
      <c r="E471" s="133"/>
      <c r="F471" s="133"/>
      <c r="G471" s="135"/>
      <c r="H471" s="20"/>
      <c r="I471" s="3"/>
      <c r="J471" s="108"/>
    </row>
    <row r="472" spans="1:10" s="60" customFormat="1" x14ac:dyDescent="0.2">
      <c r="A472" s="62"/>
      <c r="B472" s="61"/>
      <c r="C472" s="61"/>
      <c r="D472" s="133"/>
      <c r="E472" s="133"/>
      <c r="F472" s="133"/>
      <c r="G472" s="135"/>
      <c r="H472" s="20"/>
      <c r="I472" s="3"/>
      <c r="J472" s="108"/>
    </row>
    <row r="473" spans="1:10" s="60" customFormat="1" x14ac:dyDescent="0.2">
      <c r="A473" s="62"/>
      <c r="B473" s="61"/>
      <c r="C473" s="61"/>
      <c r="D473" s="133"/>
      <c r="E473" s="133"/>
      <c r="F473" s="133"/>
      <c r="G473" s="135"/>
      <c r="H473" s="20"/>
      <c r="I473" s="3"/>
      <c r="J473" s="108"/>
    </row>
    <row r="474" spans="1:10" s="60" customFormat="1" x14ac:dyDescent="0.2">
      <c r="A474" s="62"/>
      <c r="B474" s="61"/>
      <c r="C474" s="61"/>
      <c r="D474" s="133"/>
      <c r="E474" s="133"/>
      <c r="F474" s="133"/>
      <c r="G474" s="135"/>
      <c r="H474" s="20"/>
      <c r="I474" s="3"/>
      <c r="J474" s="108"/>
    </row>
    <row r="475" spans="1:10" s="60" customFormat="1" x14ac:dyDescent="0.2">
      <c r="A475" s="62"/>
      <c r="B475" s="61"/>
      <c r="C475" s="61"/>
      <c r="D475" s="133"/>
      <c r="E475" s="133"/>
      <c r="F475" s="133"/>
      <c r="G475" s="135"/>
      <c r="H475" s="20"/>
      <c r="I475" s="3"/>
      <c r="J475" s="108"/>
    </row>
    <row r="476" spans="1:10" s="60" customFormat="1" x14ac:dyDescent="0.2">
      <c r="A476" s="62"/>
      <c r="B476" s="61"/>
      <c r="C476" s="61"/>
      <c r="D476" s="133"/>
      <c r="E476" s="133"/>
      <c r="F476" s="133"/>
      <c r="G476" s="135"/>
      <c r="H476" s="20"/>
      <c r="I476" s="3"/>
      <c r="J476" s="108"/>
    </row>
    <row r="477" spans="1:10" s="60" customFormat="1" x14ac:dyDescent="0.2">
      <c r="A477" s="62"/>
      <c r="B477" s="61"/>
      <c r="C477" s="61"/>
      <c r="D477" s="133"/>
      <c r="E477" s="133"/>
      <c r="F477" s="133"/>
      <c r="G477" s="135"/>
      <c r="H477" s="20"/>
      <c r="I477" s="3"/>
      <c r="J477" s="108"/>
    </row>
    <row r="478" spans="1:10" s="60" customFormat="1" x14ac:dyDescent="0.2">
      <c r="A478" s="62"/>
      <c r="B478" s="61"/>
      <c r="C478" s="61"/>
      <c r="D478" s="133"/>
      <c r="E478" s="133"/>
      <c r="F478" s="133"/>
      <c r="G478" s="135"/>
      <c r="H478" s="20"/>
      <c r="I478" s="3"/>
      <c r="J478" s="108"/>
    </row>
    <row r="479" spans="1:10" s="60" customFormat="1" x14ac:dyDescent="0.2">
      <c r="A479" s="62"/>
      <c r="B479" s="61"/>
      <c r="C479" s="61"/>
      <c r="D479" s="133"/>
      <c r="E479" s="133"/>
      <c r="F479" s="133"/>
      <c r="G479" s="135"/>
      <c r="H479" s="20"/>
      <c r="I479" s="3"/>
      <c r="J479" s="108"/>
    </row>
    <row r="480" spans="1:10" s="60" customFormat="1" x14ac:dyDescent="0.2">
      <c r="A480" s="62"/>
      <c r="B480" s="61"/>
      <c r="C480" s="61"/>
      <c r="D480" s="133"/>
      <c r="E480" s="133"/>
      <c r="F480" s="133"/>
      <c r="G480" s="135"/>
      <c r="H480" s="20"/>
      <c r="I480" s="3"/>
      <c r="J480" s="108"/>
    </row>
    <row r="481" spans="1:10" s="60" customFormat="1" x14ac:dyDescent="0.2">
      <c r="A481" s="62"/>
      <c r="B481" s="61"/>
      <c r="C481" s="61"/>
      <c r="D481" s="133"/>
      <c r="E481" s="133"/>
      <c r="F481" s="133"/>
      <c r="G481" s="135"/>
      <c r="H481" s="20"/>
      <c r="I481" s="3"/>
      <c r="J481" s="108"/>
    </row>
    <row r="482" spans="1:10" s="60" customFormat="1" x14ac:dyDescent="0.2">
      <c r="A482" s="62"/>
      <c r="B482" s="61"/>
      <c r="C482" s="61"/>
      <c r="D482" s="133"/>
      <c r="E482" s="133"/>
      <c r="F482" s="133"/>
      <c r="G482" s="135"/>
      <c r="H482" s="20"/>
      <c r="I482" s="3"/>
      <c r="J482" s="108"/>
    </row>
    <row r="483" spans="1:10" s="60" customFormat="1" x14ac:dyDescent="0.2">
      <c r="A483" s="62"/>
      <c r="B483" s="61"/>
      <c r="C483" s="61"/>
      <c r="D483" s="133"/>
      <c r="E483" s="133"/>
      <c r="F483" s="133"/>
      <c r="G483" s="135"/>
      <c r="H483" s="20"/>
      <c r="I483" s="3"/>
      <c r="J483" s="108"/>
    </row>
    <row r="484" spans="1:10" s="60" customFormat="1" x14ac:dyDescent="0.2">
      <c r="A484" s="62"/>
      <c r="B484" s="61"/>
      <c r="C484" s="61"/>
      <c r="D484" s="133"/>
      <c r="E484" s="133"/>
      <c r="F484" s="133"/>
      <c r="G484" s="135"/>
      <c r="H484" s="20"/>
      <c r="I484" s="3"/>
      <c r="J484" s="108"/>
    </row>
    <row r="485" spans="1:10" s="60" customFormat="1" x14ac:dyDescent="0.2">
      <c r="A485" s="62"/>
      <c r="B485" s="61"/>
      <c r="C485" s="61"/>
      <c r="D485" s="133"/>
      <c r="E485" s="133"/>
      <c r="F485" s="133"/>
      <c r="G485" s="135"/>
      <c r="H485" s="20"/>
      <c r="I485" s="3"/>
      <c r="J485" s="108"/>
    </row>
    <row r="486" spans="1:10" s="60" customFormat="1" x14ac:dyDescent="0.2">
      <c r="A486" s="62"/>
      <c r="B486" s="61"/>
      <c r="C486" s="61"/>
      <c r="D486" s="133"/>
      <c r="E486" s="133"/>
      <c r="F486" s="133"/>
      <c r="G486" s="135"/>
      <c r="H486" s="20"/>
      <c r="I486" s="3"/>
      <c r="J486" s="108"/>
    </row>
    <row r="487" spans="1:10" s="60" customFormat="1" x14ac:dyDescent="0.2">
      <c r="A487" s="62"/>
      <c r="B487" s="61"/>
      <c r="C487" s="61"/>
      <c r="D487" s="133"/>
      <c r="E487" s="133"/>
      <c r="F487" s="133"/>
      <c r="G487" s="135"/>
      <c r="H487" s="20"/>
      <c r="I487" s="3"/>
      <c r="J487" s="108"/>
    </row>
    <row r="488" spans="1:10" s="60" customFormat="1" x14ac:dyDescent="0.2">
      <c r="A488" s="62"/>
      <c r="B488" s="61"/>
      <c r="C488" s="61"/>
      <c r="D488" s="133"/>
      <c r="E488" s="133"/>
      <c r="F488" s="133"/>
      <c r="G488" s="135"/>
      <c r="H488" s="20"/>
      <c r="I488" s="3"/>
      <c r="J488" s="108"/>
    </row>
    <row r="489" spans="1:10" s="60" customFormat="1" x14ac:dyDescent="0.2">
      <c r="A489" s="62"/>
      <c r="B489" s="61"/>
      <c r="C489" s="61"/>
      <c r="D489" s="133"/>
      <c r="E489" s="133"/>
      <c r="F489" s="133"/>
      <c r="G489" s="135"/>
      <c r="H489" s="20"/>
      <c r="I489" s="3"/>
      <c r="J489" s="108"/>
    </row>
    <row r="490" spans="1:10" s="60" customFormat="1" x14ac:dyDescent="0.2">
      <c r="A490" s="62"/>
      <c r="B490" s="61"/>
      <c r="C490" s="61"/>
      <c r="D490" s="133"/>
      <c r="E490" s="133"/>
      <c r="F490" s="133"/>
      <c r="G490" s="135"/>
      <c r="H490" s="20"/>
      <c r="I490" s="3"/>
      <c r="J490" s="108"/>
    </row>
    <row r="491" spans="1:10" s="60" customFormat="1" x14ac:dyDescent="0.2">
      <c r="A491" s="62"/>
      <c r="B491" s="61"/>
      <c r="C491" s="61"/>
      <c r="D491" s="133"/>
      <c r="E491" s="133"/>
      <c r="F491" s="133"/>
      <c r="G491" s="135"/>
      <c r="H491" s="20"/>
      <c r="I491" s="3"/>
      <c r="J491" s="108"/>
    </row>
    <row r="492" spans="1:10" s="60" customFormat="1" x14ac:dyDescent="0.2">
      <c r="A492" s="62"/>
      <c r="B492" s="61"/>
      <c r="C492" s="61"/>
      <c r="D492" s="133"/>
      <c r="E492" s="133"/>
      <c r="F492" s="133"/>
      <c r="G492" s="135"/>
      <c r="H492" s="20"/>
      <c r="I492" s="3"/>
      <c r="J492" s="108"/>
    </row>
    <row r="493" spans="1:10" s="60" customFormat="1" x14ac:dyDescent="0.2">
      <c r="A493" s="62"/>
      <c r="B493" s="61"/>
      <c r="C493" s="61"/>
      <c r="D493" s="133"/>
      <c r="E493" s="133"/>
      <c r="F493" s="133"/>
      <c r="G493" s="135"/>
      <c r="H493" s="20"/>
      <c r="I493" s="3"/>
      <c r="J493" s="108"/>
    </row>
    <row r="494" spans="1:10" s="60" customFormat="1" x14ac:dyDescent="0.2">
      <c r="A494" s="62"/>
      <c r="B494" s="61"/>
      <c r="C494" s="61"/>
      <c r="D494" s="133"/>
      <c r="E494" s="133"/>
      <c r="F494" s="133"/>
      <c r="G494" s="135"/>
      <c r="H494" s="20"/>
      <c r="I494" s="3"/>
      <c r="J494" s="108"/>
    </row>
    <row r="495" spans="1:10" s="60" customFormat="1" x14ac:dyDescent="0.2">
      <c r="A495" s="62"/>
      <c r="B495" s="61"/>
      <c r="C495" s="61"/>
      <c r="D495" s="133"/>
      <c r="E495" s="133"/>
      <c r="F495" s="133"/>
      <c r="G495" s="135"/>
      <c r="H495" s="20"/>
      <c r="I495" s="3"/>
      <c r="J495" s="108"/>
    </row>
    <row r="496" spans="1:10" s="60" customFormat="1" x14ac:dyDescent="0.2">
      <c r="A496" s="62"/>
      <c r="B496" s="61"/>
      <c r="C496" s="61"/>
      <c r="D496" s="133"/>
      <c r="E496" s="133"/>
      <c r="F496" s="133"/>
      <c r="G496" s="135"/>
      <c r="H496" s="20"/>
      <c r="I496" s="3"/>
      <c r="J496" s="108"/>
    </row>
    <row r="497" spans="1:10" s="60" customFormat="1" x14ac:dyDescent="0.2">
      <c r="A497" s="62"/>
      <c r="B497" s="61"/>
      <c r="C497" s="61"/>
      <c r="D497" s="133"/>
      <c r="E497" s="133"/>
      <c r="F497" s="133"/>
      <c r="G497" s="135"/>
      <c r="H497" s="20"/>
      <c r="I497" s="3"/>
      <c r="J497" s="108"/>
    </row>
    <row r="498" spans="1:10" s="60" customFormat="1" x14ac:dyDescent="0.2">
      <c r="A498" s="62"/>
      <c r="B498" s="61"/>
      <c r="C498" s="61"/>
      <c r="D498" s="133"/>
      <c r="E498" s="133"/>
      <c r="F498" s="133"/>
      <c r="G498" s="135"/>
      <c r="H498" s="20"/>
      <c r="I498" s="3"/>
      <c r="J498" s="108"/>
    </row>
    <row r="499" spans="1:10" s="60" customFormat="1" x14ac:dyDescent="0.2">
      <c r="A499" s="62"/>
      <c r="B499" s="61"/>
      <c r="C499" s="61"/>
      <c r="D499" s="133"/>
      <c r="E499" s="133"/>
      <c r="F499" s="133"/>
      <c r="G499" s="135"/>
      <c r="H499" s="20"/>
      <c r="I499" s="3"/>
      <c r="J499" s="108"/>
    </row>
    <row r="500" spans="1:10" s="60" customFormat="1" x14ac:dyDescent="0.2">
      <c r="A500" s="62"/>
      <c r="B500" s="61"/>
      <c r="C500" s="61"/>
      <c r="D500" s="133"/>
      <c r="E500" s="133"/>
      <c r="F500" s="133"/>
      <c r="G500" s="135"/>
      <c r="H500" s="20"/>
      <c r="I500" s="3"/>
      <c r="J500" s="108"/>
    </row>
    <row r="501" spans="1:10" s="60" customFormat="1" x14ac:dyDescent="0.2">
      <c r="A501" s="62"/>
      <c r="B501" s="61"/>
      <c r="C501" s="61"/>
      <c r="D501" s="133"/>
      <c r="E501" s="133"/>
      <c r="F501" s="133"/>
      <c r="G501" s="135"/>
      <c r="H501" s="20"/>
      <c r="I501" s="3"/>
      <c r="J501" s="108"/>
    </row>
    <row r="502" spans="1:10" s="60" customFormat="1" x14ac:dyDescent="0.2">
      <c r="A502" s="62"/>
      <c r="B502" s="61"/>
      <c r="C502" s="61"/>
      <c r="D502" s="133"/>
      <c r="E502" s="133"/>
      <c r="F502" s="133"/>
      <c r="G502" s="135"/>
      <c r="H502" s="20"/>
      <c r="I502" s="3"/>
      <c r="J502" s="108"/>
    </row>
    <row r="503" spans="1:10" s="60" customFormat="1" x14ac:dyDescent="0.2">
      <c r="A503" s="62"/>
      <c r="B503" s="61"/>
      <c r="C503" s="61"/>
      <c r="D503" s="133"/>
      <c r="E503" s="133"/>
      <c r="F503" s="133"/>
      <c r="G503" s="135"/>
      <c r="H503" s="20"/>
      <c r="I503" s="3"/>
      <c r="J503" s="108"/>
    </row>
    <row r="504" spans="1:10" s="60" customFormat="1" x14ac:dyDescent="0.2">
      <c r="A504" s="62"/>
      <c r="B504" s="61"/>
      <c r="C504" s="61"/>
      <c r="D504" s="133"/>
      <c r="E504" s="133"/>
      <c r="F504" s="133"/>
      <c r="G504" s="135"/>
      <c r="H504" s="20"/>
      <c r="I504" s="3"/>
      <c r="J504" s="108"/>
    </row>
    <row r="505" spans="1:10" s="60" customFormat="1" x14ac:dyDescent="0.2">
      <c r="A505" s="62"/>
      <c r="B505" s="61"/>
      <c r="C505" s="61"/>
      <c r="D505" s="133"/>
      <c r="E505" s="133"/>
      <c r="F505" s="133"/>
      <c r="G505" s="135"/>
      <c r="H505" s="20"/>
      <c r="I505" s="3"/>
      <c r="J505" s="108"/>
    </row>
    <row r="506" spans="1:10" s="60" customFormat="1" x14ac:dyDescent="0.2">
      <c r="A506" s="62"/>
      <c r="B506" s="61"/>
      <c r="C506" s="61"/>
      <c r="D506" s="133"/>
      <c r="E506" s="133"/>
      <c r="F506" s="133"/>
      <c r="G506" s="135"/>
      <c r="H506" s="20"/>
      <c r="I506" s="3"/>
      <c r="J506" s="108"/>
    </row>
    <row r="507" spans="1:10" s="60" customFormat="1" x14ac:dyDescent="0.2">
      <c r="A507" s="62"/>
      <c r="B507" s="61"/>
      <c r="C507" s="61"/>
      <c r="D507" s="133"/>
      <c r="E507" s="133"/>
      <c r="F507" s="133"/>
      <c r="G507" s="135"/>
      <c r="H507" s="20"/>
      <c r="I507" s="3"/>
      <c r="J507" s="108"/>
    </row>
    <row r="508" spans="1:10" s="60" customFormat="1" x14ac:dyDescent="0.2">
      <c r="A508" s="62"/>
      <c r="B508" s="61"/>
      <c r="C508" s="61"/>
      <c r="D508" s="133"/>
      <c r="E508" s="133"/>
      <c r="F508" s="133"/>
      <c r="G508" s="135"/>
      <c r="H508" s="20"/>
      <c r="I508" s="3"/>
      <c r="J508" s="108"/>
    </row>
    <row r="509" spans="1:10" s="60" customFormat="1" x14ac:dyDescent="0.2">
      <c r="A509" s="62"/>
      <c r="B509" s="61"/>
      <c r="C509" s="61"/>
      <c r="D509" s="133"/>
      <c r="E509" s="133"/>
      <c r="F509" s="133"/>
      <c r="G509" s="135"/>
      <c r="H509" s="20"/>
      <c r="I509" s="3"/>
      <c r="J509" s="108"/>
    </row>
    <row r="510" spans="1:10" s="60" customFormat="1" x14ac:dyDescent="0.2">
      <c r="A510" s="62"/>
      <c r="B510" s="61"/>
      <c r="C510" s="61"/>
      <c r="D510" s="133"/>
      <c r="E510" s="133"/>
      <c r="F510" s="133"/>
      <c r="G510" s="135"/>
      <c r="H510" s="20"/>
      <c r="I510" s="3"/>
      <c r="J510" s="108"/>
    </row>
    <row r="511" spans="1:10" s="60" customFormat="1" x14ac:dyDescent="0.2">
      <c r="A511" s="62"/>
      <c r="B511" s="61"/>
      <c r="C511" s="61"/>
      <c r="D511" s="133"/>
      <c r="E511" s="133"/>
      <c r="F511" s="133"/>
      <c r="G511" s="135"/>
      <c r="H511" s="20"/>
      <c r="I511" s="3"/>
      <c r="J511" s="108"/>
    </row>
    <row r="512" spans="1:10" s="60" customFormat="1" x14ac:dyDescent="0.2">
      <c r="A512" s="62"/>
      <c r="B512" s="61"/>
      <c r="C512" s="61"/>
      <c r="D512" s="133"/>
      <c r="E512" s="133"/>
      <c r="F512" s="133"/>
      <c r="G512" s="135"/>
      <c r="H512" s="20"/>
      <c r="I512" s="3"/>
      <c r="J512" s="108"/>
    </row>
    <row r="513" spans="1:10" s="60" customFormat="1" x14ac:dyDescent="0.2">
      <c r="A513" s="62"/>
      <c r="B513" s="61"/>
      <c r="C513" s="61"/>
      <c r="D513" s="133"/>
      <c r="E513" s="133"/>
      <c r="F513" s="133"/>
      <c r="G513" s="135"/>
      <c r="H513" s="20"/>
      <c r="I513" s="3"/>
      <c r="J513" s="108"/>
    </row>
    <row r="514" spans="1:10" s="60" customFormat="1" x14ac:dyDescent="0.2">
      <c r="A514" s="62"/>
      <c r="B514" s="61"/>
      <c r="C514" s="61"/>
      <c r="D514" s="133"/>
      <c r="E514" s="133"/>
      <c r="F514" s="133"/>
      <c r="G514" s="135"/>
      <c r="H514" s="20"/>
      <c r="I514" s="3"/>
      <c r="J514" s="108"/>
    </row>
    <row r="515" spans="1:10" s="60" customFormat="1" x14ac:dyDescent="0.2">
      <c r="A515" s="62"/>
      <c r="B515" s="61"/>
      <c r="C515" s="61"/>
      <c r="D515" s="133"/>
      <c r="E515" s="133"/>
      <c r="F515" s="133"/>
      <c r="G515" s="135"/>
      <c r="H515" s="20"/>
      <c r="I515" s="3"/>
      <c r="J515" s="108"/>
    </row>
    <row r="516" spans="1:10" s="60" customFormat="1" x14ac:dyDescent="0.2">
      <c r="A516" s="62"/>
      <c r="B516" s="61"/>
      <c r="C516" s="61"/>
      <c r="D516" s="133"/>
      <c r="E516" s="133"/>
      <c r="F516" s="133"/>
      <c r="G516" s="135"/>
      <c r="H516" s="20"/>
      <c r="I516" s="3"/>
      <c r="J516" s="108"/>
    </row>
    <row r="517" spans="1:10" s="60" customFormat="1" x14ac:dyDescent="0.2">
      <c r="A517" s="62"/>
      <c r="B517" s="61"/>
      <c r="C517" s="61"/>
      <c r="D517" s="133"/>
      <c r="E517" s="133"/>
      <c r="F517" s="133"/>
      <c r="G517" s="135"/>
      <c r="H517" s="20"/>
      <c r="I517" s="3"/>
      <c r="J517" s="108"/>
    </row>
    <row r="518" spans="1:10" s="60" customFormat="1" x14ac:dyDescent="0.2">
      <c r="A518" s="62"/>
      <c r="B518" s="61"/>
      <c r="C518" s="61"/>
      <c r="D518" s="133"/>
      <c r="E518" s="133"/>
      <c r="F518" s="133"/>
      <c r="G518" s="135"/>
      <c r="H518" s="20"/>
      <c r="I518" s="3"/>
      <c r="J518" s="108"/>
    </row>
    <row r="519" spans="1:10" s="60" customFormat="1" x14ac:dyDescent="0.2">
      <c r="A519" s="62"/>
      <c r="B519" s="61"/>
      <c r="C519" s="61"/>
      <c r="D519" s="133"/>
      <c r="E519" s="133"/>
      <c r="F519" s="133"/>
      <c r="G519" s="135"/>
      <c r="H519" s="20"/>
      <c r="I519" s="3"/>
      <c r="J519" s="108"/>
    </row>
    <row r="520" spans="1:10" s="60" customFormat="1" x14ac:dyDescent="0.2">
      <c r="A520" s="62"/>
      <c r="B520" s="61"/>
      <c r="C520" s="61"/>
      <c r="D520" s="133"/>
      <c r="E520" s="133"/>
      <c r="F520" s="133"/>
      <c r="G520" s="135"/>
      <c r="H520" s="20"/>
      <c r="I520" s="3"/>
      <c r="J520" s="108"/>
    </row>
    <row r="521" spans="1:10" s="60" customFormat="1" x14ac:dyDescent="0.2">
      <c r="A521" s="62"/>
      <c r="B521" s="61"/>
      <c r="C521" s="61"/>
      <c r="D521" s="133"/>
      <c r="E521" s="133"/>
      <c r="F521" s="133"/>
      <c r="G521" s="135"/>
      <c r="H521" s="20"/>
      <c r="I521" s="3"/>
      <c r="J521" s="108"/>
    </row>
    <row r="522" spans="1:10" s="60" customFormat="1" x14ac:dyDescent="0.2">
      <c r="A522" s="62"/>
      <c r="B522" s="61"/>
      <c r="C522" s="61"/>
      <c r="D522" s="133"/>
      <c r="E522" s="133"/>
      <c r="F522" s="133"/>
      <c r="G522" s="135"/>
      <c r="H522" s="20"/>
      <c r="I522" s="3"/>
      <c r="J522" s="108"/>
    </row>
    <row r="523" spans="1:10" s="60" customFormat="1" x14ac:dyDescent="0.2">
      <c r="A523" s="62"/>
      <c r="B523" s="61"/>
      <c r="C523" s="61"/>
      <c r="D523" s="133"/>
      <c r="E523" s="133"/>
      <c r="F523" s="133"/>
      <c r="G523" s="135"/>
      <c r="H523" s="20"/>
      <c r="I523" s="3"/>
      <c r="J523" s="108"/>
    </row>
    <row r="524" spans="1:10" s="60" customFormat="1" x14ac:dyDescent="0.2">
      <c r="A524" s="62"/>
      <c r="B524" s="61"/>
      <c r="C524" s="61"/>
      <c r="D524" s="133"/>
      <c r="E524" s="133"/>
      <c r="F524" s="133"/>
      <c r="G524" s="135"/>
      <c r="H524" s="20"/>
      <c r="I524" s="3"/>
      <c r="J524" s="108"/>
    </row>
    <row r="525" spans="1:10" s="60" customFormat="1" x14ac:dyDescent="0.2">
      <c r="A525" s="62"/>
      <c r="B525" s="61"/>
      <c r="C525" s="61"/>
      <c r="D525" s="133"/>
      <c r="E525" s="133"/>
      <c r="F525" s="133"/>
      <c r="G525" s="135"/>
      <c r="H525" s="20"/>
      <c r="I525" s="3"/>
      <c r="J525" s="108"/>
    </row>
    <row r="526" spans="1:10" s="60" customFormat="1" x14ac:dyDescent="0.2">
      <c r="A526" s="62"/>
      <c r="B526" s="61"/>
      <c r="C526" s="61"/>
      <c r="D526" s="133"/>
      <c r="E526" s="133"/>
      <c r="F526" s="133"/>
      <c r="G526" s="135"/>
      <c r="H526" s="20"/>
      <c r="I526" s="3"/>
      <c r="J526" s="108"/>
    </row>
    <row r="527" spans="1:10" s="60" customFormat="1" x14ac:dyDescent="0.2">
      <c r="A527" s="62"/>
      <c r="B527" s="61"/>
      <c r="C527" s="61"/>
      <c r="D527" s="133"/>
      <c r="E527" s="133"/>
      <c r="F527" s="133"/>
      <c r="G527" s="135"/>
      <c r="H527" s="20"/>
      <c r="I527" s="3"/>
      <c r="J527" s="108"/>
    </row>
    <row r="528" spans="1:10" s="60" customFormat="1" x14ac:dyDescent="0.2">
      <c r="A528" s="62"/>
      <c r="B528" s="61"/>
      <c r="C528" s="61"/>
      <c r="D528" s="133"/>
      <c r="E528" s="133"/>
      <c r="F528" s="133"/>
      <c r="G528" s="135"/>
      <c r="H528" s="20"/>
      <c r="I528" s="3"/>
      <c r="J528" s="108"/>
    </row>
    <row r="529" spans="1:10" s="60" customFormat="1" x14ac:dyDescent="0.2">
      <c r="A529" s="62"/>
      <c r="B529" s="61"/>
      <c r="C529" s="61"/>
      <c r="D529" s="133"/>
      <c r="E529" s="133"/>
      <c r="F529" s="133"/>
      <c r="G529" s="135"/>
      <c r="H529" s="20"/>
      <c r="I529" s="3"/>
      <c r="J529" s="108"/>
    </row>
    <row r="530" spans="1:10" s="60" customFormat="1" x14ac:dyDescent="0.2">
      <c r="A530" s="62"/>
      <c r="B530" s="61"/>
      <c r="C530" s="61"/>
      <c r="D530" s="133"/>
      <c r="E530" s="133"/>
      <c r="F530" s="133"/>
      <c r="G530" s="135"/>
      <c r="H530" s="20"/>
      <c r="I530" s="3"/>
      <c r="J530" s="108"/>
    </row>
    <row r="531" spans="1:10" s="60" customFormat="1" x14ac:dyDescent="0.2">
      <c r="A531" s="62"/>
      <c r="B531" s="61"/>
      <c r="C531" s="61"/>
      <c r="D531" s="133"/>
      <c r="E531" s="133"/>
      <c r="F531" s="133"/>
      <c r="G531" s="135"/>
      <c r="H531" s="20"/>
      <c r="I531" s="3"/>
      <c r="J531" s="108"/>
    </row>
    <row r="532" spans="1:10" s="60" customFormat="1" x14ac:dyDescent="0.2">
      <c r="A532" s="62"/>
      <c r="B532" s="61"/>
      <c r="C532" s="61"/>
      <c r="D532" s="133"/>
      <c r="E532" s="133"/>
      <c r="F532" s="133"/>
      <c r="G532" s="135"/>
      <c r="H532" s="20"/>
      <c r="I532" s="3"/>
      <c r="J532" s="108"/>
    </row>
    <row r="533" spans="1:10" s="60" customFormat="1" x14ac:dyDescent="0.2">
      <c r="A533" s="62"/>
      <c r="B533" s="61"/>
      <c r="C533" s="61"/>
      <c r="D533" s="133"/>
      <c r="E533" s="133"/>
      <c r="F533" s="133"/>
      <c r="G533" s="135"/>
      <c r="H533" s="20"/>
      <c r="I533" s="3"/>
      <c r="J533" s="108"/>
    </row>
    <row r="534" spans="1:10" s="60" customFormat="1" x14ac:dyDescent="0.2">
      <c r="A534" s="62"/>
      <c r="B534" s="61"/>
      <c r="C534" s="61"/>
      <c r="D534" s="133"/>
      <c r="E534" s="133"/>
      <c r="F534" s="133"/>
      <c r="G534" s="135"/>
      <c r="H534" s="20"/>
      <c r="I534" s="3"/>
      <c r="J534" s="108"/>
    </row>
    <row r="535" spans="1:10" s="60" customFormat="1" x14ac:dyDescent="0.2">
      <c r="A535" s="62"/>
      <c r="B535" s="61"/>
      <c r="C535" s="61"/>
      <c r="D535" s="133"/>
      <c r="E535" s="133"/>
      <c r="F535" s="133"/>
      <c r="G535" s="135"/>
      <c r="H535" s="20"/>
      <c r="I535" s="3"/>
      <c r="J535" s="108"/>
    </row>
    <row r="536" spans="1:10" s="60" customFormat="1" x14ac:dyDescent="0.2">
      <c r="A536" s="62"/>
      <c r="B536" s="61"/>
      <c r="C536" s="61"/>
      <c r="D536" s="133"/>
      <c r="E536" s="133"/>
      <c r="F536" s="133"/>
      <c r="G536" s="135"/>
      <c r="H536" s="20"/>
      <c r="I536" s="3"/>
      <c r="J536" s="108"/>
    </row>
    <row r="537" spans="1:10" s="60" customFormat="1" x14ac:dyDescent="0.2">
      <c r="A537" s="62"/>
      <c r="B537" s="61"/>
      <c r="C537" s="61"/>
      <c r="D537" s="133"/>
      <c r="E537" s="133"/>
      <c r="F537" s="133"/>
      <c r="G537" s="135"/>
      <c r="H537" s="20"/>
      <c r="I537" s="3"/>
      <c r="J537" s="108"/>
    </row>
    <row r="538" spans="1:10" s="60" customFormat="1" x14ac:dyDescent="0.2">
      <c r="A538" s="62"/>
      <c r="B538" s="61"/>
      <c r="C538" s="61"/>
      <c r="D538" s="133"/>
      <c r="E538" s="133"/>
      <c r="F538" s="133"/>
      <c r="G538" s="135"/>
      <c r="H538" s="20"/>
      <c r="I538" s="3"/>
      <c r="J538" s="108"/>
    </row>
    <row r="539" spans="1:10" s="60" customFormat="1" x14ac:dyDescent="0.2">
      <c r="A539" s="62"/>
      <c r="B539" s="61"/>
      <c r="C539" s="61"/>
      <c r="D539" s="133"/>
      <c r="E539" s="133"/>
      <c r="F539" s="133"/>
      <c r="G539" s="135"/>
      <c r="H539" s="20"/>
      <c r="I539" s="3"/>
      <c r="J539" s="108"/>
    </row>
    <row r="540" spans="1:10" s="60" customFormat="1" x14ac:dyDescent="0.2">
      <c r="A540" s="62"/>
      <c r="B540" s="61"/>
      <c r="C540" s="61"/>
      <c r="D540" s="133"/>
      <c r="E540" s="133"/>
      <c r="F540" s="133"/>
      <c r="G540" s="135"/>
      <c r="H540" s="20"/>
      <c r="I540" s="3"/>
      <c r="J540" s="108"/>
    </row>
    <row r="541" spans="1:10" s="60" customFormat="1" x14ac:dyDescent="0.2">
      <c r="A541" s="62"/>
      <c r="B541" s="61"/>
      <c r="C541" s="61"/>
      <c r="D541" s="133"/>
      <c r="E541" s="133"/>
      <c r="F541" s="133"/>
      <c r="G541" s="135"/>
      <c r="H541" s="20"/>
      <c r="I541" s="3"/>
      <c r="J541" s="108"/>
    </row>
    <row r="542" spans="1:10" s="60" customFormat="1" x14ac:dyDescent="0.2">
      <c r="A542" s="62"/>
      <c r="B542" s="61"/>
      <c r="C542" s="61"/>
      <c r="D542" s="133"/>
      <c r="E542" s="133"/>
      <c r="F542" s="133"/>
      <c r="G542" s="135"/>
      <c r="H542" s="20"/>
      <c r="I542" s="3"/>
      <c r="J542" s="108"/>
    </row>
    <row r="543" spans="1:10" s="60" customFormat="1" x14ac:dyDescent="0.2">
      <c r="A543" s="62"/>
      <c r="B543" s="61"/>
      <c r="C543" s="61"/>
      <c r="D543" s="133"/>
      <c r="E543" s="133"/>
      <c r="F543" s="133"/>
      <c r="G543" s="135"/>
      <c r="H543" s="20"/>
      <c r="I543" s="3"/>
      <c r="J543" s="108"/>
    </row>
    <row r="544" spans="1:10" s="60" customFormat="1" x14ac:dyDescent="0.2">
      <c r="A544" s="62"/>
      <c r="B544" s="61"/>
      <c r="C544" s="61"/>
      <c r="D544" s="133"/>
      <c r="E544" s="133"/>
      <c r="F544" s="133"/>
      <c r="G544" s="135"/>
      <c r="H544" s="20"/>
      <c r="I544" s="3"/>
      <c r="J544" s="108"/>
    </row>
    <row r="545" spans="1:10" s="60" customFormat="1" x14ac:dyDescent="0.2">
      <c r="A545" s="62"/>
      <c r="B545" s="61"/>
      <c r="C545" s="61"/>
      <c r="D545" s="133"/>
      <c r="E545" s="133"/>
      <c r="F545" s="133"/>
      <c r="G545" s="135"/>
      <c r="H545" s="20"/>
      <c r="I545" s="3"/>
      <c r="J545" s="108"/>
    </row>
    <row r="546" spans="1:10" s="60" customFormat="1" x14ac:dyDescent="0.2">
      <c r="A546" s="62"/>
      <c r="B546" s="61"/>
      <c r="C546" s="61"/>
      <c r="D546" s="133"/>
      <c r="E546" s="133"/>
      <c r="F546" s="133"/>
      <c r="G546" s="135"/>
      <c r="H546" s="20"/>
      <c r="I546" s="3"/>
      <c r="J546" s="108"/>
    </row>
    <row r="547" spans="1:10" s="60" customFormat="1" x14ac:dyDescent="0.2">
      <c r="A547" s="62"/>
      <c r="B547" s="61"/>
      <c r="C547" s="61"/>
      <c r="D547" s="133"/>
      <c r="E547" s="133"/>
      <c r="F547" s="133"/>
      <c r="G547" s="135"/>
      <c r="H547" s="20"/>
      <c r="I547" s="3"/>
      <c r="J547" s="108"/>
    </row>
    <row r="548" spans="1:10" s="60" customFormat="1" x14ac:dyDescent="0.2">
      <c r="A548" s="62"/>
      <c r="B548" s="61"/>
      <c r="C548" s="61"/>
      <c r="D548" s="133"/>
      <c r="E548" s="133"/>
      <c r="F548" s="133"/>
      <c r="G548" s="135"/>
      <c r="H548" s="20"/>
      <c r="I548" s="3"/>
      <c r="J548" s="108"/>
    </row>
    <row r="549" spans="1:10" s="60" customFormat="1" x14ac:dyDescent="0.2">
      <c r="A549" s="62"/>
      <c r="B549" s="61"/>
      <c r="C549" s="61"/>
      <c r="D549" s="133"/>
      <c r="E549" s="133"/>
      <c r="F549" s="133"/>
      <c r="G549" s="135"/>
      <c r="H549" s="20"/>
      <c r="I549" s="3"/>
      <c r="J549" s="108"/>
    </row>
    <row r="550" spans="1:10" s="60" customFormat="1" x14ac:dyDescent="0.2">
      <c r="A550" s="62"/>
      <c r="B550" s="61"/>
      <c r="C550" s="61"/>
      <c r="D550" s="133"/>
      <c r="E550" s="133"/>
      <c r="F550" s="133"/>
      <c r="G550" s="135"/>
      <c r="H550" s="20"/>
      <c r="I550" s="3"/>
      <c r="J550" s="108"/>
    </row>
    <row r="551" spans="1:10" s="60" customFormat="1" x14ac:dyDescent="0.2">
      <c r="A551" s="62"/>
      <c r="B551" s="61"/>
      <c r="C551" s="61"/>
      <c r="D551" s="133"/>
      <c r="E551" s="133"/>
      <c r="F551" s="133"/>
      <c r="G551" s="135"/>
      <c r="H551" s="20"/>
      <c r="I551" s="3"/>
      <c r="J551" s="108"/>
    </row>
    <row r="552" spans="1:10" s="60" customFormat="1" x14ac:dyDescent="0.2">
      <c r="A552" s="62"/>
      <c r="B552" s="61"/>
      <c r="C552" s="61"/>
      <c r="D552" s="133"/>
      <c r="E552" s="133"/>
      <c r="F552" s="133"/>
      <c r="G552" s="135"/>
      <c r="H552" s="20"/>
      <c r="I552" s="3"/>
      <c r="J552" s="108"/>
    </row>
    <row r="553" spans="1:10" s="60" customFormat="1" x14ac:dyDescent="0.2">
      <c r="A553" s="62"/>
      <c r="B553" s="61"/>
      <c r="C553" s="61"/>
      <c r="D553" s="133"/>
      <c r="E553" s="133"/>
      <c r="F553" s="133"/>
      <c r="G553" s="135"/>
      <c r="H553" s="20"/>
      <c r="I553" s="3"/>
      <c r="J553" s="108"/>
    </row>
    <row r="554" spans="1:10" s="60" customFormat="1" x14ac:dyDescent="0.2">
      <c r="A554" s="62"/>
      <c r="B554" s="61"/>
      <c r="C554" s="61"/>
      <c r="D554" s="133"/>
      <c r="E554" s="133"/>
      <c r="F554" s="133"/>
      <c r="G554" s="135"/>
      <c r="H554" s="20"/>
      <c r="I554" s="3"/>
      <c r="J554" s="108"/>
    </row>
    <row r="555" spans="1:10" s="60" customFormat="1" x14ac:dyDescent="0.2">
      <c r="A555" s="62"/>
      <c r="B555" s="61"/>
      <c r="C555" s="61"/>
      <c r="D555" s="133"/>
      <c r="E555" s="133"/>
      <c r="F555" s="133"/>
      <c r="G555" s="135"/>
      <c r="H555" s="20"/>
      <c r="I555" s="3"/>
      <c r="J555" s="108"/>
    </row>
    <row r="556" spans="1:10" s="60" customFormat="1" x14ac:dyDescent="0.2">
      <c r="A556" s="62"/>
      <c r="B556" s="61"/>
      <c r="C556" s="61"/>
      <c r="D556" s="133"/>
      <c r="E556" s="133"/>
      <c r="F556" s="133"/>
      <c r="G556" s="135"/>
      <c r="H556" s="20"/>
      <c r="I556" s="3"/>
      <c r="J556" s="108"/>
    </row>
    <row r="557" spans="1:10" s="60" customFormat="1" x14ac:dyDescent="0.2">
      <c r="A557" s="62"/>
      <c r="B557" s="61"/>
      <c r="C557" s="61"/>
      <c r="D557" s="133"/>
      <c r="E557" s="133"/>
      <c r="F557" s="133"/>
      <c r="G557" s="135"/>
      <c r="H557" s="20"/>
      <c r="I557" s="3"/>
      <c r="J557" s="108"/>
    </row>
    <row r="558" spans="1:10" s="60" customFormat="1" x14ac:dyDescent="0.2">
      <c r="A558" s="62"/>
      <c r="B558" s="61"/>
      <c r="C558" s="61"/>
      <c r="D558" s="133"/>
      <c r="E558" s="133"/>
      <c r="F558" s="133"/>
      <c r="G558" s="135"/>
      <c r="H558" s="20"/>
      <c r="I558" s="3"/>
      <c r="J558" s="108"/>
    </row>
    <row r="559" spans="1:10" s="60" customFormat="1" x14ac:dyDescent="0.2">
      <c r="A559" s="62"/>
      <c r="B559" s="61"/>
      <c r="C559" s="61"/>
      <c r="D559" s="133"/>
      <c r="E559" s="133"/>
      <c r="F559" s="133"/>
      <c r="G559" s="135"/>
      <c r="H559" s="20"/>
      <c r="I559" s="3"/>
      <c r="J559" s="108"/>
    </row>
    <row r="560" spans="1:10" s="60" customFormat="1" x14ac:dyDescent="0.2">
      <c r="A560" s="62"/>
      <c r="B560" s="61"/>
      <c r="C560" s="61"/>
      <c r="D560" s="133"/>
      <c r="E560" s="133"/>
      <c r="F560" s="133"/>
      <c r="G560" s="135"/>
      <c r="H560" s="20"/>
      <c r="I560" s="3"/>
      <c r="J560" s="108"/>
    </row>
    <row r="561" spans="1:10" s="60" customFormat="1" x14ac:dyDescent="0.2">
      <c r="A561" s="62"/>
      <c r="B561" s="61"/>
      <c r="C561" s="61"/>
      <c r="D561" s="133"/>
      <c r="E561" s="133"/>
      <c r="F561" s="133"/>
      <c r="G561" s="135"/>
      <c r="H561" s="20"/>
      <c r="I561" s="3"/>
      <c r="J561" s="108"/>
    </row>
    <row r="562" spans="1:10" s="60" customFormat="1" x14ac:dyDescent="0.2">
      <c r="A562" s="62"/>
      <c r="B562" s="61"/>
      <c r="C562" s="61"/>
      <c r="D562" s="133"/>
      <c r="E562" s="133"/>
      <c r="F562" s="133"/>
      <c r="G562" s="135"/>
      <c r="H562" s="20"/>
      <c r="I562" s="3"/>
      <c r="J562" s="108"/>
    </row>
    <row r="563" spans="1:10" s="60" customFormat="1" x14ac:dyDescent="0.2">
      <c r="A563" s="62"/>
      <c r="B563" s="61"/>
      <c r="C563" s="61"/>
      <c r="D563" s="133"/>
      <c r="E563" s="133"/>
      <c r="F563" s="133"/>
      <c r="G563" s="135"/>
      <c r="H563" s="20"/>
      <c r="I563" s="3"/>
      <c r="J563" s="108"/>
    </row>
    <row r="564" spans="1:10" s="60" customFormat="1" x14ac:dyDescent="0.2">
      <c r="A564" s="62"/>
      <c r="B564" s="61"/>
      <c r="C564" s="61"/>
      <c r="D564" s="133"/>
      <c r="E564" s="133"/>
      <c r="F564" s="133"/>
      <c r="G564" s="135"/>
      <c r="H564" s="20"/>
      <c r="I564" s="3"/>
      <c r="J564" s="108"/>
    </row>
    <row r="565" spans="1:10" s="60" customFormat="1" x14ac:dyDescent="0.2">
      <c r="A565" s="62"/>
      <c r="B565" s="61"/>
      <c r="C565" s="61"/>
      <c r="D565" s="133"/>
      <c r="E565" s="133"/>
      <c r="F565" s="133"/>
      <c r="G565" s="135"/>
      <c r="H565" s="20"/>
      <c r="I565" s="3"/>
      <c r="J565" s="108"/>
    </row>
    <row r="566" spans="1:10" s="60" customFormat="1" x14ac:dyDescent="0.2">
      <c r="A566" s="62"/>
      <c r="B566" s="61"/>
      <c r="C566" s="61"/>
      <c r="D566" s="133"/>
      <c r="E566" s="133"/>
      <c r="F566" s="133"/>
      <c r="G566" s="135"/>
      <c r="H566" s="20"/>
      <c r="I566" s="3"/>
      <c r="J566" s="108"/>
    </row>
    <row r="567" spans="1:10" s="60" customFormat="1" x14ac:dyDescent="0.2">
      <c r="A567" s="62"/>
      <c r="B567" s="61"/>
      <c r="C567" s="61"/>
      <c r="D567" s="133"/>
      <c r="E567" s="133"/>
      <c r="F567" s="133"/>
      <c r="G567" s="135"/>
      <c r="H567" s="20"/>
      <c r="I567" s="3"/>
      <c r="J567" s="108"/>
    </row>
    <row r="568" spans="1:10" s="60" customFormat="1" x14ac:dyDescent="0.2">
      <c r="A568" s="62"/>
      <c r="B568" s="61"/>
      <c r="C568" s="61"/>
      <c r="D568" s="133"/>
      <c r="E568" s="133"/>
      <c r="F568" s="133"/>
      <c r="G568" s="135"/>
      <c r="H568" s="20"/>
      <c r="I568" s="3"/>
      <c r="J568" s="108"/>
    </row>
    <row r="569" spans="1:10" s="60" customFormat="1" x14ac:dyDescent="0.2">
      <c r="A569" s="62"/>
      <c r="B569" s="61"/>
      <c r="C569" s="61"/>
      <c r="D569" s="133"/>
      <c r="E569" s="133"/>
      <c r="F569" s="133"/>
      <c r="G569" s="135"/>
      <c r="H569" s="20"/>
      <c r="I569" s="3"/>
      <c r="J569" s="108"/>
    </row>
    <row r="570" spans="1:10" s="60" customFormat="1" x14ac:dyDescent="0.2">
      <c r="A570" s="62"/>
      <c r="B570" s="61"/>
      <c r="C570" s="61"/>
      <c r="D570" s="133"/>
      <c r="E570" s="133"/>
      <c r="F570" s="133"/>
      <c r="G570" s="135"/>
      <c r="H570" s="20"/>
      <c r="I570" s="3"/>
      <c r="J570" s="108"/>
    </row>
    <row r="571" spans="1:10" s="60" customFormat="1" x14ac:dyDescent="0.2">
      <c r="A571" s="62"/>
      <c r="B571" s="61"/>
      <c r="C571" s="61"/>
      <c r="D571" s="133"/>
      <c r="E571" s="133"/>
      <c r="F571" s="133"/>
      <c r="G571" s="135"/>
      <c r="H571" s="20"/>
      <c r="I571" s="3"/>
      <c r="J571" s="108"/>
    </row>
    <row r="572" spans="1:10" s="60" customFormat="1" x14ac:dyDescent="0.2">
      <c r="A572" s="62"/>
      <c r="B572" s="61"/>
      <c r="C572" s="61"/>
      <c r="D572" s="133"/>
      <c r="E572" s="133"/>
      <c r="F572" s="133"/>
      <c r="G572" s="135"/>
      <c r="H572" s="20"/>
      <c r="I572" s="3"/>
      <c r="J572" s="108"/>
    </row>
    <row r="573" spans="1:10" s="60" customFormat="1" x14ac:dyDescent="0.2">
      <c r="A573" s="62"/>
      <c r="B573" s="61"/>
      <c r="C573" s="61"/>
      <c r="D573" s="133"/>
      <c r="E573" s="133"/>
      <c r="F573" s="133"/>
      <c r="G573" s="135"/>
      <c r="H573" s="20"/>
      <c r="I573" s="3"/>
      <c r="J573" s="108"/>
    </row>
    <row r="574" spans="1:10" s="60" customFormat="1" x14ac:dyDescent="0.2">
      <c r="A574" s="62"/>
      <c r="B574" s="61"/>
      <c r="C574" s="61"/>
      <c r="D574" s="133"/>
      <c r="E574" s="133"/>
      <c r="F574" s="133"/>
      <c r="G574" s="135"/>
      <c r="H574" s="20"/>
      <c r="I574" s="3"/>
      <c r="J574" s="108"/>
    </row>
    <row r="575" spans="1:10" s="60" customFormat="1" x14ac:dyDescent="0.2">
      <c r="A575" s="62"/>
      <c r="B575" s="61"/>
      <c r="C575" s="61"/>
      <c r="D575" s="133"/>
      <c r="E575" s="133"/>
      <c r="F575" s="133"/>
      <c r="G575" s="135"/>
      <c r="H575" s="20"/>
      <c r="I575" s="3"/>
      <c r="J575" s="108"/>
    </row>
    <row r="576" spans="1:10" s="60" customFormat="1" x14ac:dyDescent="0.2">
      <c r="A576" s="62"/>
      <c r="B576" s="61"/>
      <c r="C576" s="61"/>
      <c r="D576" s="133"/>
      <c r="E576" s="133"/>
      <c r="F576" s="133"/>
      <c r="G576" s="135"/>
      <c r="H576" s="20"/>
      <c r="I576" s="3"/>
      <c r="J576" s="108"/>
    </row>
    <row r="577" spans="1:10" s="60" customFormat="1" x14ac:dyDescent="0.2">
      <c r="A577" s="62"/>
      <c r="B577" s="61"/>
      <c r="C577" s="61"/>
      <c r="D577" s="133"/>
      <c r="E577" s="133"/>
      <c r="F577" s="133"/>
      <c r="G577" s="135"/>
      <c r="H577" s="20"/>
      <c r="I577" s="3"/>
      <c r="J577" s="108"/>
    </row>
    <row r="578" spans="1:10" s="60" customFormat="1" x14ac:dyDescent="0.2">
      <c r="A578" s="64"/>
      <c r="B578" s="63"/>
      <c r="C578" s="63"/>
      <c r="D578" s="132"/>
      <c r="E578" s="132"/>
      <c r="F578" s="132"/>
      <c r="G578" s="134"/>
      <c r="H578" s="21"/>
      <c r="I578" s="3"/>
      <c r="J578" s="108"/>
    </row>
  </sheetData>
  <sheetProtection algorithmName="SHA-512" hashValue="2gP1iRep+RO9DPPYmEWJY478r8axW1SMvyPHvVKC6usFyFBgsQ84dVhW7D4m8ZSjZtxys8ey2j3S+wH8PSxJsA==" saltValue="IlvE7wZ4HAmGgVnPNJMQzA==" spinCount="100000" sheet="1" formatCells="0" formatColumns="0" formatRows="0"/>
  <customSheetViews>
    <customSheetView guid="{B8E02330-2419-4DE6-AD01-7ACC7A5D18DD}" scale="75" topLeftCell="A171">
      <selection activeCell="A2" sqref="A2:H175"/>
      <pageMargins left="0.75" right="0.75" top="1" bottom="1" header="0.5" footer="0.5"/>
      <pageSetup orientation="portrait" r:id="rId1"/>
      <headerFooter alignWithMargins="0"/>
    </customSheetView>
  </customSheetViews>
  <mergeCells count="136">
    <mergeCell ref="H172:I172"/>
    <mergeCell ref="H173:I173"/>
    <mergeCell ref="H174:I174"/>
    <mergeCell ref="H175:I175"/>
    <mergeCell ref="H83:H88"/>
    <mergeCell ref="I83:I88"/>
    <mergeCell ref="H167:I167"/>
    <mergeCell ref="H168:I168"/>
    <mergeCell ref="H169:I169"/>
    <mergeCell ref="H170:I170"/>
    <mergeCell ref="H171:I171"/>
    <mergeCell ref="H162:I162"/>
    <mergeCell ref="H163:I163"/>
    <mergeCell ref="H164:I164"/>
    <mergeCell ref="H165:I165"/>
    <mergeCell ref="H166:I166"/>
    <mergeCell ref="H157:I157"/>
    <mergeCell ref="H158:I158"/>
    <mergeCell ref="H159:I159"/>
    <mergeCell ref="H160:I160"/>
    <mergeCell ref="H161:I161"/>
    <mergeCell ref="H151:I151"/>
    <mergeCell ref="H152:I152"/>
    <mergeCell ref="H154:I154"/>
    <mergeCell ref="H155:I155"/>
    <mergeCell ref="H156:I156"/>
    <mergeCell ref="I133:I138"/>
    <mergeCell ref="I139:I143"/>
    <mergeCell ref="I106:I110"/>
    <mergeCell ref="I111:I114"/>
    <mergeCell ref="I115:I118"/>
    <mergeCell ref="I119:I125"/>
    <mergeCell ref="I126:I131"/>
    <mergeCell ref="A150:H150"/>
    <mergeCell ref="A151:B152"/>
    <mergeCell ref="D148:F148"/>
    <mergeCell ref="D149:F149"/>
    <mergeCell ref="C152:E152"/>
    <mergeCell ref="C151:E151"/>
    <mergeCell ref="A133:A138"/>
    <mergeCell ref="B126:B131"/>
    <mergeCell ref="B139:B143"/>
    <mergeCell ref="A145:H145"/>
    <mergeCell ref="H119:H125"/>
    <mergeCell ref="H115:H118"/>
    <mergeCell ref="A146:C149"/>
    <mergeCell ref="H111:H114"/>
    <mergeCell ref="D146:F146"/>
    <mergeCell ref="I73:I78"/>
    <mergeCell ref="I79:I82"/>
    <mergeCell ref="I96:I100"/>
    <mergeCell ref="I101:I105"/>
    <mergeCell ref="I37:I42"/>
    <mergeCell ref="I49:I55"/>
    <mergeCell ref="I56:I62"/>
    <mergeCell ref="I63:I68"/>
    <mergeCell ref="I69:I72"/>
    <mergeCell ref="I89:I93"/>
    <mergeCell ref="I16:I20"/>
    <mergeCell ref="I21:I24"/>
    <mergeCell ref="I43:I48"/>
    <mergeCell ref="I31:I36"/>
    <mergeCell ref="I25:I30"/>
    <mergeCell ref="E1:I1"/>
    <mergeCell ref="I3:I7"/>
    <mergeCell ref="I8:I14"/>
    <mergeCell ref="H8:H14"/>
    <mergeCell ref="H21:H24"/>
    <mergeCell ref="H16:H20"/>
    <mergeCell ref="H3:H7"/>
    <mergeCell ref="H43:H48"/>
    <mergeCell ref="D147:F147"/>
    <mergeCell ref="B133:B138"/>
    <mergeCell ref="H96:H100"/>
    <mergeCell ref="A73:A78"/>
    <mergeCell ref="H101:H105"/>
    <mergeCell ref="B96:B100"/>
    <mergeCell ref="A96:A100"/>
    <mergeCell ref="B101:B105"/>
    <mergeCell ref="H133:H138"/>
    <mergeCell ref="A139:A143"/>
    <mergeCell ref="H79:H82"/>
    <mergeCell ref="B73:B78"/>
    <mergeCell ref="A79:A82"/>
    <mergeCell ref="B83:B88"/>
    <mergeCell ref="H139:H143"/>
    <mergeCell ref="B115:B118"/>
    <mergeCell ref="H126:H131"/>
    <mergeCell ref="A101:A105"/>
    <mergeCell ref="A115:A118"/>
    <mergeCell ref="A126:A131"/>
    <mergeCell ref="A106:A110"/>
    <mergeCell ref="B106:B110"/>
    <mergeCell ref="A119:A125"/>
    <mergeCell ref="A43:A48"/>
    <mergeCell ref="B8:B14"/>
    <mergeCell ref="A49:A55"/>
    <mergeCell ref="B119:B125"/>
    <mergeCell ref="H89:H93"/>
    <mergeCell ref="H73:H78"/>
    <mergeCell ref="A83:A88"/>
    <mergeCell ref="H106:H110"/>
    <mergeCell ref="H69:H72"/>
    <mergeCell ref="A69:A72"/>
    <mergeCell ref="A111:A114"/>
    <mergeCell ref="B111:B114"/>
    <mergeCell ref="B79:B82"/>
    <mergeCell ref="A89:A93"/>
    <mergeCell ref="B89:B93"/>
    <mergeCell ref="B69:B72"/>
    <mergeCell ref="B63:B68"/>
    <mergeCell ref="H63:H68"/>
    <mergeCell ref="A1:B1"/>
    <mergeCell ref="A63:A68"/>
    <mergeCell ref="A31:A36"/>
    <mergeCell ref="H49:H55"/>
    <mergeCell ref="H37:H42"/>
    <mergeCell ref="H25:H30"/>
    <mergeCell ref="H31:H36"/>
    <mergeCell ref="H56:H62"/>
    <mergeCell ref="B31:B36"/>
    <mergeCell ref="A37:A42"/>
    <mergeCell ref="B25:B30"/>
    <mergeCell ref="B43:B48"/>
    <mergeCell ref="B56:B62"/>
    <mergeCell ref="A25:A30"/>
    <mergeCell ref="B3:B7"/>
    <mergeCell ref="B21:B24"/>
    <mergeCell ref="A21:A24"/>
    <mergeCell ref="A8:A14"/>
    <mergeCell ref="A3:A7"/>
    <mergeCell ref="B16:B20"/>
    <mergeCell ref="A16:A20"/>
    <mergeCell ref="B37:B42"/>
    <mergeCell ref="B49:B55"/>
    <mergeCell ref="A56:A62"/>
  </mergeCells>
  <phoneticPr fontId="3" type="noConversion"/>
  <pageMargins left="0.75" right="0.75" top="1" bottom="1" header="0.5" footer="0.5"/>
  <pageSetup orientation="portrait"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K202"/>
  <sheetViews>
    <sheetView zoomScaleNormal="100" workbookViewId="0">
      <selection sqref="A1:B1"/>
    </sheetView>
  </sheetViews>
  <sheetFormatPr defaultColWidth="9.33203125" defaultRowHeight="16.5" x14ac:dyDescent="0.2"/>
  <cols>
    <col min="1" max="1" width="5.83203125" style="59" customWidth="1"/>
    <col min="2" max="2" width="18.83203125" style="68" customWidth="1"/>
    <col min="3" max="3" width="75.83203125" style="59" customWidth="1"/>
    <col min="4" max="5" width="7.83203125" style="531" customWidth="1"/>
    <col min="6" max="6" width="9" style="531" customWidth="1"/>
    <col min="7" max="7" width="9.6640625" style="532" customWidth="1"/>
    <col min="8" max="8" width="64.83203125" style="6" customWidth="1"/>
    <col min="9" max="9" width="12.5" style="6" customWidth="1"/>
    <col min="10" max="10" width="9.33203125" style="59"/>
    <col min="11" max="11" width="9.33203125" style="106"/>
    <col min="12" max="16384" width="9.33203125" style="59"/>
  </cols>
  <sheetData>
    <row r="1" spans="1:9" s="2065" customFormat="1" ht="77.25" customHeight="1" thickBot="1" x14ac:dyDescent="0.25">
      <c r="A1" s="2627" t="s">
        <v>1062</v>
      </c>
      <c r="B1" s="2628"/>
      <c r="C1" s="2058" t="s">
        <v>1063</v>
      </c>
      <c r="D1" s="2059" t="s">
        <v>1064</v>
      </c>
      <c r="E1" s="2634"/>
      <c r="F1" s="2635"/>
      <c r="G1" s="2635"/>
      <c r="H1" s="2635"/>
      <c r="I1" s="2635"/>
    </row>
    <row r="2" spans="1:9" s="106" customFormat="1" ht="36" customHeight="1" thickBot="1" x14ac:dyDescent="0.25">
      <c r="A2" s="1158" t="s">
        <v>88</v>
      </c>
      <c r="B2" s="1158" t="s">
        <v>1168</v>
      </c>
      <c r="C2" s="1196" t="s">
        <v>1165</v>
      </c>
      <c r="D2" s="1204" t="s">
        <v>45</v>
      </c>
      <c r="E2" s="1179" t="s">
        <v>1189</v>
      </c>
      <c r="F2" s="1180" t="s">
        <v>1190</v>
      </c>
      <c r="G2" s="1181" t="s">
        <v>2555</v>
      </c>
      <c r="H2" s="1182" t="s">
        <v>1118</v>
      </c>
      <c r="I2" s="1232" t="s">
        <v>2424</v>
      </c>
    </row>
    <row r="3" spans="1:9" ht="92.25" customHeight="1" thickBot="1" x14ac:dyDescent="0.25">
      <c r="A3" s="2629" t="str">
        <f>OF!A109</f>
        <v>OF22</v>
      </c>
      <c r="B3" s="2486" t="str">
        <f>OF!B109</f>
        <v>Wetland as a % of Its Contributing Area (Catchment)</v>
      </c>
      <c r="C3" s="345" t="str">
        <f>OF!C109</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3" s="501"/>
      <c r="E3" s="511"/>
      <c r="F3" s="507"/>
      <c r="G3" s="502">
        <f>(MAX(F4:F7))/MAX(E4:E7)</f>
        <v>0</v>
      </c>
      <c r="H3" s="2529" t="s">
        <v>1540</v>
      </c>
      <c r="I3" s="2326" t="s">
        <v>374</v>
      </c>
    </row>
    <row r="4" spans="1:9" ht="15" customHeight="1" x14ac:dyDescent="0.2">
      <c r="A4" s="2630"/>
      <c r="B4" s="2487"/>
      <c r="C4" s="1888" t="str">
        <f>OF!C110</f>
        <v>&lt;0.01, or catchment size unknown due to stormwater pipes that collect water from an indeterminate area.</v>
      </c>
      <c r="D4" s="218">
        <f>OF!D110</f>
        <v>0</v>
      </c>
      <c r="E4" s="309">
        <v>0</v>
      </c>
      <c r="F4" s="309">
        <f>D4*E4</f>
        <v>0</v>
      </c>
      <c r="G4" s="503"/>
      <c r="H4" s="2404"/>
      <c r="I4" s="2327"/>
    </row>
    <row r="5" spans="1:9" ht="15" customHeight="1" x14ac:dyDescent="0.2">
      <c r="A5" s="2630"/>
      <c r="B5" s="2487"/>
      <c r="C5" s="1889" t="str">
        <f>OF!C111</f>
        <v>0.01 to 0.1.</v>
      </c>
      <c r="D5" s="203">
        <f>OF!D111</f>
        <v>0</v>
      </c>
      <c r="E5" s="309">
        <v>1</v>
      </c>
      <c r="F5" s="309">
        <f>D5*E5</f>
        <v>0</v>
      </c>
      <c r="G5" s="504"/>
      <c r="H5" s="2404"/>
      <c r="I5" s="2327"/>
    </row>
    <row r="6" spans="1:9" ht="15" customHeight="1" x14ac:dyDescent="0.2">
      <c r="A6" s="2630"/>
      <c r="B6" s="2487"/>
      <c r="C6" s="1889" t="str">
        <f>OF!C112</f>
        <v>0.1 to 1.</v>
      </c>
      <c r="D6" s="203">
        <f>OF!D112</f>
        <v>0</v>
      </c>
      <c r="E6" s="309">
        <v>2</v>
      </c>
      <c r="F6" s="309">
        <f>D6*E6</f>
        <v>0</v>
      </c>
      <c r="G6" s="504"/>
      <c r="H6" s="2404"/>
      <c r="I6" s="2327"/>
    </row>
    <row r="7" spans="1:9" ht="27" customHeight="1" thickBot="1" x14ac:dyDescent="0.25">
      <c r="A7" s="2631"/>
      <c r="B7" s="2488"/>
      <c r="C7" s="1892" t="str">
        <f>OF!C113</f>
        <v xml:space="preserve">&gt;1 (wetland is larger than its catchment (e.g., wetland with flat surrounding terrain and no inlet, or is entirely isolated by dikes, or is a raised bog). </v>
      </c>
      <c r="D7" s="204">
        <f>OF!D113</f>
        <v>0</v>
      </c>
      <c r="E7" s="505">
        <v>3</v>
      </c>
      <c r="F7" s="505">
        <f>D7*E7</f>
        <v>0</v>
      </c>
      <c r="G7" s="506"/>
      <c r="H7" s="2530"/>
      <c r="I7" s="2328"/>
    </row>
    <row r="8" spans="1:9" ht="21" customHeight="1" thickBot="1" x14ac:dyDescent="0.25">
      <c r="A8" s="2484" t="str">
        <f>OF!A126</f>
        <v>OF26</v>
      </c>
      <c r="B8" s="2515" t="str">
        <f>OF!B126</f>
        <v>Internal Flow Distance (Path Length)</v>
      </c>
      <c r="C8" s="536" t="str">
        <f>OF!C126</f>
        <v xml:space="preserve">The horizontal flow distance from the wetland's inlet to outlet is: </v>
      </c>
      <c r="D8" s="306"/>
      <c r="E8" s="306"/>
      <c r="F8" s="526"/>
      <c r="G8" s="508">
        <f>MAX(F9:F14)/MAX(E9:E14)</f>
        <v>1</v>
      </c>
      <c r="H8" s="2324" t="s">
        <v>1003</v>
      </c>
      <c r="I8" s="2326" t="s">
        <v>1008</v>
      </c>
    </row>
    <row r="9" spans="1:9" ht="15" customHeight="1" x14ac:dyDescent="0.2">
      <c r="A9" s="2484"/>
      <c r="B9" s="2515"/>
      <c r="C9" s="1897" t="str">
        <f>OF!C127</f>
        <v>&lt;10 m.</v>
      </c>
      <c r="D9" s="219">
        <f>OF!D127</f>
        <v>0</v>
      </c>
      <c r="E9" s="308">
        <v>0</v>
      </c>
      <c r="F9" s="311">
        <f t="shared" ref="F9:F14" si="0">D9*E9</f>
        <v>0</v>
      </c>
      <c r="G9" s="504"/>
      <c r="H9" s="2324"/>
      <c r="I9" s="2327"/>
    </row>
    <row r="10" spans="1:9" ht="15" customHeight="1" x14ac:dyDescent="0.2">
      <c r="A10" s="2484"/>
      <c r="B10" s="2515"/>
      <c r="C10" s="1890" t="str">
        <f>OF!C128</f>
        <v>10 - 50 m.</v>
      </c>
      <c r="D10" s="232">
        <f>OF!D128</f>
        <v>0</v>
      </c>
      <c r="E10" s="308">
        <v>1</v>
      </c>
      <c r="F10" s="311">
        <f t="shared" si="0"/>
        <v>0</v>
      </c>
      <c r="G10" s="504"/>
      <c r="H10" s="2324"/>
      <c r="I10" s="2327"/>
    </row>
    <row r="11" spans="1:9" ht="15" customHeight="1" x14ac:dyDescent="0.2">
      <c r="A11" s="2484"/>
      <c r="B11" s="2515"/>
      <c r="C11" s="1890" t="str">
        <f>OF!C129</f>
        <v>50 - 100 m.</v>
      </c>
      <c r="D11" s="232">
        <f>OF!D129</f>
        <v>0</v>
      </c>
      <c r="E11" s="308">
        <v>2</v>
      </c>
      <c r="F11" s="311">
        <f t="shared" si="0"/>
        <v>0</v>
      </c>
      <c r="G11" s="504"/>
      <c r="H11" s="2324"/>
      <c r="I11" s="2327"/>
    </row>
    <row r="12" spans="1:9" ht="15" customHeight="1" x14ac:dyDescent="0.2">
      <c r="A12" s="2484"/>
      <c r="B12" s="2515"/>
      <c r="C12" s="1890" t="str">
        <f>OF!C130</f>
        <v>100 - 1000 m.</v>
      </c>
      <c r="D12" s="232">
        <f>OF!D130</f>
        <v>0</v>
      </c>
      <c r="E12" s="308">
        <v>3</v>
      </c>
      <c r="F12" s="311">
        <f t="shared" si="0"/>
        <v>0</v>
      </c>
      <c r="G12" s="504"/>
      <c r="H12" s="2324"/>
      <c r="I12" s="2327"/>
    </row>
    <row r="13" spans="1:9" ht="15" customHeight="1" x14ac:dyDescent="0.2">
      <c r="A13" s="2484"/>
      <c r="B13" s="2515"/>
      <c r="C13" s="1890" t="str">
        <f>OF!C131</f>
        <v>1- 2 km.</v>
      </c>
      <c r="D13" s="232">
        <f>OF!D131</f>
        <v>0</v>
      </c>
      <c r="E13" s="308">
        <v>4</v>
      </c>
      <c r="F13" s="311">
        <f t="shared" si="0"/>
        <v>0</v>
      </c>
      <c r="G13" s="504"/>
      <c r="H13" s="2324"/>
      <c r="I13" s="2327"/>
    </row>
    <row r="14" spans="1:9" ht="15" customHeight="1" thickBot="1" x14ac:dyDescent="0.25">
      <c r="A14" s="2485"/>
      <c r="B14" s="2516"/>
      <c r="C14" s="1890" t="str">
        <f>OF!C132</f>
        <v>&gt;2 km, or wetland lacks an inlet and outlet.</v>
      </c>
      <c r="D14" s="232">
        <f>OF!D132</f>
        <v>1</v>
      </c>
      <c r="E14" s="310">
        <v>6</v>
      </c>
      <c r="F14" s="311">
        <f t="shared" si="0"/>
        <v>6</v>
      </c>
      <c r="G14" s="509"/>
      <c r="H14" s="2325"/>
      <c r="I14" s="2328"/>
    </row>
    <row r="15" spans="1:9" ht="60" customHeight="1" thickBot="1" x14ac:dyDescent="0.25">
      <c r="A15" s="1573" t="str">
        <f>OF!A133</f>
        <v>OF27</v>
      </c>
      <c r="B15" s="1575" t="str">
        <f>OF!B133</f>
        <v>Growing Degree Days</v>
      </c>
      <c r="C15" s="1584" t="str">
        <f>OF!C133</f>
        <v>In Google Earth, open the KMZ file that accompanies this calculator, called NB-PEI_GrowingDegreeDays. Place your cursor over the AA and left-click. From the pop-up, enter the GRIDCODE in the next column.</v>
      </c>
      <c r="D15" s="2044">
        <f>OF!D133</f>
        <v>2135</v>
      </c>
      <c r="E15" s="2063"/>
      <c r="F15" s="521"/>
      <c r="G15" s="414">
        <f>IF((GrowD&lt;1),"",(GrowD-1305)/1328)</f>
        <v>0.625</v>
      </c>
      <c r="H15" s="1567" t="s">
        <v>1133</v>
      </c>
      <c r="I15" s="1577" t="s">
        <v>373</v>
      </c>
    </row>
    <row r="16" spans="1:9" ht="30" customHeight="1" thickBot="1" x14ac:dyDescent="0.25">
      <c r="A16" s="2495" t="str">
        <f>F!A63</f>
        <v>F11</v>
      </c>
      <c r="B16" s="2486" t="str">
        <f>F!B63</f>
        <v>% Bare Ground &amp; Thatch</v>
      </c>
      <c r="C16" s="486" t="str">
        <f>F!C63</f>
        <v>Consider the parts of the AA that lack surface water at the driest time of the growing season. Viewed from directly above the ground layer, the predominant condition in those areas at that time is:</v>
      </c>
      <c r="D16" s="306"/>
      <c r="E16" s="512"/>
      <c r="F16" s="307"/>
      <c r="G16" s="508">
        <f>MAX(F17:F20)/MAX(E17:E20)</f>
        <v>0.66666666666666663</v>
      </c>
      <c r="H16" s="2323" t="s">
        <v>571</v>
      </c>
      <c r="I16" s="2326" t="s">
        <v>369</v>
      </c>
    </row>
    <row r="17" spans="1:9" ht="42" customHeight="1" x14ac:dyDescent="0.2">
      <c r="A17" s="2484"/>
      <c r="B17" s="2487"/>
      <c r="C17" s="130" t="str">
        <f>F!C64</f>
        <v>Little or no (&lt;5%) bare ground is visible between erect stems or under canopy anywhere in the vegetated AA. Ground is extensively blanketed by dense thatch, moss, lichens, graminoids with great stem densities, or plants with ground-hugging foliage. </v>
      </c>
      <c r="D17" s="218">
        <f>F!D64</f>
        <v>0</v>
      </c>
      <c r="E17" s="309">
        <v>3</v>
      </c>
      <c r="F17" s="309">
        <f>D17*E17</f>
        <v>0</v>
      </c>
      <c r="G17" s="503"/>
      <c r="H17" s="2324"/>
      <c r="I17" s="2327"/>
    </row>
    <row r="18" spans="1:9" ht="27" customHeight="1" x14ac:dyDescent="0.2">
      <c r="A18" s="2484"/>
      <c r="B18" s="2487"/>
      <c r="C18" s="74" t="str">
        <f>F!C65</f>
        <v>Slightly bare ground (5-20% bare between plants) is visible in places, but those areas comprise less than 5% of the unflooded parts of the AA.</v>
      </c>
      <c r="D18" s="203">
        <f>F!D65</f>
        <v>1</v>
      </c>
      <c r="E18" s="309">
        <v>2</v>
      </c>
      <c r="F18" s="309">
        <f>D18*E18</f>
        <v>2</v>
      </c>
      <c r="G18" s="504"/>
      <c r="H18" s="2324"/>
      <c r="I18" s="2327"/>
    </row>
    <row r="19" spans="1:9" ht="27" customHeight="1" x14ac:dyDescent="0.2">
      <c r="A19" s="2484"/>
      <c r="B19" s="2487"/>
      <c r="C19" s="74" t="str">
        <f>F!C66</f>
        <v>Much bare ground (20-50% bare between plants) is visible in places, and those areas comprise more than 5% of the unflooded parts of the AA. </v>
      </c>
      <c r="D19" s="203">
        <f>F!D66</f>
        <v>0</v>
      </c>
      <c r="E19" s="309">
        <v>1</v>
      </c>
      <c r="F19" s="309">
        <f>D19*E19</f>
        <v>0</v>
      </c>
      <c r="G19" s="504"/>
      <c r="H19" s="2324"/>
      <c r="I19" s="2327"/>
    </row>
    <row r="20" spans="1:9" ht="15" customHeight="1" thickBot="1" x14ac:dyDescent="0.25">
      <c r="A20" s="2485"/>
      <c r="B20" s="2488"/>
      <c r="C20" s="367" t="str">
        <f>F!C67</f>
        <v>Other conditions.</v>
      </c>
      <c r="D20" s="204">
        <f>F!D67</f>
        <v>0</v>
      </c>
      <c r="E20" s="505">
        <v>0</v>
      </c>
      <c r="F20" s="505">
        <f>D20*E20</f>
        <v>0</v>
      </c>
      <c r="G20" s="506"/>
      <c r="H20" s="2325"/>
      <c r="I20" s="2328"/>
    </row>
    <row r="21" spans="1:9" ht="60" customHeight="1" thickBot="1" x14ac:dyDescent="0.25">
      <c r="A21" s="2495" t="str">
        <f>F!A69</f>
        <v>F12</v>
      </c>
      <c r="B21" s="2486" t="str">
        <f>F!B69</f>
        <v xml:space="preserve">Ground Irregularity </v>
      </c>
      <c r="C21" s="345"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21" s="308"/>
      <c r="E21" s="511"/>
      <c r="F21" s="507"/>
      <c r="G21" s="502">
        <f>MAX(F22:F24)/MAX(E22:E24)</f>
        <v>0.5</v>
      </c>
      <c r="H21" s="2529" t="s">
        <v>68</v>
      </c>
      <c r="I21" s="2326" t="s">
        <v>370</v>
      </c>
    </row>
    <row r="22" spans="1:9" ht="27" customHeight="1" x14ac:dyDescent="0.2">
      <c r="A22" s="2484"/>
      <c r="B22" s="2487"/>
      <c r="C22" s="130" t="str">
        <f>F!C70</f>
        <v>Few or none (minimal microtopography; &lt;1% of the land has such features, or entire AA is always water-covered).</v>
      </c>
      <c r="D22" s="218">
        <f>F!D70</f>
        <v>0</v>
      </c>
      <c r="E22" s="309">
        <v>0</v>
      </c>
      <c r="F22" s="309">
        <f>D22*E22</f>
        <v>0</v>
      </c>
      <c r="G22" s="503"/>
      <c r="H22" s="2404"/>
      <c r="I22" s="2327"/>
    </row>
    <row r="23" spans="1:9" ht="15" customHeight="1" x14ac:dyDescent="0.2">
      <c r="A23" s="2484"/>
      <c r="B23" s="2487"/>
      <c r="C23" s="74" t="str">
        <f>F!C71</f>
        <v>Intermediate.</v>
      </c>
      <c r="D23" s="203">
        <f>F!D71</f>
        <v>1</v>
      </c>
      <c r="E23" s="309">
        <v>1</v>
      </c>
      <c r="F23" s="309">
        <f>D23*E23</f>
        <v>1</v>
      </c>
      <c r="G23" s="504"/>
      <c r="H23" s="2404"/>
      <c r="I23" s="2327"/>
    </row>
    <row r="24" spans="1:9" ht="15" customHeight="1" thickBot="1" x14ac:dyDescent="0.25">
      <c r="A24" s="2485"/>
      <c r="B24" s="2488"/>
      <c r="C24" s="367" t="str">
        <f>F!C72</f>
        <v>Several (extensive micro-topography).</v>
      </c>
      <c r="D24" s="204">
        <f>F!D72</f>
        <v>0</v>
      </c>
      <c r="E24" s="505">
        <v>2</v>
      </c>
      <c r="F24" s="505">
        <f>D24*E24</f>
        <v>0</v>
      </c>
      <c r="G24" s="506"/>
      <c r="H24" s="2530"/>
      <c r="I24" s="2328"/>
    </row>
    <row r="25" spans="1:9" ht="45" customHeight="1" thickBot="1" x14ac:dyDescent="0.25">
      <c r="A25" s="2504" t="str">
        <f>F!A77</f>
        <v>F14</v>
      </c>
      <c r="B25" s="2487" t="str">
        <f>F!B77</f>
        <v>Soil Texture</v>
      </c>
      <c r="C25" s="487" t="str">
        <f>F!C77</f>
        <v xml:space="preserve">In parts of the AA that lack persistent water, the texture of soil in the uppermost layer is mostly:  [To determine this, use a trowel to check in at least 3 widely spaced locations, and use the soil texture key (in Appendix A of the Manual).] </v>
      </c>
      <c r="D25" s="308"/>
      <c r="E25" s="512"/>
      <c r="F25" s="307"/>
      <c r="G25" s="508">
        <f>MAX(F26:F30)/MAX(E26:E30)</f>
        <v>0.6</v>
      </c>
      <c r="H25" s="2529" t="s">
        <v>1496</v>
      </c>
      <c r="I25" s="2326" t="s">
        <v>371</v>
      </c>
    </row>
    <row r="26" spans="1:9" ht="27" customHeight="1" x14ac:dyDescent="0.2">
      <c r="A26" s="2504"/>
      <c r="B26" s="2487"/>
      <c r="C26" s="356" t="str">
        <f>F!C78</f>
        <v>Loamy: soils that may contain a little fine grit and do not make a "ribbon" longer than 2 cm when moistened, rolled, squeezed, and extended between thumb and forefinger.</v>
      </c>
      <c r="D26" s="220">
        <f>F!D78</f>
        <v>0</v>
      </c>
      <c r="E26" s="309">
        <v>2</v>
      </c>
      <c r="F26" s="309">
        <f>D26*E26</f>
        <v>0</v>
      </c>
      <c r="G26" s="503"/>
      <c r="H26" s="2404"/>
      <c r="I26" s="2327"/>
    </row>
    <row r="27" spans="1:9" ht="27" customHeight="1" x14ac:dyDescent="0.2">
      <c r="A27" s="2504"/>
      <c r="B27" s="2487"/>
      <c r="C27" s="357" t="str">
        <f>F!C79</f>
        <v>Fines: includes silt, clay, silt, soils that make a ribbon longer than 2 cm when moistened, rolled, squeezed, and extended between thumb and forefinger.</v>
      </c>
      <c r="D27" s="221">
        <f>F!D79</f>
        <v>1</v>
      </c>
      <c r="E27" s="309">
        <v>3</v>
      </c>
      <c r="F27" s="309">
        <f>D27*E27</f>
        <v>3</v>
      </c>
      <c r="G27" s="504"/>
      <c r="H27" s="2404"/>
      <c r="I27" s="2327"/>
    </row>
    <row r="28" spans="1:9" ht="15" customHeight="1" x14ac:dyDescent="0.2">
      <c r="A28" s="2504"/>
      <c r="B28" s="2487"/>
      <c r="C28" s="357" t="str">
        <f>F!C80</f>
        <v>Deep Peat, to 40 cm depth or greater.</v>
      </c>
      <c r="D28" s="221">
        <f>F!D80</f>
        <v>0</v>
      </c>
      <c r="E28" s="309">
        <v>5</v>
      </c>
      <c r="F28" s="309">
        <f>D28*E28</f>
        <v>0</v>
      </c>
      <c r="G28" s="504"/>
      <c r="H28" s="2404"/>
      <c r="I28" s="2327"/>
    </row>
    <row r="29" spans="1:9" ht="15" customHeight="1" x14ac:dyDescent="0.2">
      <c r="A29" s="2504"/>
      <c r="B29" s="2487"/>
      <c r="C29" s="357" t="str">
        <f>F!C81</f>
        <v xml:space="preserve">Shallow Peat or organic &lt;40 cm deep. </v>
      </c>
      <c r="D29" s="221">
        <f>F!D81</f>
        <v>0</v>
      </c>
      <c r="E29" s="309">
        <v>4</v>
      </c>
      <c r="F29" s="309">
        <f>D29*E29</f>
        <v>0</v>
      </c>
      <c r="G29" s="509"/>
      <c r="H29" s="2404"/>
      <c r="I29" s="2327"/>
    </row>
    <row r="30" spans="1:9" ht="27" customHeight="1" thickBot="1" x14ac:dyDescent="0.25">
      <c r="A30" s="2504"/>
      <c r="B30" s="2487"/>
      <c r="C30" s="933" t="str">
        <f>F!C82</f>
        <v>Coarse: includes sand, loamy sand, gravel, cobble, soils that do not make a ribbon when moistened, rolled, squeezed, and extended between thumb and forefinger.</v>
      </c>
      <c r="D30" s="222">
        <f>F!D82</f>
        <v>0</v>
      </c>
      <c r="E30" s="311">
        <v>1</v>
      </c>
      <c r="F30" s="311">
        <f>D30*E30</f>
        <v>0</v>
      </c>
      <c r="G30" s="509"/>
      <c r="H30" s="2530"/>
      <c r="I30" s="2328"/>
    </row>
    <row r="31" spans="1:9" ht="30" customHeight="1" thickBot="1" x14ac:dyDescent="0.25">
      <c r="A31" s="534" t="str">
        <f>F!A120</f>
        <v>F23</v>
      </c>
      <c r="B31" s="115" t="str">
        <f>F!B120</f>
        <v>Lacustrine Wetland</v>
      </c>
      <c r="C31" s="539" t="str">
        <f>F!C120</f>
        <v>The vegetated part of the AA is within or adjacent to a body of non-tidal standing open water whose size exceeds 8 hectares during most of a normal year.</v>
      </c>
      <c r="D31" s="234">
        <f>F!D120</f>
        <v>0</v>
      </c>
      <c r="E31" s="514"/>
      <c r="F31" s="521"/>
      <c r="G31" s="502">
        <f>IF((AllSat1&gt;0),"",IF((NoPersis=1),"",D31))</f>
        <v>0</v>
      </c>
      <c r="H31" s="73" t="s">
        <v>1167</v>
      </c>
      <c r="I31" s="103" t="s">
        <v>360</v>
      </c>
    </row>
    <row r="32" spans="1:9" ht="30" customHeight="1" thickBot="1" x14ac:dyDescent="0.25">
      <c r="A32" s="2517" t="str">
        <f>F!A121</f>
        <v>F24</v>
      </c>
      <c r="B32" s="2595" t="str">
        <f>F!B121</f>
        <v>% of AA Without Surface Water</v>
      </c>
      <c r="C32" s="488" t="str">
        <f>F!C121</f>
        <v>The percentage of the AA that never contains surface water during an average year (that is, except perhaps for a few hours after snowmelt or rainstorms), but which is still a wetland, is:</v>
      </c>
      <c r="D32" s="310"/>
      <c r="E32" s="523"/>
      <c r="F32" s="524"/>
      <c r="G32" s="508">
        <f>MAX(F33:F38)/MAX(E33:E38)</f>
        <v>0</v>
      </c>
      <c r="H32" s="2324" t="s">
        <v>653</v>
      </c>
      <c r="I32" s="2326" t="s">
        <v>975</v>
      </c>
    </row>
    <row r="33" spans="1:9" ht="15" customHeight="1" x14ac:dyDescent="0.2">
      <c r="A33" s="2517"/>
      <c r="B33" s="2611"/>
      <c r="C33" s="489" t="str">
        <f>F!C122</f>
        <v xml:space="preserve">&lt;1% . In other words, all or nearly all of the AA is covered by water permanently or at least seasonally.  </v>
      </c>
      <c r="D33" s="224">
        <f>F!D122</f>
        <v>1</v>
      </c>
      <c r="E33" s="309">
        <v>0</v>
      </c>
      <c r="F33" s="309">
        <f t="shared" ref="F33:F38" si="1">D33*E33</f>
        <v>0</v>
      </c>
      <c r="G33" s="504"/>
      <c r="H33" s="2324"/>
      <c r="I33" s="2327"/>
    </row>
    <row r="34" spans="1:9" ht="15" customHeight="1" x14ac:dyDescent="0.2">
      <c r="A34" s="2517"/>
      <c r="B34" s="2611"/>
      <c r="C34" s="490" t="str">
        <f>F!C123</f>
        <v>1-25% of the AA,  or &lt;1% but &gt;0.01 ha never contains surface water.</v>
      </c>
      <c r="D34" s="224">
        <f>F!D123</f>
        <v>0</v>
      </c>
      <c r="E34" s="309">
        <v>1</v>
      </c>
      <c r="F34" s="309">
        <f t="shared" si="1"/>
        <v>0</v>
      </c>
      <c r="G34" s="504"/>
      <c r="H34" s="2324"/>
      <c r="I34" s="2327"/>
    </row>
    <row r="35" spans="1:9" ht="15" customHeight="1" x14ac:dyDescent="0.2">
      <c r="A35" s="2517"/>
      <c r="B35" s="2611"/>
      <c r="C35" s="490" t="str">
        <f>F!C124</f>
        <v>25-50% of the AA never contains surface water.</v>
      </c>
      <c r="D35" s="224">
        <f>F!D124</f>
        <v>0</v>
      </c>
      <c r="E35" s="309">
        <v>2</v>
      </c>
      <c r="F35" s="309">
        <f t="shared" si="1"/>
        <v>0</v>
      </c>
      <c r="G35" s="504"/>
      <c r="H35" s="2324"/>
      <c r="I35" s="2327"/>
    </row>
    <row r="36" spans="1:9" ht="15" customHeight="1" x14ac:dyDescent="0.2">
      <c r="A36" s="2517"/>
      <c r="B36" s="2611"/>
      <c r="C36" s="490" t="str">
        <f>F!C125</f>
        <v>50-75% of the AA never contains surface water.</v>
      </c>
      <c r="D36" s="224">
        <f>F!D125</f>
        <v>0</v>
      </c>
      <c r="E36" s="309">
        <v>3</v>
      </c>
      <c r="F36" s="309">
        <f t="shared" si="1"/>
        <v>0</v>
      </c>
      <c r="G36" s="504"/>
      <c r="H36" s="2324"/>
      <c r="I36" s="2327"/>
    </row>
    <row r="37" spans="1:9" ht="27" customHeight="1" x14ac:dyDescent="0.2">
      <c r="A37" s="2517"/>
      <c r="B37" s="2611"/>
      <c r="C37" s="490" t="str">
        <f>F!C126</f>
        <v>75-99% of the AA never contains surface water, OR &gt;99% and there is at least one persistently ponded water body larger than 1 ha in the AA.</v>
      </c>
      <c r="D37" s="224">
        <f>F!D126</f>
        <v>0</v>
      </c>
      <c r="E37" s="309">
        <v>4</v>
      </c>
      <c r="F37" s="309">
        <f t="shared" si="1"/>
        <v>0</v>
      </c>
      <c r="G37" s="504"/>
      <c r="H37" s="2324"/>
      <c r="I37" s="2327"/>
    </row>
    <row r="38" spans="1:9" ht="27" customHeight="1" thickBot="1" x14ac:dyDescent="0.25">
      <c r="A38" s="2517"/>
      <c r="B38" s="2612"/>
      <c r="C38" s="540" t="str">
        <f>F!C127</f>
        <v>99-100%. AND there is no persistently ponded water body larger than 1 ha within the AA. Enter "1" and SKIP to F42 (Channel Connection).</v>
      </c>
      <c r="D38" s="235">
        <f>F!D127</f>
        <v>0</v>
      </c>
      <c r="E38" s="311">
        <v>5</v>
      </c>
      <c r="F38" s="311">
        <f t="shared" si="1"/>
        <v>0</v>
      </c>
      <c r="G38" s="509"/>
      <c r="H38" s="2324"/>
      <c r="I38" s="2328"/>
    </row>
    <row r="39" spans="1:9" ht="45" customHeight="1" thickBot="1" x14ac:dyDescent="0.25">
      <c r="A39" s="2495" t="str">
        <f>F!A128</f>
        <v>F25</v>
      </c>
      <c r="B39" s="2486" t="str">
        <f>F!B128</f>
        <v>% of AA with Persistent Surface Water</v>
      </c>
      <c r="C39" s="345"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39" s="501"/>
      <c r="E39" s="511"/>
      <c r="F39" s="507"/>
      <c r="G39" s="502">
        <f>IF((AllSat1&gt;0),"",MAX(F40:F44)/MAX(E40:E44))</f>
        <v>0.6</v>
      </c>
      <c r="H39" s="2529" t="s">
        <v>1812</v>
      </c>
      <c r="I39" s="2326" t="s">
        <v>361</v>
      </c>
    </row>
    <row r="40" spans="1:9" ht="27" customHeight="1" x14ac:dyDescent="0.2">
      <c r="A40" s="2484"/>
      <c r="B40" s="2487"/>
      <c r="C40" s="74" t="str">
        <f>F!C129</f>
        <v>None. The AA dries up completely (no water in channels either) or never has surface water during most years.  SKIP to F27.</v>
      </c>
      <c r="D40" s="203">
        <f>F!D129</f>
        <v>0</v>
      </c>
      <c r="E40" s="512">
        <v>5</v>
      </c>
      <c r="F40" s="309">
        <f>D40*E40</f>
        <v>0</v>
      </c>
      <c r="G40" s="504"/>
      <c r="H40" s="2404"/>
      <c r="I40" s="2327"/>
    </row>
    <row r="41" spans="1:9" ht="18" customHeight="1" x14ac:dyDescent="0.2">
      <c r="A41" s="2484"/>
      <c r="B41" s="2487"/>
      <c r="C41" s="74" t="str">
        <f>F!C130</f>
        <v>1-20% of the AA.</v>
      </c>
      <c r="D41" s="203">
        <f>F!D130</f>
        <v>0</v>
      </c>
      <c r="E41" s="309">
        <v>4</v>
      </c>
      <c r="F41" s="309">
        <f>D41*E41</f>
        <v>0</v>
      </c>
      <c r="G41" s="503"/>
      <c r="H41" s="2404"/>
      <c r="I41" s="2327"/>
    </row>
    <row r="42" spans="1:9" ht="18" customHeight="1" x14ac:dyDescent="0.2">
      <c r="A42" s="2484"/>
      <c r="B42" s="2487"/>
      <c r="C42" s="74" t="str">
        <f>F!C131</f>
        <v>20-50% of the AA.</v>
      </c>
      <c r="D42" s="203">
        <f>F!D131</f>
        <v>1</v>
      </c>
      <c r="E42" s="309">
        <v>3</v>
      </c>
      <c r="F42" s="309">
        <f>D42*E42</f>
        <v>3</v>
      </c>
      <c r="G42" s="504"/>
      <c r="H42" s="2404"/>
      <c r="I42" s="2327"/>
    </row>
    <row r="43" spans="1:9" ht="18" customHeight="1" x14ac:dyDescent="0.2">
      <c r="A43" s="2484"/>
      <c r="B43" s="2487"/>
      <c r="C43" s="74" t="str">
        <f>F!C132</f>
        <v>50-95% of the AA.</v>
      </c>
      <c r="D43" s="203">
        <f>F!D132</f>
        <v>0</v>
      </c>
      <c r="E43" s="309">
        <v>2</v>
      </c>
      <c r="F43" s="309">
        <f>D43*E43</f>
        <v>0</v>
      </c>
      <c r="G43" s="504"/>
      <c r="H43" s="2404"/>
      <c r="I43" s="2327"/>
    </row>
    <row r="44" spans="1:9" ht="18" customHeight="1" thickBot="1" x14ac:dyDescent="0.25">
      <c r="A44" s="2485"/>
      <c r="B44" s="2488"/>
      <c r="C44" s="367" t="str">
        <f>F!C133</f>
        <v>&gt;95% of the AA. True for many fringe wetlands.</v>
      </c>
      <c r="D44" s="204">
        <f>F!D133</f>
        <v>0</v>
      </c>
      <c r="E44" s="505">
        <v>1</v>
      </c>
      <c r="F44" s="505">
        <f>D44*E44</f>
        <v>0</v>
      </c>
      <c r="G44" s="506"/>
      <c r="H44" s="2530"/>
      <c r="I44" s="2328"/>
    </row>
    <row r="45" spans="1:9" ht="30" customHeight="1" thickBot="1" x14ac:dyDescent="0.25">
      <c r="A45" s="2632" t="str">
        <f>F!A146</f>
        <v>F28</v>
      </c>
      <c r="B45" s="2487" t="str">
        <f>F!B146</f>
        <v>Annual Water Fluctuation Range</v>
      </c>
      <c r="C45" s="486" t="str">
        <f>F!C146</f>
        <v>The annual fluctuation in surface water level within most of the parts of the AA that contain surface water at least temporarily is:</v>
      </c>
      <c r="D45" s="306"/>
      <c r="E45" s="512"/>
      <c r="F45" s="307"/>
      <c r="G45" s="508">
        <f>IF((AllSat1&gt;0),"",IF((NoSeasonal=1),"",MAX(F46:F50)/MAX(E46:E50)))</f>
        <v>0.2</v>
      </c>
      <c r="H45" s="2404" t="s">
        <v>1813</v>
      </c>
      <c r="I45" s="2326" t="s">
        <v>363</v>
      </c>
    </row>
    <row r="46" spans="1:9" ht="18" customHeight="1" x14ac:dyDescent="0.2">
      <c r="A46" s="2632"/>
      <c r="B46" s="2487"/>
      <c r="C46" s="130" t="str">
        <f>F!C147</f>
        <v>&lt;10 cm change (stable or nearly so).</v>
      </c>
      <c r="D46" s="218">
        <f>F!D147</f>
        <v>0</v>
      </c>
      <c r="E46" s="309">
        <v>5</v>
      </c>
      <c r="F46" s="309">
        <f>D46*E46</f>
        <v>0</v>
      </c>
      <c r="G46" s="503"/>
      <c r="H46" s="2404"/>
      <c r="I46" s="2327"/>
    </row>
    <row r="47" spans="1:9" ht="18" customHeight="1" x14ac:dyDescent="0.2">
      <c r="A47" s="2632"/>
      <c r="B47" s="2487"/>
      <c r="C47" s="74" t="str">
        <f>F!C148</f>
        <v>10 cm - 50 cm change.</v>
      </c>
      <c r="D47" s="203">
        <f>F!D148</f>
        <v>0</v>
      </c>
      <c r="E47" s="525">
        <v>3</v>
      </c>
      <c r="F47" s="309">
        <f>D47*E47</f>
        <v>0</v>
      </c>
      <c r="G47" s="504"/>
      <c r="H47" s="2404"/>
      <c r="I47" s="2327"/>
    </row>
    <row r="48" spans="1:9" ht="18" customHeight="1" x14ac:dyDescent="0.2">
      <c r="A48" s="2632"/>
      <c r="B48" s="2487"/>
      <c r="C48" s="74" t="str">
        <f>F!C149</f>
        <v>0.5 - 1 m change.</v>
      </c>
      <c r="D48" s="203">
        <f>F!D149</f>
        <v>0</v>
      </c>
      <c r="E48" s="525">
        <v>2</v>
      </c>
      <c r="F48" s="309">
        <f>D48*E48</f>
        <v>0</v>
      </c>
      <c r="G48" s="504"/>
      <c r="H48" s="2404"/>
      <c r="I48" s="2327"/>
    </row>
    <row r="49" spans="1:9" ht="18" customHeight="1" x14ac:dyDescent="0.2">
      <c r="A49" s="2632"/>
      <c r="B49" s="2487"/>
      <c r="C49" s="74" t="str">
        <f>F!C150</f>
        <v>1-2 m change.</v>
      </c>
      <c r="D49" s="203">
        <f>F!D150</f>
        <v>0</v>
      </c>
      <c r="E49" s="309">
        <v>1</v>
      </c>
      <c r="F49" s="309">
        <f>D49*E49</f>
        <v>0</v>
      </c>
      <c r="G49" s="504"/>
      <c r="H49" s="2404"/>
      <c r="I49" s="2327"/>
    </row>
    <row r="50" spans="1:9" ht="18" customHeight="1" thickBot="1" x14ac:dyDescent="0.25">
      <c r="A50" s="2633"/>
      <c r="B50" s="2488"/>
      <c r="C50" s="74" t="str">
        <f>F!C151</f>
        <v>&gt;2 m change.</v>
      </c>
      <c r="D50" s="203">
        <f>F!D151</f>
        <v>1</v>
      </c>
      <c r="E50" s="505">
        <v>1</v>
      </c>
      <c r="F50" s="505">
        <f>D50*E50</f>
        <v>1</v>
      </c>
      <c r="G50" s="506"/>
      <c r="H50" s="2530"/>
      <c r="I50" s="2328"/>
    </row>
    <row r="51" spans="1:9" ht="30" customHeight="1" thickBot="1" x14ac:dyDescent="0.25">
      <c r="A51" s="2630" t="str">
        <f>F!A153</f>
        <v>F29</v>
      </c>
      <c r="B51" s="2487" t="str">
        <f>F!B153</f>
        <v>Predominant Depth Class</v>
      </c>
      <c r="C51" s="345" t="str">
        <f>F!C153</f>
        <v>During most of the time when surface water is present during the growing season, its depth, averaged over the entire inundated part of the AA, is:</v>
      </c>
      <c r="D51" s="306"/>
      <c r="E51" s="512"/>
      <c r="F51" s="307"/>
      <c r="G51" s="508">
        <f>IF((AllSat1&gt;0),"",IF((TooSmall=1),"",MAX(F52:F56)/MAX(E52:E56)))</f>
        <v>1</v>
      </c>
      <c r="H51" s="2324" t="s">
        <v>1814</v>
      </c>
      <c r="I51" s="2326" t="s">
        <v>364</v>
      </c>
    </row>
    <row r="52" spans="1:9" ht="15" customHeight="1" x14ac:dyDescent="0.2">
      <c r="A52" s="2630"/>
      <c r="B52" s="2487"/>
      <c r="C52" s="130" t="str">
        <f>F!C154</f>
        <v>&lt;10 cm deep (but &gt;0).</v>
      </c>
      <c r="D52" s="218">
        <f>F!D154</f>
        <v>0</v>
      </c>
      <c r="E52" s="309">
        <v>1</v>
      </c>
      <c r="F52" s="309">
        <f>D52*E52</f>
        <v>0</v>
      </c>
      <c r="G52" s="503"/>
      <c r="H52" s="2324"/>
      <c r="I52" s="2327"/>
    </row>
    <row r="53" spans="1:9" ht="15" customHeight="1" x14ac:dyDescent="0.2">
      <c r="A53" s="2630"/>
      <c r="B53" s="2487"/>
      <c r="C53" s="74" t="str">
        <f>F!C155</f>
        <v>10 - 50 cm deep.</v>
      </c>
      <c r="D53" s="203">
        <f>F!D155</f>
        <v>0</v>
      </c>
      <c r="E53" s="309">
        <v>2</v>
      </c>
      <c r="F53" s="309">
        <f>D53*E53</f>
        <v>0</v>
      </c>
      <c r="G53" s="504"/>
      <c r="H53" s="2324"/>
      <c r="I53" s="2327"/>
    </row>
    <row r="54" spans="1:9" ht="15" customHeight="1" x14ac:dyDescent="0.2">
      <c r="A54" s="2630"/>
      <c r="B54" s="2487"/>
      <c r="C54" s="74" t="str">
        <f>F!C156</f>
        <v>0.5 - 1 m deep.</v>
      </c>
      <c r="D54" s="203">
        <f>F!D156</f>
        <v>1</v>
      </c>
      <c r="E54" s="309">
        <v>5</v>
      </c>
      <c r="F54" s="309">
        <f>D54*E54</f>
        <v>5</v>
      </c>
      <c r="G54" s="504"/>
      <c r="H54" s="2324"/>
      <c r="I54" s="2327"/>
    </row>
    <row r="55" spans="1:9" ht="15" customHeight="1" x14ac:dyDescent="0.2">
      <c r="A55" s="2630"/>
      <c r="B55" s="2487"/>
      <c r="C55" s="74" t="str">
        <f>F!C157</f>
        <v>1 - 2 m deep.</v>
      </c>
      <c r="D55" s="203">
        <f>F!D157</f>
        <v>0</v>
      </c>
      <c r="E55" s="309">
        <v>4</v>
      </c>
      <c r="F55" s="309">
        <f>D55*E55</f>
        <v>0</v>
      </c>
      <c r="G55" s="504"/>
      <c r="H55" s="2324"/>
      <c r="I55" s="2327"/>
    </row>
    <row r="56" spans="1:9" ht="15" customHeight="1" thickBot="1" x14ac:dyDescent="0.25">
      <c r="A56" s="2631"/>
      <c r="B56" s="2488"/>
      <c r="C56" s="367" t="str">
        <f>F!C158</f>
        <v>&gt;2 m deep. True for many fringe wetlands.</v>
      </c>
      <c r="D56" s="204">
        <f>F!D158</f>
        <v>0</v>
      </c>
      <c r="E56" s="505">
        <v>3</v>
      </c>
      <c r="F56" s="505">
        <f>D56*E56</f>
        <v>0</v>
      </c>
      <c r="G56" s="506"/>
      <c r="H56" s="2325"/>
      <c r="I56" s="2328"/>
    </row>
    <row r="57" spans="1:9" ht="30" customHeight="1" thickBot="1" x14ac:dyDescent="0.25">
      <c r="A57" s="2591" t="str">
        <f>F!A170</f>
        <v>F33</v>
      </c>
      <c r="B57" s="2497" t="str">
        <f>F!B170</f>
        <v xml:space="preserve">% of Ponded Water that is Open </v>
      </c>
      <c r="C57" s="362" t="str">
        <f>F!C170</f>
        <v>In ducks-eye aerial view, the percentage of the ponded water that is open (lacking emergent vegetation during most of the growing season, and unhidden by a forest or shrub canopy) is:</v>
      </c>
      <c r="D57" s="543"/>
      <c r="E57" s="511"/>
      <c r="F57" s="507"/>
      <c r="G57" s="502" t="str">
        <f>IF((AllSat1&gt;0),"",IF((TooSmall=1),"",IF((NoPonded=1),"",MAX(F58:F63)/MAX(E58:E63))))</f>
        <v/>
      </c>
      <c r="H57" s="2323" t="s">
        <v>1815</v>
      </c>
      <c r="I57" s="2326" t="s">
        <v>362</v>
      </c>
    </row>
    <row r="58" spans="1:9" ht="27" customHeight="1" x14ac:dyDescent="0.2">
      <c r="A58" s="2592"/>
      <c r="B58" s="2498"/>
      <c r="C58" s="854" t="str">
        <f>F!C171</f>
        <v>None, or &lt;1% of the AA and largest pool occupies &lt;0.01 hectares. Enter "1" and SKIP to F41 (Floating Algae &amp; Duckweed).</v>
      </c>
      <c r="D58" s="224">
        <f>F!D171</f>
        <v>0</v>
      </c>
      <c r="E58" s="316">
        <v>1</v>
      </c>
      <c r="F58" s="309">
        <f t="shared" ref="F58:F63" si="2">D58*E58</f>
        <v>0</v>
      </c>
      <c r="G58" s="503"/>
      <c r="H58" s="2324"/>
      <c r="I58" s="2327"/>
    </row>
    <row r="59" spans="1:9" ht="15" customHeight="1" x14ac:dyDescent="0.2">
      <c r="A59" s="2592"/>
      <c r="B59" s="2498"/>
      <c r="C59" s="364" t="str">
        <f>F!C172</f>
        <v>1-4% of the ponded water. Enter "1" and SKIP to F41 (Floating Algae &amp; Duckweed).</v>
      </c>
      <c r="D59" s="224">
        <f>F!D172</f>
        <v>0</v>
      </c>
      <c r="E59" s="316">
        <v>2</v>
      </c>
      <c r="F59" s="309">
        <f t="shared" si="2"/>
        <v>0</v>
      </c>
      <c r="G59" s="504"/>
      <c r="H59" s="2324"/>
      <c r="I59" s="2327"/>
    </row>
    <row r="60" spans="1:9" ht="15" customHeight="1" x14ac:dyDescent="0.2">
      <c r="A60" s="2592"/>
      <c r="B60" s="2498"/>
      <c r="C60" s="364" t="str">
        <f>F!C173</f>
        <v>5-30% of the ponded water.</v>
      </c>
      <c r="D60" s="1235">
        <f>F!D173</f>
        <v>0</v>
      </c>
      <c r="E60" s="316">
        <v>5</v>
      </c>
      <c r="F60" s="309">
        <f t="shared" si="2"/>
        <v>0</v>
      </c>
      <c r="G60" s="504"/>
      <c r="H60" s="2324"/>
      <c r="I60" s="2327"/>
    </row>
    <row r="61" spans="1:9" ht="15" customHeight="1" x14ac:dyDescent="0.2">
      <c r="A61" s="2592"/>
      <c r="B61" s="2498"/>
      <c r="C61" s="364" t="str">
        <f>F!C174</f>
        <v>30-70% of the ponded water.</v>
      </c>
      <c r="D61" s="235">
        <f>F!D174</f>
        <v>0</v>
      </c>
      <c r="E61" s="316">
        <v>4</v>
      </c>
      <c r="F61" s="309">
        <f t="shared" si="2"/>
        <v>0</v>
      </c>
      <c r="G61" s="504"/>
      <c r="H61" s="2324"/>
      <c r="I61" s="2327"/>
    </row>
    <row r="62" spans="1:9" ht="15" customHeight="1" x14ac:dyDescent="0.2">
      <c r="A62" s="2592"/>
      <c r="B62" s="2498"/>
      <c r="C62" s="364" t="str">
        <f>F!C175</f>
        <v>70-99% of the ponded water.</v>
      </c>
      <c r="D62" s="235">
        <f>F!D175</f>
        <v>0</v>
      </c>
      <c r="E62" s="316">
        <v>3</v>
      </c>
      <c r="F62" s="309">
        <f t="shared" si="2"/>
        <v>0</v>
      </c>
      <c r="G62" s="504"/>
      <c r="H62" s="2324"/>
      <c r="I62" s="2327"/>
    </row>
    <row r="63" spans="1:9" ht="15" customHeight="1" thickBot="1" x14ac:dyDescent="0.25">
      <c r="A63" s="2593"/>
      <c r="B63" s="2499"/>
      <c r="C63" s="855" t="str">
        <f>F!C176</f>
        <v xml:space="preserve">100% of the ponded water. </v>
      </c>
      <c r="D63" s="225">
        <f>F!D176</f>
        <v>0</v>
      </c>
      <c r="E63" s="317">
        <v>1</v>
      </c>
      <c r="F63" s="505">
        <f t="shared" si="2"/>
        <v>0</v>
      </c>
      <c r="G63" s="506"/>
      <c r="H63" s="2325"/>
      <c r="I63" s="2328"/>
    </row>
    <row r="64" spans="1:9" ht="30" customHeight="1" thickBot="1" x14ac:dyDescent="0.25">
      <c r="A64" s="2636" t="str">
        <f>F!A177</f>
        <v>F34</v>
      </c>
      <c r="B64" s="2486" t="str">
        <f>F!B177</f>
        <v>Width of Vegetated Zone within Wetland</v>
      </c>
      <c r="C64" s="345" t="str">
        <f>F!C177</f>
        <v>At the time during the growing season when the AA's water level is lowest, the average width of vegetated area in the AA that separates adjoining uplands from open water within the AA is:</v>
      </c>
      <c r="D64" s="501"/>
      <c r="E64" s="511"/>
      <c r="F64" s="507"/>
      <c r="G64" s="414">
        <f>IF((AllSat1&gt;0),"",IF((TooSmall=1),"",IF((NoOpenPonded=1),"",MAX(F65:F70)/MAX(E65:E70))))</f>
        <v>1</v>
      </c>
      <c r="H64" s="2323" t="s">
        <v>1185</v>
      </c>
      <c r="I64" s="2326" t="s">
        <v>365</v>
      </c>
    </row>
    <row r="65" spans="1:9" ht="15" customHeight="1" x14ac:dyDescent="0.2">
      <c r="A65" s="2632"/>
      <c r="B65" s="2487"/>
      <c r="C65" s="130" t="str">
        <f>F!C178</f>
        <v>&lt;1 m.</v>
      </c>
      <c r="D65" s="218">
        <f>F!D178</f>
        <v>0</v>
      </c>
      <c r="E65" s="309">
        <v>0</v>
      </c>
      <c r="F65" s="309">
        <f t="shared" ref="F65:F70" si="3">D65*E65</f>
        <v>0</v>
      </c>
      <c r="G65" s="1517"/>
      <c r="H65" s="2324"/>
      <c r="I65" s="2327"/>
    </row>
    <row r="66" spans="1:9" ht="15" customHeight="1" x14ac:dyDescent="0.2">
      <c r="A66" s="2632"/>
      <c r="B66" s="2487"/>
      <c r="C66" s="130" t="str">
        <f>F!C179</f>
        <v>1 - 9 m.</v>
      </c>
      <c r="D66" s="218">
        <f>F!D179</f>
        <v>0</v>
      </c>
      <c r="E66" s="309">
        <v>2</v>
      </c>
      <c r="F66" s="309">
        <f t="shared" si="3"/>
        <v>0</v>
      </c>
      <c r="G66" s="1511"/>
      <c r="H66" s="2324"/>
      <c r="I66" s="2327"/>
    </row>
    <row r="67" spans="1:9" ht="15" customHeight="1" x14ac:dyDescent="0.2">
      <c r="A67" s="2632"/>
      <c r="B67" s="2487"/>
      <c r="C67" s="130" t="str">
        <f>F!C180</f>
        <v>10 - 29 m.</v>
      </c>
      <c r="D67" s="218">
        <f>F!D180</f>
        <v>0</v>
      </c>
      <c r="E67" s="309">
        <v>3</v>
      </c>
      <c r="F67" s="309">
        <f t="shared" si="3"/>
        <v>0</v>
      </c>
      <c r="G67" s="1511"/>
      <c r="H67" s="2324"/>
      <c r="I67" s="2327"/>
    </row>
    <row r="68" spans="1:9" ht="15" customHeight="1" x14ac:dyDescent="0.2">
      <c r="A68" s="2632"/>
      <c r="B68" s="2487"/>
      <c r="C68" s="130" t="str">
        <f>F!C181</f>
        <v>30 - 49 m.</v>
      </c>
      <c r="D68" s="218">
        <f>F!D181</f>
        <v>0</v>
      </c>
      <c r="E68" s="309">
        <v>4</v>
      </c>
      <c r="F68" s="309">
        <f t="shared" si="3"/>
        <v>0</v>
      </c>
      <c r="G68" s="1511"/>
      <c r="H68" s="2324"/>
      <c r="I68" s="2327"/>
    </row>
    <row r="69" spans="1:9" ht="15" customHeight="1" x14ac:dyDescent="0.2">
      <c r="A69" s="2632"/>
      <c r="B69" s="2487"/>
      <c r="C69" s="130" t="str">
        <f>F!C182</f>
        <v>50 - 100 m.</v>
      </c>
      <c r="D69" s="218">
        <f>F!D182</f>
        <v>0</v>
      </c>
      <c r="E69" s="309">
        <v>5</v>
      </c>
      <c r="F69" s="309">
        <f t="shared" si="3"/>
        <v>0</v>
      </c>
      <c r="G69" s="1511"/>
      <c r="H69" s="2324"/>
      <c r="I69" s="2327"/>
    </row>
    <row r="70" spans="1:9" ht="15" customHeight="1" thickBot="1" x14ac:dyDescent="0.25">
      <c r="A70" s="2633"/>
      <c r="B70" s="2488"/>
      <c r="C70" s="346" t="str">
        <f>F!C183</f>
        <v>&gt; 100 m, or open water is absent at that time.</v>
      </c>
      <c r="D70" s="277">
        <f>F!D183</f>
        <v>1</v>
      </c>
      <c r="E70" s="505">
        <v>7</v>
      </c>
      <c r="F70" s="505">
        <f t="shared" si="3"/>
        <v>7</v>
      </c>
      <c r="G70" s="1512"/>
      <c r="H70" s="2325"/>
      <c r="I70" s="2328"/>
    </row>
    <row r="71" spans="1:9" ht="30" customHeight="1" thickBot="1" x14ac:dyDescent="0.25">
      <c r="A71" s="2517" t="str">
        <f>F!A195</f>
        <v>F37</v>
      </c>
      <c r="B71" s="2498" t="str">
        <f>F!B195</f>
        <v>Interspersion of Emergents &amp; Open Water</v>
      </c>
      <c r="C71" s="538" t="str">
        <f>F!C195</f>
        <v>During most of the part of the growing season when water is present, the spatial pattern of emergent vegetation within the water is mostly:</v>
      </c>
      <c r="D71" s="306"/>
      <c r="E71" s="299"/>
      <c r="F71" s="512"/>
      <c r="G71" s="508" t="str">
        <f>IF((AllSat1&gt;0),"",IF((TooSmall=1),"",IF((NoPonded=1),"",IF((NoOpenPonded+NoOpenPonded1&gt;0),"",IF((AllOpenPond=1),"",IF((NoRobustEm=1),"",MAX(F72:F74)/MAX(E72:E74)))))))</f>
        <v/>
      </c>
      <c r="H71" s="2324" t="s">
        <v>1178</v>
      </c>
      <c r="I71" s="2326" t="s">
        <v>1009</v>
      </c>
    </row>
    <row r="72" spans="1:9" ht="15" customHeight="1" x14ac:dyDescent="0.2">
      <c r="A72" s="2517"/>
      <c r="B72" s="2498"/>
      <c r="C72" s="489" t="str">
        <f>F!C196</f>
        <v>Scattered. More than 30% of such vegetation forms small islands or corridors surrounded by water.</v>
      </c>
      <c r="D72" s="223">
        <f>F!D196</f>
        <v>0</v>
      </c>
      <c r="E72" s="300">
        <v>2</v>
      </c>
      <c r="F72" s="311">
        <f>D72*E72</f>
        <v>0</v>
      </c>
      <c r="G72" s="504"/>
      <c r="H72" s="2324"/>
      <c r="I72" s="2327"/>
    </row>
    <row r="73" spans="1:9" ht="15" customHeight="1" x14ac:dyDescent="0.2">
      <c r="A73" s="2517"/>
      <c r="B73" s="2498"/>
      <c r="C73" s="490" t="str">
        <f>F!C197</f>
        <v>Intermediate.</v>
      </c>
      <c r="D73" s="224">
        <f>F!D197</f>
        <v>0</v>
      </c>
      <c r="E73" s="300">
        <v>1</v>
      </c>
      <c r="F73" s="311">
        <f>D73*E73</f>
        <v>0</v>
      </c>
      <c r="G73" s="504"/>
      <c r="H73" s="2324"/>
      <c r="I73" s="2327"/>
    </row>
    <row r="74" spans="1:9" ht="27" customHeight="1" thickBot="1" x14ac:dyDescent="0.25">
      <c r="A74" s="2517"/>
      <c r="B74" s="2498"/>
      <c r="C74" s="540" t="str">
        <f>F!C198</f>
        <v>Clumped. More than 70% of such vegetation is in bands along the wetland perimeter or is clumped at one or a few sides of the surface water area.</v>
      </c>
      <c r="D74" s="235">
        <f>F!D198</f>
        <v>1</v>
      </c>
      <c r="E74" s="303">
        <v>0</v>
      </c>
      <c r="F74" s="311">
        <f>D74*E74</f>
        <v>0</v>
      </c>
      <c r="G74" s="509"/>
      <c r="H74" s="2324"/>
      <c r="I74" s="2328"/>
    </row>
    <row r="75" spans="1:9" ht="99" customHeight="1" thickBot="1" x14ac:dyDescent="0.25">
      <c r="A75" s="483" t="str">
        <f>F!A205</f>
        <v>F41</v>
      </c>
      <c r="B75" s="893" t="str">
        <f>F!B205</f>
        <v xml:space="preserve">Floating Algae &amp; Duckweed </v>
      </c>
      <c r="C75" s="925" t="str">
        <f>F!C205</f>
        <v>At some time of the year, mats of algae and/or duckweed are likely to cover &gt;50% of the AA's otherwise-unshaded water surface, or blanket &gt;50% of the underwater substrate. If true, enter "1" in next column. If untrue or uncertain, enter "0".</v>
      </c>
      <c r="D75" s="921">
        <f>F!D205</f>
        <v>0</v>
      </c>
      <c r="E75" s="922"/>
      <c r="F75" s="923"/>
      <c r="G75" s="924" t="str">
        <f>IF((AllSat1&gt;0),"",IF((TooSmall=1),"",IF((D75=1),0,"")))</f>
        <v/>
      </c>
      <c r="H75" s="103" t="s">
        <v>1498</v>
      </c>
      <c r="I75" s="103" t="s">
        <v>1010</v>
      </c>
    </row>
    <row r="76" spans="1:9" ht="60" customHeight="1" thickBot="1" x14ac:dyDescent="0.25">
      <c r="A76" s="2637" t="str">
        <f>F!A206</f>
        <v>F42</v>
      </c>
      <c r="B76" s="2486" t="str">
        <f>F!B206</f>
        <v>Channel Connection &amp; Outflow Duration</v>
      </c>
      <c r="C76" s="345"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76" s="304"/>
      <c r="E76" s="511"/>
      <c r="F76" s="507"/>
      <c r="G76" s="502">
        <f>(MAX(F77:F81))/MAX(E77:E81)</f>
        <v>0.33333333333333331</v>
      </c>
      <c r="H76" s="2323" t="s">
        <v>1192</v>
      </c>
      <c r="I76" s="2326" t="s">
        <v>366</v>
      </c>
    </row>
    <row r="77" spans="1:9" ht="15" customHeight="1" x14ac:dyDescent="0.2">
      <c r="A77" s="2632"/>
      <c r="B77" s="2487"/>
      <c r="C77" s="130" t="str">
        <f>F!C207</f>
        <v>Persistent (surface water flows out for &gt;9 months/year).</v>
      </c>
      <c r="D77" s="218">
        <f>F!D207</f>
        <v>0</v>
      </c>
      <c r="E77" s="309">
        <v>1</v>
      </c>
      <c r="F77" s="309">
        <f>D77*E77</f>
        <v>0</v>
      </c>
      <c r="G77" s="503"/>
      <c r="H77" s="2324"/>
      <c r="I77" s="2327"/>
    </row>
    <row r="78" spans="1:9" ht="15" customHeight="1" x14ac:dyDescent="0.2">
      <c r="A78" s="2632"/>
      <c r="B78" s="2487"/>
      <c r="C78" s="74" t="str">
        <f>F!C208</f>
        <v>Seasonal (surface water flows out for 14 days to 9 months/year, not necessarily consecutive).</v>
      </c>
      <c r="D78" s="203">
        <f>F!D208</f>
        <v>1</v>
      </c>
      <c r="E78" s="309">
        <v>2</v>
      </c>
      <c r="F78" s="309">
        <f>D78*E78</f>
        <v>2</v>
      </c>
      <c r="G78" s="504"/>
      <c r="H78" s="2324"/>
      <c r="I78" s="2327"/>
    </row>
    <row r="79" spans="1:9" ht="15" customHeight="1" x14ac:dyDescent="0.2">
      <c r="A79" s="2632"/>
      <c r="B79" s="2487"/>
      <c r="C79" s="74" t="str">
        <f>F!C209</f>
        <v>Temporary (surface water flows out for &lt;14 days, not necessarily consecutive).</v>
      </c>
      <c r="D79" s="203">
        <f>F!D209</f>
        <v>0</v>
      </c>
      <c r="E79" s="309">
        <v>3</v>
      </c>
      <c r="F79" s="309">
        <f>D79*E79</f>
        <v>0</v>
      </c>
      <c r="G79" s="504"/>
      <c r="H79" s="2324"/>
      <c r="I79" s="2327"/>
    </row>
    <row r="80" spans="1:9" ht="27" customHeight="1" x14ac:dyDescent="0.2">
      <c r="A80" s="2632"/>
      <c r="B80" s="2487"/>
      <c r="C80" s="74" t="str">
        <f>F!C210</f>
        <v>None -- but maps show a stream network downslope from the AA and within a distance that is less than the AA's length. SKIP to F47 (pH Measurement).</v>
      </c>
      <c r="D80" s="203">
        <f>F!D210</f>
        <v>0</v>
      </c>
      <c r="E80" s="515">
        <v>6</v>
      </c>
      <c r="F80" s="309">
        <f>D80*E80</f>
        <v>0</v>
      </c>
      <c r="G80" s="509"/>
      <c r="H80" s="2324"/>
      <c r="I80" s="2327"/>
    </row>
    <row r="81" spans="1:11" ht="27" customHeight="1" thickBot="1" x14ac:dyDescent="0.25">
      <c r="A81" s="2633"/>
      <c r="B81" s="2488"/>
      <c r="C81" s="367" t="str">
        <f>F!C211</f>
        <v>No surface water flows out of the wetland except possibly during extreme events (&lt;once per 10 years). Or, water flows only into a wetland, ditch, or lake that lacks an outlet. SKIP to F47 (pH Measurement).</v>
      </c>
      <c r="D81" s="204">
        <f>F!D211</f>
        <v>0</v>
      </c>
      <c r="E81" s="516">
        <v>6</v>
      </c>
      <c r="F81" s="505">
        <f>D81*E81</f>
        <v>0</v>
      </c>
      <c r="G81" s="506"/>
      <c r="H81" s="2325"/>
      <c r="I81" s="2328"/>
    </row>
    <row r="82" spans="1:11" ht="30" customHeight="1" thickBot="1" x14ac:dyDescent="0.25">
      <c r="A82" s="2484" t="str">
        <f>F!A212</f>
        <v>F43</v>
      </c>
      <c r="B82" s="2487" t="str">
        <f>F!B212</f>
        <v xml:space="preserve">Outflow Confinement </v>
      </c>
      <c r="C82" s="486" t="str">
        <f>F!C212</f>
        <v>During major runoff events, in the places where surface water exits the AA or connected waters nearby, the water:</v>
      </c>
      <c r="D82" s="306"/>
      <c r="E82" s="512"/>
      <c r="F82" s="307"/>
      <c r="G82" s="508">
        <f>IF((OutNone + OutNone1&gt;0),"",(MAX(F83:F85)/MAX(E83:E85)))</f>
        <v>0.5</v>
      </c>
      <c r="H82" s="2404" t="s">
        <v>602</v>
      </c>
      <c r="I82" s="2326" t="s">
        <v>367</v>
      </c>
    </row>
    <row r="83" spans="1:11" ht="42" customHeight="1" x14ac:dyDescent="0.2">
      <c r="A83" s="2484"/>
      <c r="B83" s="2487"/>
      <c r="C83" s="130" t="str">
        <f>F!C213</f>
        <v>Mostly passes through a pipe, culvert, narrowly breached dike, berm, beaver dam, or other partial obstruction (other than natural topography) that does not appear to drain the wetland artificially during most of the growing season.</v>
      </c>
      <c r="D83" s="218">
        <f>F!D213</f>
        <v>0</v>
      </c>
      <c r="E83" s="309">
        <v>2</v>
      </c>
      <c r="F83" s="309">
        <f>D83*E83</f>
        <v>0</v>
      </c>
      <c r="G83" s="503"/>
      <c r="H83" s="2404"/>
      <c r="I83" s="2327"/>
    </row>
    <row r="84" spans="1:11" ht="27" customHeight="1" x14ac:dyDescent="0.2">
      <c r="A84" s="2484"/>
      <c r="B84" s="2487"/>
      <c r="C84" s="74" t="str">
        <f>F!C214</f>
        <v>Leaves through natural exits (channels or diffuse outflow), not mainly through artificial or temporary features.</v>
      </c>
      <c r="D84" s="203">
        <f>F!D214</f>
        <v>1</v>
      </c>
      <c r="E84" s="309">
        <v>1</v>
      </c>
      <c r="F84" s="309">
        <f>D84*E84</f>
        <v>1</v>
      </c>
      <c r="G84" s="517"/>
      <c r="H84" s="2404"/>
      <c r="I84" s="2327"/>
    </row>
    <row r="85" spans="1:11" ht="27" customHeight="1" thickBot="1" x14ac:dyDescent="0.25">
      <c r="A85" s="2485"/>
      <c r="B85" s="2488"/>
      <c r="C85" s="367" t="str">
        <f>F!C215</f>
        <v>Is exported more quickly than usual due to ditches or pipes within the AA or connected to its outlet, or within 10 m of the AA's edge, which drain the wetland artificially, or water is pumped out of the AA.</v>
      </c>
      <c r="D85" s="204">
        <f>F!D215</f>
        <v>0</v>
      </c>
      <c r="E85" s="505">
        <v>0</v>
      </c>
      <c r="F85" s="505">
        <f>D85*E85</f>
        <v>0</v>
      </c>
      <c r="G85" s="506"/>
      <c r="H85" s="2530"/>
      <c r="I85" s="2328"/>
    </row>
    <row r="86" spans="1:11" ht="33" customHeight="1" thickBot="1" x14ac:dyDescent="0.25">
      <c r="A86" s="2630" t="str">
        <f>F!A218</f>
        <v>F46</v>
      </c>
      <c r="B86" s="2487" t="str">
        <f>F!B218</f>
        <v>Throughflow Resistance</v>
      </c>
      <c r="C86" s="486" t="str">
        <f>F!C218</f>
        <v>During its travel through the AA at the time of peak annual flow, water arriving in channels: [select only the ONE encountered by most of the incoming water].</v>
      </c>
      <c r="D86" s="306"/>
      <c r="E86" s="512"/>
      <c r="F86" s="307"/>
      <c r="G86" s="508">
        <f>IF(AND(Inflows=0,OutNone=1,OutNone1=1),"",MAX(F87:F91)/MAX(E87:E91))</f>
        <v>0.5</v>
      </c>
      <c r="H86" s="2404" t="s">
        <v>1179</v>
      </c>
      <c r="I86" s="2326" t="s">
        <v>368</v>
      </c>
    </row>
    <row r="87" spans="1:11" ht="42" customHeight="1" x14ac:dyDescent="0.2">
      <c r="A87" s="2630"/>
      <c r="B87" s="2487"/>
      <c r="C87" s="130" t="str">
        <f>F!C219</f>
        <v>Does not bump into many plant stems as it travels through the AA. Nearly all the water continues to travel in unvegetated (often incised) channels that have minimal contact with wetland vegetation, or through a zone of open water such as an instream pond or lake.</v>
      </c>
      <c r="D87" s="218">
        <f>F!D219</f>
        <v>0</v>
      </c>
      <c r="E87" s="309">
        <v>0</v>
      </c>
      <c r="F87" s="309">
        <f>D87*E87</f>
        <v>0</v>
      </c>
      <c r="G87" s="503"/>
      <c r="H87" s="2404"/>
      <c r="I87" s="2327"/>
    </row>
    <row r="88" spans="1:11" ht="18" customHeight="1" x14ac:dyDescent="0.2">
      <c r="A88" s="2630"/>
      <c r="B88" s="2487"/>
      <c r="C88" s="74" t="str">
        <f>F!C220</f>
        <v>Bumps into herbaceous vegetation but mostly remains in fairly straight channels.</v>
      </c>
      <c r="D88" s="203">
        <f>F!D220</f>
        <v>0</v>
      </c>
      <c r="E88" s="309">
        <v>1</v>
      </c>
      <c r="F88" s="309">
        <f>D88*E88</f>
        <v>0</v>
      </c>
      <c r="G88" s="504"/>
      <c r="H88" s="2404"/>
      <c r="I88" s="2327"/>
    </row>
    <row r="89" spans="1:11" ht="30" customHeight="1" x14ac:dyDescent="0.2">
      <c r="A89" s="2630"/>
      <c r="B89" s="2487"/>
      <c r="C89" s="74" t="str">
        <f>F!C221</f>
        <v>Bumps into herbaceous vegetation and mostly spreads throughout, or is in widely meandering, multi-branched, or braided channels.</v>
      </c>
      <c r="D89" s="203">
        <f>F!D221</f>
        <v>1</v>
      </c>
      <c r="E89" s="309">
        <v>2</v>
      </c>
      <c r="F89" s="309">
        <f>D89*E89</f>
        <v>2</v>
      </c>
      <c r="G89" s="504"/>
      <c r="H89" s="2404"/>
      <c r="I89" s="2327"/>
    </row>
    <row r="90" spans="1:11" ht="18" customHeight="1" x14ac:dyDescent="0.2">
      <c r="A90" s="2630"/>
      <c r="B90" s="2487"/>
      <c r="C90" s="74" t="str">
        <f>F!C222</f>
        <v>Bumps into tree trunks and/or shrub stems but mostly remains in fairly straight channels.</v>
      </c>
      <c r="D90" s="203">
        <f>F!D222</f>
        <v>0</v>
      </c>
      <c r="E90" s="309">
        <v>3</v>
      </c>
      <c r="F90" s="309">
        <f>D90*E90</f>
        <v>0</v>
      </c>
      <c r="G90" s="504"/>
      <c r="H90" s="2404"/>
      <c r="I90" s="2327"/>
    </row>
    <row r="91" spans="1:11" ht="30" customHeight="1" thickBot="1" x14ac:dyDescent="0.25">
      <c r="A91" s="2631"/>
      <c r="B91" s="2488"/>
      <c r="C91" s="367" t="str">
        <f>F!C223</f>
        <v>Bumps into tree trunks and/or shrub stems and follows a fairly indirect path from entrance to exit (meandering, multi-branched, or braided).</v>
      </c>
      <c r="D91" s="204">
        <f>F!D223</f>
        <v>0</v>
      </c>
      <c r="E91" s="505">
        <v>4</v>
      </c>
      <c r="F91" s="505">
        <f>D91*E91</f>
        <v>0</v>
      </c>
      <c r="G91" s="506"/>
      <c r="H91" s="2530"/>
      <c r="I91" s="2328"/>
    </row>
    <row r="92" spans="1:11" s="6" customFormat="1" ht="24" customHeight="1" thickBot="1" x14ac:dyDescent="0.25">
      <c r="A92" s="2368" t="str">
        <f>F!A224</f>
        <v>F47</v>
      </c>
      <c r="B92" s="2326" t="str">
        <f>F!B224</f>
        <v>pH Measurement</v>
      </c>
      <c r="C92" s="124" t="str">
        <f>F!C224</f>
        <v>The pH in most of the AA's surface water:</v>
      </c>
      <c r="D92" s="1050"/>
      <c r="E92" s="304"/>
      <c r="F92" s="305"/>
      <c r="G92" s="581" t="str">
        <f>IF((D95=1),"",IF((D94=1),0.5,IF((D93&gt;0&lt;5),1, IF((D93&gt;9),1, ""))))</f>
        <v/>
      </c>
      <c r="H92" s="2552" t="s">
        <v>1706</v>
      </c>
      <c r="I92" s="2326" t="s">
        <v>1132</v>
      </c>
      <c r="K92" s="106"/>
    </row>
    <row r="93" spans="1:11" s="6" customFormat="1" ht="21" customHeight="1" thickBot="1" x14ac:dyDescent="0.25">
      <c r="A93" s="2369"/>
      <c r="B93" s="2327"/>
      <c r="C93" s="928" t="str">
        <f>F!C225</f>
        <v>Was measured, and is:  [enter the reading in the column to the right.]</v>
      </c>
      <c r="D93" s="2080" t="str">
        <f>IF((F!D225=""),"",F!D225)</f>
        <v/>
      </c>
      <c r="E93" s="316"/>
      <c r="F93" s="300"/>
      <c r="G93" s="927"/>
      <c r="H93" s="2643"/>
      <c r="I93" s="2327"/>
      <c r="K93" s="106"/>
    </row>
    <row r="94" spans="1:11" s="6" customFormat="1" ht="39" customHeight="1" x14ac:dyDescent="0.2">
      <c r="A94" s="2369"/>
      <c r="B94" s="2327"/>
      <c r="C94" s="929" t="str">
        <f>F!C226</f>
        <v xml:space="preserve">Was not measured but surface water is present and is darkly tea-coloured.  Or if no surface water, then mosses and plants that indicate peatland (e.g., Labrador tea) are prevalent. Enter "1". </v>
      </c>
      <c r="D94" s="212">
        <f>F!D226</f>
        <v>0</v>
      </c>
      <c r="E94" s="316"/>
      <c r="F94" s="300"/>
      <c r="G94" s="648"/>
      <c r="H94" s="2643"/>
      <c r="I94" s="2327"/>
      <c r="K94" s="106"/>
    </row>
    <row r="95" spans="1:11" s="6" customFormat="1" ht="21" customHeight="1" thickBot="1" x14ac:dyDescent="0.25">
      <c r="A95" s="2369"/>
      <c r="B95" s="2369"/>
      <c r="C95" s="1984" t="str">
        <f>F!C227</f>
        <v>Neither of above. Enter "1".</v>
      </c>
      <c r="D95" s="474">
        <f>F!D227</f>
        <v>1</v>
      </c>
      <c r="E95" s="458"/>
      <c r="F95" s="303"/>
      <c r="G95" s="926"/>
      <c r="H95" s="2643"/>
      <c r="I95" s="2328"/>
      <c r="K95" s="106"/>
    </row>
    <row r="96" spans="1:11" s="6" customFormat="1" ht="21" customHeight="1" thickBot="1" x14ac:dyDescent="0.25">
      <c r="A96" s="2326" t="str">
        <f>F!A241</f>
        <v>F51</v>
      </c>
      <c r="B96" s="2326" t="str">
        <f>F!B241</f>
        <v>Internal Gradient</v>
      </c>
      <c r="C96" s="368" t="str">
        <f>F!C241</f>
        <v>The gradient along most of the flow path within the AA is:</v>
      </c>
      <c r="D96" s="190"/>
      <c r="E96" s="304"/>
      <c r="F96" s="305"/>
      <c r="G96" s="581">
        <f>MAX(F97:F100)/MAX(E97:E100)</f>
        <v>1</v>
      </c>
      <c r="H96" s="2529" t="s">
        <v>601</v>
      </c>
      <c r="I96" s="2326" t="s">
        <v>372</v>
      </c>
      <c r="K96" s="106"/>
    </row>
    <row r="97" spans="1:11" s="6" customFormat="1" ht="15" customHeight="1" x14ac:dyDescent="0.2">
      <c r="A97" s="2327"/>
      <c r="B97" s="2327"/>
      <c r="C97" s="369" t="str">
        <f>F!C242</f>
        <v>&lt;2% or the AA has no surface water outlet (not even seasonally).</v>
      </c>
      <c r="D97" s="70">
        <f>F!D242</f>
        <v>1</v>
      </c>
      <c r="E97" s="300">
        <v>4</v>
      </c>
      <c r="F97" s="300">
        <f>D97*E97</f>
        <v>4</v>
      </c>
      <c r="G97" s="665"/>
      <c r="H97" s="2404"/>
      <c r="I97" s="2327"/>
      <c r="K97" s="106"/>
    </row>
    <row r="98" spans="1:11" s="6" customFormat="1" ht="15" customHeight="1" x14ac:dyDescent="0.2">
      <c r="A98" s="2327"/>
      <c r="B98" s="2327"/>
      <c r="C98" s="872" t="str">
        <f>F!C243</f>
        <v>2-5%.</v>
      </c>
      <c r="D98" s="70">
        <f>F!D243</f>
        <v>0</v>
      </c>
      <c r="E98" s="300">
        <v>3</v>
      </c>
      <c r="F98" s="300">
        <f>D98*E98</f>
        <v>0</v>
      </c>
      <c r="G98" s="665"/>
      <c r="H98" s="2404"/>
      <c r="I98" s="2327"/>
      <c r="K98" s="106"/>
    </row>
    <row r="99" spans="1:11" s="6" customFormat="1" ht="15" customHeight="1" x14ac:dyDescent="0.2">
      <c r="A99" s="2327"/>
      <c r="B99" s="2327"/>
      <c r="C99" s="872" t="str">
        <f>F!C244</f>
        <v>6-10%.</v>
      </c>
      <c r="D99" s="70">
        <f>F!D244</f>
        <v>0</v>
      </c>
      <c r="E99" s="300">
        <v>2</v>
      </c>
      <c r="F99" s="300">
        <f>D99*E99</f>
        <v>0</v>
      </c>
      <c r="G99" s="666"/>
      <c r="H99" s="2404"/>
      <c r="I99" s="2327"/>
      <c r="K99" s="106"/>
    </row>
    <row r="100" spans="1:11" s="6" customFormat="1" ht="15" customHeight="1" thickBot="1" x14ac:dyDescent="0.25">
      <c r="A100" s="2328"/>
      <c r="B100" s="2328"/>
      <c r="C100" s="370" t="str">
        <f>F!C245</f>
        <v>&gt;10%.</v>
      </c>
      <c r="D100" s="152">
        <f>F!D245</f>
        <v>0</v>
      </c>
      <c r="E100" s="301">
        <v>0</v>
      </c>
      <c r="F100" s="301">
        <f>D100*E100</f>
        <v>0</v>
      </c>
      <c r="G100" s="667"/>
      <c r="H100" s="2530"/>
      <c r="I100" s="2328"/>
      <c r="K100" s="106"/>
    </row>
    <row r="101" spans="1:11" ht="60" customHeight="1" thickBot="1" x14ac:dyDescent="0.25">
      <c r="A101" s="114" t="str">
        <f>F!A307</f>
        <v>F66</v>
      </c>
      <c r="B101" s="114" t="str">
        <f>F!B307</f>
        <v>Calcareous Fen</v>
      </c>
      <c r="C101" s="483" t="str">
        <f>F!C307</f>
        <v xml:space="preserve">The AA is, or is part of, a calcareous fen. See the Plants_Calcar worksheet in the accompanying SuppInfo file for list of plant indicators (calciphiles). Enter 1 If more than two Strong or more than five Moderate calciphile species are present; otherwise enter 0, but if not able to identify those and no information, change to blank. </v>
      </c>
      <c r="D101" s="230">
        <f>F!D307</f>
        <v>1</v>
      </c>
      <c r="E101" s="514"/>
      <c r="F101" s="514"/>
      <c r="G101" s="414">
        <f>IF((F!D307=""),"", IF((D101=1),1,0))</f>
        <v>1</v>
      </c>
      <c r="H101" s="4" t="s">
        <v>1497</v>
      </c>
      <c r="I101" s="124" t="s">
        <v>1495</v>
      </c>
    </row>
    <row r="102" spans="1:11" s="106" customFormat="1" ht="36" customHeight="1" thickBot="1" x14ac:dyDescent="0.25">
      <c r="A102" s="1205" t="s">
        <v>88</v>
      </c>
      <c r="B102" s="1206" t="s">
        <v>2429</v>
      </c>
      <c r="C102" s="1207" t="s">
        <v>1165</v>
      </c>
      <c r="D102" s="1208" t="s">
        <v>45</v>
      </c>
      <c r="E102" s="1209" t="s">
        <v>1189</v>
      </c>
      <c r="F102" s="1210" t="s">
        <v>1190</v>
      </c>
      <c r="G102" s="1189" t="s">
        <v>2556</v>
      </c>
      <c r="H102" s="1184" t="s">
        <v>1118</v>
      </c>
      <c r="I102" s="1184" t="s">
        <v>2424</v>
      </c>
      <c r="K102" s="123"/>
    </row>
    <row r="103" spans="1:11" ht="45" customHeight="1" thickBot="1" x14ac:dyDescent="0.25">
      <c r="A103" s="2486" t="str">
        <f>OF!A99</f>
        <v>OF20</v>
      </c>
      <c r="B103" s="2486" t="str">
        <f>OF!B99</f>
        <v xml:space="preserve">Degraded Water Upstream </v>
      </c>
      <c r="C103" s="114" t="str">
        <f>OF!C99</f>
        <v xml:space="preserve">Sampling indicates a problem with concentrations of metals, hydrocarbons, nutrients, or other substances (excluding bacteria, acidic water, high temperatures) being present at levels harmful to aquatic life or humans, and:  </v>
      </c>
      <c r="D103" s="1233"/>
      <c r="E103" s="511"/>
      <c r="F103" s="507"/>
      <c r="G103" s="415" t="str">
        <f>IF((D107=1),"", IF((D106=1),0, IF((D105=1),0.5, 1)))</f>
        <v/>
      </c>
      <c r="H103" s="2323" t="s">
        <v>1541</v>
      </c>
      <c r="I103" s="2326" t="s">
        <v>1544</v>
      </c>
    </row>
    <row r="104" spans="1:11" ht="15" customHeight="1" x14ac:dyDescent="0.2">
      <c r="A104" s="2487"/>
      <c r="B104" s="2487"/>
      <c r="C104" s="349" t="str">
        <f>OF!C100</f>
        <v>The condition is present within the AA.</v>
      </c>
      <c r="D104" s="203">
        <f>OF!D100</f>
        <v>0</v>
      </c>
      <c r="E104" s="309"/>
      <c r="F104" s="309"/>
      <c r="G104" s="309"/>
      <c r="H104" s="2324"/>
      <c r="I104" s="2327"/>
    </row>
    <row r="105" spans="1:11" ht="27" customHeight="1" x14ac:dyDescent="0.2">
      <c r="A105" s="2487"/>
      <c r="B105" s="2487"/>
      <c r="C105" s="349" t="str">
        <f>OF!C101</f>
        <v>The condition is present in waters within 1 km that flow into the AA, but has not been documented in the AA itself.</v>
      </c>
      <c r="D105" s="203">
        <f>OF!D101</f>
        <v>0</v>
      </c>
      <c r="E105" s="309"/>
      <c r="F105" s="309"/>
      <c r="G105" s="309"/>
      <c r="H105" s="2324"/>
      <c r="I105" s="2327"/>
    </row>
    <row r="106" spans="1:11" ht="27" customHeight="1" x14ac:dyDescent="0.2">
      <c r="A106" s="2487"/>
      <c r="B106" s="2487"/>
      <c r="C106" s="349" t="str">
        <f>OF!C102</f>
        <v>Sampling during both low water periods and times with high runoff (storms, snowmelt) indicates no problems in either the AA or inflowing waters.</v>
      </c>
      <c r="D106" s="203">
        <f>OF!D102</f>
        <v>0</v>
      </c>
      <c r="E106" s="309"/>
      <c r="F106" s="309"/>
      <c r="G106" s="309"/>
      <c r="H106" s="2324"/>
      <c r="I106" s="2327"/>
    </row>
    <row r="107" spans="1:11" ht="27" customHeight="1" thickBot="1" x14ac:dyDescent="0.25">
      <c r="A107" s="2488"/>
      <c r="B107" s="2488"/>
      <c r="C107" s="349" t="str">
        <f>OF!C103</f>
        <v>Data are insufficient (no or inadequate sampling within 1 km, or condition exists only at &gt;1 km upstream). This is the situation for nearly all wetlands in this region.</v>
      </c>
      <c r="D107" s="204">
        <f>OF!D103</f>
        <v>1</v>
      </c>
      <c r="E107" s="505"/>
      <c r="F107" s="505"/>
      <c r="G107" s="309"/>
      <c r="H107" s="2325"/>
      <c r="I107" s="2328"/>
    </row>
    <row r="108" spans="1:11" ht="21" customHeight="1" thickBot="1" x14ac:dyDescent="0.25">
      <c r="A108" s="2486" t="str">
        <f>OF!A104</f>
        <v>OF21</v>
      </c>
      <c r="B108" s="2486" t="str">
        <f>OF!B104</f>
        <v xml:space="preserve">Degraded Water Downstream </v>
      </c>
      <c r="C108" s="114" t="str">
        <f>OF!C104</f>
        <v>The problem described above is downslope from the AA, and:</v>
      </c>
      <c r="D108" s="1233"/>
      <c r="E108" s="511"/>
      <c r="F108" s="507"/>
      <c r="G108" s="651" t="str">
        <f>IF((D112=1),"", IF((D111=1),0, IF((D110=1),0.5, 1)))</f>
        <v/>
      </c>
      <c r="H108" s="2323" t="s">
        <v>87</v>
      </c>
      <c r="I108" s="2326" t="s">
        <v>1543</v>
      </c>
    </row>
    <row r="109" spans="1:11" ht="20.25" customHeight="1" x14ac:dyDescent="0.2">
      <c r="A109" s="2487"/>
      <c r="B109" s="2487"/>
      <c r="C109" s="1234" t="str">
        <f>OF!C105</f>
        <v>The condition is present within 1 km downslope and connected to the AA by a channel.</v>
      </c>
      <c r="D109" s="203">
        <f>OF!D105</f>
        <v>0</v>
      </c>
      <c r="E109" s="309"/>
      <c r="F109" s="309"/>
      <c r="G109" s="512"/>
      <c r="H109" s="2324"/>
      <c r="I109" s="2327"/>
    </row>
    <row r="110" spans="1:11" ht="27" customHeight="1" x14ac:dyDescent="0.2">
      <c r="A110" s="2487"/>
      <c r="B110" s="2487"/>
      <c r="C110" s="1234" t="str">
        <f>OF!C106</f>
        <v>The condition is present within 5 km downslope and connected to the AA by a channel, or within 1 km but not connected to the AA by a channel.</v>
      </c>
      <c r="D110" s="203">
        <f>OF!D106</f>
        <v>0</v>
      </c>
      <c r="E110" s="309"/>
      <c r="F110" s="309"/>
      <c r="G110" s="309"/>
      <c r="H110" s="2324"/>
      <c r="I110" s="2327"/>
    </row>
    <row r="111" spans="1:11" ht="27" customHeight="1" x14ac:dyDescent="0.2">
      <c r="A111" s="2487"/>
      <c r="B111" s="2487"/>
      <c r="C111" s="1234" t="str">
        <f>OF!C107</f>
        <v>Sampling during both low water periods and times with high runoff (storms, snowmelt) indicates no problems in either the AA or inflowing waters.</v>
      </c>
      <c r="D111" s="203">
        <f>OF!D107</f>
        <v>0</v>
      </c>
      <c r="E111" s="309"/>
      <c r="F111" s="309"/>
      <c r="G111" s="309"/>
      <c r="H111" s="2324"/>
      <c r="I111" s="2327"/>
    </row>
    <row r="112" spans="1:11" ht="27" customHeight="1" thickBot="1" x14ac:dyDescent="0.25">
      <c r="A112" s="2487"/>
      <c r="B112" s="2487"/>
      <c r="C112" s="1943" t="str">
        <f>OF!C108</f>
        <v>Data are insufficient (no or inadequate sampling within 1 km, or condition exists only at &gt;1 km upstream). This is the situation for nearly all wetlands in this region.</v>
      </c>
      <c r="D112" s="232">
        <f>OF!D108</f>
        <v>1</v>
      </c>
      <c r="E112" s="311"/>
      <c r="F112" s="311"/>
      <c r="G112" s="311"/>
      <c r="H112" s="2324"/>
      <c r="I112" s="2328"/>
    </row>
    <row r="113" spans="1:11" ht="87" customHeight="1" thickBot="1" x14ac:dyDescent="0.25">
      <c r="A113" s="2629" t="str">
        <f>OF!A109</f>
        <v>OF22</v>
      </c>
      <c r="B113" s="2486" t="str">
        <f>OF!B109</f>
        <v>Wetland as a % of Its Contributing Area (Catchment)</v>
      </c>
      <c r="C113" s="345" t="str">
        <f>OF!C109</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113" s="501"/>
      <c r="E113" s="511"/>
      <c r="F113" s="507"/>
      <c r="G113" s="500">
        <f>(MAX(F114:F117))/MAX(E114:E117)</f>
        <v>0</v>
      </c>
      <c r="H113" s="2529" t="s">
        <v>1180</v>
      </c>
      <c r="I113" s="2326" t="s">
        <v>378</v>
      </c>
    </row>
    <row r="114" spans="1:11" ht="15" customHeight="1" x14ac:dyDescent="0.2">
      <c r="A114" s="2630"/>
      <c r="B114" s="2487"/>
      <c r="C114" s="130" t="str">
        <f>OF!C110</f>
        <v>&lt;0.01, or catchment size unknown due to stormwater pipes that collect water from an indeterminate area.</v>
      </c>
      <c r="D114" s="218">
        <f>OF!D110</f>
        <v>0</v>
      </c>
      <c r="E114" s="309">
        <v>3</v>
      </c>
      <c r="F114" s="309">
        <f t="shared" ref="F114:F125" si="4">D114*E114</f>
        <v>0</v>
      </c>
      <c r="G114" s="503"/>
      <c r="H114" s="2404"/>
      <c r="I114" s="2327"/>
    </row>
    <row r="115" spans="1:11" ht="15" customHeight="1" x14ac:dyDescent="0.2">
      <c r="A115" s="2630"/>
      <c r="B115" s="2487"/>
      <c r="C115" s="130" t="str">
        <f>OF!C111</f>
        <v>0.01 to 0.1.</v>
      </c>
      <c r="D115" s="203">
        <f>OF!D111</f>
        <v>0</v>
      </c>
      <c r="E115" s="309">
        <v>2</v>
      </c>
      <c r="F115" s="309">
        <f t="shared" si="4"/>
        <v>0</v>
      </c>
      <c r="G115" s="504"/>
      <c r="H115" s="2404"/>
      <c r="I115" s="2327"/>
    </row>
    <row r="116" spans="1:11" ht="15" customHeight="1" x14ac:dyDescent="0.2">
      <c r="A116" s="2630"/>
      <c r="B116" s="2487"/>
      <c r="C116" s="130" t="str">
        <f>OF!C112</f>
        <v>0.1 to 1.</v>
      </c>
      <c r="D116" s="203">
        <f>OF!D112</f>
        <v>0</v>
      </c>
      <c r="E116" s="309">
        <v>1</v>
      </c>
      <c r="F116" s="309">
        <f t="shared" si="4"/>
        <v>0</v>
      </c>
      <c r="G116" s="504"/>
      <c r="H116" s="2404"/>
      <c r="I116" s="2327"/>
    </row>
    <row r="117" spans="1:11" ht="27" customHeight="1" thickBot="1" x14ac:dyDescent="0.25">
      <c r="A117" s="2631"/>
      <c r="B117" s="2488"/>
      <c r="C117" s="346" t="str">
        <f>OF!C113</f>
        <v xml:space="preserve">&gt;1 (wetland is larger than its catchment (e.g., wetland with flat surrounding terrain and no inlet, or is entirely isolated by dikes, or is a raised bog). </v>
      </c>
      <c r="D117" s="204">
        <f>OF!D113</f>
        <v>0</v>
      </c>
      <c r="E117" s="505">
        <v>0</v>
      </c>
      <c r="F117" s="505">
        <f t="shared" si="4"/>
        <v>0</v>
      </c>
      <c r="G117" s="506"/>
      <c r="H117" s="2530"/>
      <c r="I117" s="2328"/>
    </row>
    <row r="118" spans="1:11" ht="57" customHeight="1" thickBot="1" x14ac:dyDescent="0.25">
      <c r="A118" s="2629" t="str">
        <f>OF!A114</f>
        <v>OF23</v>
      </c>
      <c r="B118" s="2486" t="str">
        <f>OF!B114</f>
        <v>Unvegetated Surface in the Contributing Area</v>
      </c>
      <c r="C118" s="345" t="str">
        <f>OF!C114</f>
        <v>The proportion of the AA's contributing area (measured to no more than 1000 m upslope) that is comprised of buildings, roads, parking lots, other pavement, exposed bedrock, landslides, and other mostly-bare surface is about :</v>
      </c>
      <c r="D118" s="501"/>
      <c r="E118" s="511"/>
      <c r="F118" s="507"/>
      <c r="G118" s="500">
        <f>IF((NoCA=1),"",(MAX(F119:F121))/MAX(E119:E121))</f>
        <v>0</v>
      </c>
      <c r="H118" s="2529" t="s">
        <v>1181</v>
      </c>
      <c r="I118" s="2326" t="s">
        <v>379</v>
      </c>
    </row>
    <row r="119" spans="1:11" ht="27.6" customHeight="1" x14ac:dyDescent="0.2">
      <c r="A119" s="2630"/>
      <c r="B119" s="2487"/>
      <c r="C119" s="1888" t="str">
        <f>OF!C115</f>
        <v>&lt;10%.</v>
      </c>
      <c r="D119" s="218">
        <f>OF!D115</f>
        <v>1</v>
      </c>
      <c r="E119" s="309">
        <v>0</v>
      </c>
      <c r="F119" s="309">
        <f t="shared" si="4"/>
        <v>0</v>
      </c>
      <c r="G119" s="503"/>
      <c r="H119" s="2404"/>
      <c r="I119" s="2327"/>
    </row>
    <row r="120" spans="1:11" ht="27.6" customHeight="1" x14ac:dyDescent="0.2">
      <c r="A120" s="2630"/>
      <c r="B120" s="2487"/>
      <c r="C120" s="1889" t="str">
        <f>OF!C116</f>
        <v>10 to 25%.</v>
      </c>
      <c r="D120" s="203">
        <f>OF!D116</f>
        <v>0</v>
      </c>
      <c r="E120" s="309">
        <v>1</v>
      </c>
      <c r="F120" s="309">
        <f t="shared" si="4"/>
        <v>0</v>
      </c>
      <c r="G120" s="504"/>
      <c r="H120" s="2404"/>
      <c r="I120" s="2327"/>
    </row>
    <row r="121" spans="1:11" ht="27.6" customHeight="1" thickBot="1" x14ac:dyDescent="0.25">
      <c r="A121" s="2631"/>
      <c r="B121" s="2488"/>
      <c r="C121" s="1892" t="str">
        <f>OF!C117</f>
        <v>&gt;25%.</v>
      </c>
      <c r="D121" s="204">
        <f>OF!D117</f>
        <v>0</v>
      </c>
      <c r="E121" s="505">
        <v>2</v>
      </c>
      <c r="F121" s="505">
        <f t="shared" si="4"/>
        <v>0</v>
      </c>
      <c r="G121" s="506"/>
      <c r="H121" s="2530"/>
      <c r="I121" s="2328"/>
    </row>
    <row r="122" spans="1:11" ht="126" customHeight="1" thickBot="1" x14ac:dyDescent="0.25">
      <c r="A122" s="2630" t="str">
        <f>OF!A118</f>
        <v>OF24</v>
      </c>
      <c r="B122" s="2487" t="str">
        <f>OF!B118</f>
        <v>Transport From Upslope</v>
      </c>
      <c r="C122" s="486" t="str">
        <f>OF!C118</f>
        <v>A relatively large proportion of the precipitation that falls farther upslope in the CA reaches this wetland quickly as runoff (surface water), as indicated by the following: 
(a) input channel is present,
(b) input channels have been straightened,
(c) upslope wetlands have been ditched extensively,
(d) land cover is mostly non-forest,
(e) CA slopes are steep, and/or
(f) most CA soils are shallow (bedrock near surface) and/or have high runoff coefficients. 
This statement is:</v>
      </c>
      <c r="D122" s="306"/>
      <c r="E122" s="512"/>
      <c r="F122" s="307"/>
      <c r="G122" s="518">
        <f>IF((NoCA=1),"", (MAX(F123:F125))/MAX(E123:E125))</f>
        <v>0</v>
      </c>
      <c r="H122" s="2404" t="s">
        <v>1816</v>
      </c>
      <c r="I122" s="2326" t="s">
        <v>380</v>
      </c>
    </row>
    <row r="123" spans="1:11" ht="15" customHeight="1" x14ac:dyDescent="0.2">
      <c r="A123" s="2630"/>
      <c r="B123" s="2487"/>
      <c r="C123" s="1888" t="str">
        <f>OF!C119</f>
        <v>Mostly true.</v>
      </c>
      <c r="D123" s="218">
        <f>OF!D119</f>
        <v>0</v>
      </c>
      <c r="E123" s="309">
        <v>2</v>
      </c>
      <c r="F123" s="309">
        <f t="shared" si="4"/>
        <v>0</v>
      </c>
      <c r="G123" s="503"/>
      <c r="H123" s="2404"/>
      <c r="I123" s="2327"/>
    </row>
    <row r="124" spans="1:11" ht="15" customHeight="1" x14ac:dyDescent="0.2">
      <c r="A124" s="2630"/>
      <c r="B124" s="2487"/>
      <c r="C124" s="1889" t="str">
        <f>OF!C120</f>
        <v>Somewhat true.</v>
      </c>
      <c r="D124" s="203">
        <f>OF!D120</f>
        <v>0</v>
      </c>
      <c r="E124" s="309">
        <v>1</v>
      </c>
      <c r="F124" s="309">
        <f t="shared" si="4"/>
        <v>0</v>
      </c>
      <c r="G124" s="504"/>
      <c r="H124" s="2404"/>
      <c r="I124" s="2327"/>
    </row>
    <row r="125" spans="1:11" ht="15" customHeight="1" thickBot="1" x14ac:dyDescent="0.25">
      <c r="A125" s="2630"/>
      <c r="B125" s="2487"/>
      <c r="C125" s="1890" t="str">
        <f>OF!C121</f>
        <v>Mostly untrue.</v>
      </c>
      <c r="D125" s="232">
        <f>OF!D121</f>
        <v>1</v>
      </c>
      <c r="E125" s="311">
        <v>0</v>
      </c>
      <c r="F125" s="311">
        <f t="shared" si="4"/>
        <v>0</v>
      </c>
      <c r="G125" s="509"/>
      <c r="H125" s="2404"/>
      <c r="I125" s="2328"/>
    </row>
    <row r="126" spans="1:11" s="7" customFormat="1" ht="60" customHeight="1" thickBot="1" x14ac:dyDescent="0.25">
      <c r="A126" s="1044" t="str">
        <f>F!A216</f>
        <v>F44</v>
      </c>
      <c r="B126" s="131" t="str">
        <f>F!B216</f>
        <v>Tributary Channel</v>
      </c>
      <c r="C126" s="1045" t="str">
        <f>F!C216</f>
        <v>At least once annually, surface water from a tributary channel that is &gt;100 m long moves into the AA.  Or, surface water from a larger permanent water body adjacent to the AA spills into the AA.  If it enters only via a pipe, that pipe must be fed by a mapped stream or lake further upslope. If no, SKIP to F47 (pH Measurement).</v>
      </c>
      <c r="D126" s="1046">
        <f>F!D216</f>
        <v>1</v>
      </c>
      <c r="E126" s="1047"/>
      <c r="F126" s="1047"/>
      <c r="G126" s="500">
        <f>F!D216</f>
        <v>1</v>
      </c>
      <c r="H126" s="4" t="s">
        <v>580</v>
      </c>
      <c r="I126" s="4" t="s">
        <v>375</v>
      </c>
      <c r="K126" s="123"/>
    </row>
    <row r="127" spans="1:11" s="6" customFormat="1" ht="28.5" customHeight="1" thickBot="1" x14ac:dyDescent="0.25">
      <c r="A127" s="2644" t="str">
        <f>F!A228</f>
        <v>F48</v>
      </c>
      <c r="B127" s="2326" t="str">
        <f>F!B228</f>
        <v>TDS and/or Conductivity</v>
      </c>
      <c r="C127" s="124" t="str">
        <f>F!C228</f>
        <v>The TDS (total dissolved solids) or conductivity off the AA's surface water is: (select the first true row with information):</v>
      </c>
      <c r="D127" s="1050"/>
      <c r="E127" s="304"/>
      <c r="F127" s="305"/>
      <c r="G127" s="2088">
        <f>IF((D128&gt;300),1, IF((D129&gt;200),1, IF((D130=1),1, "")))</f>
        <v>1</v>
      </c>
      <c r="H127" s="2323" t="s">
        <v>2430</v>
      </c>
      <c r="I127" s="2326" t="s">
        <v>1494</v>
      </c>
      <c r="K127" s="106"/>
    </row>
    <row r="128" spans="1:11" s="6" customFormat="1" ht="15" customHeight="1" thickBot="1" x14ac:dyDescent="0.25">
      <c r="A128" s="2645"/>
      <c r="B128" s="2327"/>
      <c r="C128" s="2081" t="str">
        <f>F!C229</f>
        <v>TDS is: [Enter the reading in ppm or mg/L in the column to the right, if measured, or answer next row.]</v>
      </c>
      <c r="D128" s="2082" t="str">
        <f>IF((F!D229=""),"",F!D229)</f>
        <v/>
      </c>
      <c r="E128" s="316"/>
      <c r="F128" s="300"/>
      <c r="G128" s="302"/>
      <c r="H128" s="2324"/>
      <c r="I128" s="2327"/>
      <c r="K128" s="106"/>
    </row>
    <row r="129" spans="1:11" s="6" customFormat="1" ht="15" customHeight="1" thickBot="1" x14ac:dyDescent="0.25">
      <c r="A129" s="2645"/>
      <c r="B129" s="2327"/>
      <c r="C129" s="2081" t="str">
        <f>F!C230</f>
        <v>Conductivity is  [Enter the reading in µS/cm in the column to the right.]</v>
      </c>
      <c r="D129" s="2082" t="str">
        <f>IF((F!D230=""),"",F!D230)</f>
        <v/>
      </c>
      <c r="E129" s="316"/>
      <c r="F129" s="300"/>
      <c r="G129" s="325"/>
      <c r="H129" s="2324"/>
      <c r="I129" s="2327"/>
      <c r="K129" s="106"/>
    </row>
    <row r="130" spans="1:11" s="6" customFormat="1" ht="15" customHeight="1" x14ac:dyDescent="0.2">
      <c r="A130" s="2645"/>
      <c r="B130" s="2327"/>
      <c r="C130" s="1941" t="str">
        <f>F!C231</f>
        <v>Was not measured, but plants that indicate saline conditions cover much of the vegetated AA. Enter "1".</v>
      </c>
      <c r="D130" s="1942">
        <f>F!D231</f>
        <v>0</v>
      </c>
      <c r="E130" s="300"/>
      <c r="F130" s="300"/>
      <c r="G130" s="325"/>
      <c r="H130" s="2324"/>
      <c r="I130" s="2327"/>
      <c r="K130" s="106"/>
    </row>
    <row r="131" spans="1:11" s="6" customFormat="1" ht="15" customHeight="1" thickBot="1" x14ac:dyDescent="0.25">
      <c r="A131" s="2646"/>
      <c r="B131" s="2328"/>
      <c r="C131" s="2086" t="str">
        <f>F!C232</f>
        <v>Neither of above</v>
      </c>
      <c r="D131" s="2087">
        <f>F!D232</f>
        <v>1</v>
      </c>
      <c r="E131" s="301"/>
      <c r="F131" s="301"/>
      <c r="G131" s="329"/>
      <c r="H131" s="2325"/>
      <c r="I131" s="2328"/>
      <c r="K131" s="106"/>
    </row>
    <row r="132" spans="1:11" s="63" customFormat="1" ht="21" customHeight="1" thickBot="1" x14ac:dyDescent="0.25">
      <c r="A132" s="2399" t="str">
        <f>F!A237</f>
        <v>F50</v>
      </c>
      <c r="B132" s="2324" t="str">
        <f>F!B237</f>
        <v>Groundwater Strength of Evidence</v>
      </c>
      <c r="C132" s="1982" t="str">
        <f>F!C237</f>
        <v>Select first applicable choice:</v>
      </c>
      <c r="D132" s="306"/>
      <c r="E132" s="533"/>
      <c r="F132" s="533"/>
      <c r="G132" s="518">
        <f>MAX(F133:F135)/MAX(E133:E135)</f>
        <v>0</v>
      </c>
      <c r="H132" s="2324" t="s">
        <v>1345</v>
      </c>
      <c r="I132" s="2323" t="s">
        <v>376</v>
      </c>
      <c r="K132" s="123"/>
    </row>
    <row r="133" spans="1:11" s="63" customFormat="1" ht="42" customHeight="1" x14ac:dyDescent="0.2">
      <c r="A133" s="2399"/>
      <c r="B133" s="2324"/>
      <c r="C133" s="27"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33" s="295">
        <f>F!D238</f>
        <v>0</v>
      </c>
      <c r="E133" s="309">
        <v>2</v>
      </c>
      <c r="F133" s="309">
        <f>D133*E133</f>
        <v>0</v>
      </c>
      <c r="G133" s="504"/>
      <c r="H133" s="2324"/>
      <c r="I133" s="2324"/>
      <c r="K133" s="123"/>
    </row>
    <row r="134" spans="1:11" s="63" customFormat="1" ht="27" customHeight="1" x14ac:dyDescent="0.2">
      <c r="A134" s="2399"/>
      <c r="B134" s="2324"/>
      <c r="C134" s="891" t="str">
        <f>F!C239</f>
        <v>Most of the AA has a slope of &gt;5%, or is very close to the base of a natural slope longer than 100 and much steeper than the slope of the AA,  AND the pH of surface water, if known, is &gt;5.5.</v>
      </c>
      <c r="D134" s="211">
        <f>F!D239</f>
        <v>0</v>
      </c>
      <c r="E134" s="529">
        <v>1</v>
      </c>
      <c r="F134" s="529">
        <f>D134*E134</f>
        <v>0</v>
      </c>
      <c r="G134" s="527"/>
      <c r="H134" s="2324"/>
      <c r="I134" s="2324"/>
      <c r="K134" s="123"/>
    </row>
    <row r="135" spans="1:11" s="63" customFormat="1" ht="27" customHeight="1" thickBot="1" x14ac:dyDescent="0.25">
      <c r="A135" s="2553"/>
      <c r="B135" s="2325"/>
      <c r="C135" s="153" t="str">
        <f>F!C240</f>
        <v>Neither of above is true, although some groundwater may discharge to or flow through the AA. Or groundwater influx is unknown.</v>
      </c>
      <c r="D135" s="206">
        <f>F!D240</f>
        <v>1</v>
      </c>
      <c r="E135" s="530">
        <v>0</v>
      </c>
      <c r="F135" s="530">
        <f>D135*E135</f>
        <v>0</v>
      </c>
      <c r="G135" s="528"/>
      <c r="H135" s="2325"/>
      <c r="I135" s="2325"/>
      <c r="K135" s="123"/>
    </row>
    <row r="136" spans="1:11" ht="45" customHeight="1" thickBot="1" x14ac:dyDescent="0.25">
      <c r="A136" s="2486" t="str">
        <f>F!A247</f>
        <v>F52</v>
      </c>
      <c r="B136" s="2486" t="str">
        <f>F!B247</f>
        <v>Vegetated Buffer as % of Perimeter</v>
      </c>
      <c r="C136" s="345" t="str">
        <f>F!C247</f>
        <v>Within a zone extending 30 m laterally from the AA's edge with upland and/or other wetlands, the percentage that contains perennial vegetation cover (except lawns, row crops, heavily grazed land, conifer plantations) is:</v>
      </c>
      <c r="D136" s="543"/>
      <c r="E136" s="541"/>
      <c r="F136" s="542"/>
      <c r="G136" s="500">
        <f>IF((NoCA=1),"", (MAX(F137:F141))/MAX(E137:E141))</f>
        <v>1</v>
      </c>
      <c r="H136" s="2323" t="s">
        <v>1298</v>
      </c>
      <c r="I136" s="2326" t="s">
        <v>377</v>
      </c>
    </row>
    <row r="137" spans="1:11" ht="15" customHeight="1" x14ac:dyDescent="0.2">
      <c r="A137" s="2487"/>
      <c r="B137" s="2487"/>
      <c r="C137" s="1236" t="str">
        <f>F!C248</f>
        <v>&lt;5%.</v>
      </c>
      <c r="D137" s="1237">
        <f>F!D248</f>
        <v>1</v>
      </c>
      <c r="E137" s="515">
        <v>4</v>
      </c>
      <c r="F137" s="309">
        <f>D137*E137</f>
        <v>4</v>
      </c>
      <c r="G137" s="503"/>
      <c r="H137" s="2324"/>
      <c r="I137" s="2327"/>
    </row>
    <row r="138" spans="1:11" ht="15" customHeight="1" x14ac:dyDescent="0.2">
      <c r="A138" s="2487"/>
      <c r="B138" s="2487"/>
      <c r="C138" s="74" t="str">
        <f>F!C249</f>
        <v>5 to 30%.</v>
      </c>
      <c r="D138" s="232">
        <f>F!D249</f>
        <v>0</v>
      </c>
      <c r="E138" s="515">
        <v>3</v>
      </c>
      <c r="F138" s="309">
        <f>D138*E138</f>
        <v>0</v>
      </c>
      <c r="G138" s="504"/>
      <c r="H138" s="2324"/>
      <c r="I138" s="2327"/>
    </row>
    <row r="139" spans="1:11" ht="15" customHeight="1" x14ac:dyDescent="0.2">
      <c r="A139" s="2487"/>
      <c r="B139" s="2487"/>
      <c r="C139" s="74" t="str">
        <f>F!C250</f>
        <v>30 to 60%.</v>
      </c>
      <c r="D139" s="203">
        <f>F!D250</f>
        <v>0</v>
      </c>
      <c r="E139" s="515">
        <v>2</v>
      </c>
      <c r="F139" s="309">
        <f>D139*E139</f>
        <v>0</v>
      </c>
      <c r="G139" s="504"/>
      <c r="H139" s="2324"/>
      <c r="I139" s="2327"/>
    </row>
    <row r="140" spans="1:11" ht="15" customHeight="1" x14ac:dyDescent="0.2">
      <c r="A140" s="2487"/>
      <c r="B140" s="2487"/>
      <c r="C140" s="74" t="str">
        <f>F!C251</f>
        <v>60 to 90%.</v>
      </c>
      <c r="D140" s="218">
        <f>F!D251</f>
        <v>0</v>
      </c>
      <c r="E140" s="515">
        <v>1</v>
      </c>
      <c r="F140" s="309">
        <f>D140*E140</f>
        <v>0</v>
      </c>
      <c r="G140" s="504"/>
      <c r="H140" s="2324"/>
      <c r="I140" s="2327"/>
    </row>
    <row r="141" spans="1:11" ht="15" customHeight="1" thickBot="1" x14ac:dyDescent="0.25">
      <c r="A141" s="2488"/>
      <c r="B141" s="2488"/>
      <c r="C141" s="973" t="str">
        <f>F!C252</f>
        <v>&gt;90%, or all the area within 30 m of the AA edge is other wetlands. SKIP to F55.</v>
      </c>
      <c r="D141" s="277">
        <f>F!D252</f>
        <v>0</v>
      </c>
      <c r="E141" s="516">
        <v>0</v>
      </c>
      <c r="F141" s="505">
        <f>D141*E141</f>
        <v>0</v>
      </c>
      <c r="G141" s="506"/>
      <c r="H141" s="2325"/>
      <c r="I141" s="2328"/>
    </row>
    <row r="142" spans="1:11" ht="30" customHeight="1" thickBot="1" x14ac:dyDescent="0.25">
      <c r="A142" s="2487" t="str">
        <f>F!A256</f>
        <v>F54</v>
      </c>
      <c r="B142" s="2486" t="str">
        <f>F!B256</f>
        <v xml:space="preserve">Buffer Slope </v>
      </c>
      <c r="C142" s="486" t="str">
        <f>F!C256</f>
        <v>The steepest and/or most disturbed part of the upland area that is within 30 m of the wetland and occupies &gt;10% of that upland area has a percent slope of:</v>
      </c>
      <c r="D142" s="306"/>
      <c r="E142" s="512"/>
      <c r="F142" s="307"/>
      <c r="G142" s="518">
        <f>IF((NoCA=1),"",IF((BuffAllNat=1),"",MAX(F143:F146)/MAX(E143:E146)))</f>
        <v>0</v>
      </c>
      <c r="H142" s="2324" t="s">
        <v>1817</v>
      </c>
      <c r="I142" s="2326" t="s">
        <v>161</v>
      </c>
    </row>
    <row r="143" spans="1:11" ht="15" customHeight="1" x14ac:dyDescent="0.2">
      <c r="A143" s="2487"/>
      <c r="B143" s="2487"/>
      <c r="C143" s="60" t="str">
        <f>F!C257</f>
        <v>&lt;1% (flat -- almost no noticeable slope) or all the area within 30 m of the AA edge is other wetlands.</v>
      </c>
      <c r="D143" s="203">
        <f>F!D257</f>
        <v>1</v>
      </c>
      <c r="E143" s="515">
        <v>0</v>
      </c>
      <c r="F143" s="309">
        <f>D143*E143</f>
        <v>0</v>
      </c>
      <c r="G143" s="503"/>
      <c r="H143" s="2324"/>
      <c r="I143" s="2327"/>
    </row>
    <row r="144" spans="1:11" ht="15" customHeight="1" x14ac:dyDescent="0.2">
      <c r="A144" s="2487"/>
      <c r="B144" s="2487"/>
      <c r="C144" s="74" t="str">
        <f>F!C258</f>
        <v>2-5%.</v>
      </c>
      <c r="D144" s="203">
        <f>F!D258</f>
        <v>0</v>
      </c>
      <c r="E144" s="515">
        <v>1</v>
      </c>
      <c r="F144" s="309">
        <f>D144*E144</f>
        <v>0</v>
      </c>
      <c r="G144" s="504"/>
      <c r="H144" s="2324"/>
      <c r="I144" s="2327"/>
    </row>
    <row r="145" spans="1:9" ht="15" customHeight="1" x14ac:dyDescent="0.2">
      <c r="A145" s="2487"/>
      <c r="B145" s="2487"/>
      <c r="C145" s="74" t="str">
        <f>F!C259</f>
        <v>5-30%.</v>
      </c>
      <c r="D145" s="218">
        <f>F!D259</f>
        <v>0</v>
      </c>
      <c r="E145" s="515">
        <v>2</v>
      </c>
      <c r="F145" s="309">
        <f>D145*E145</f>
        <v>0</v>
      </c>
      <c r="G145" s="504"/>
      <c r="H145" s="2324"/>
      <c r="I145" s="2327"/>
    </row>
    <row r="146" spans="1:9" ht="15" customHeight="1" thickBot="1" x14ac:dyDescent="0.25">
      <c r="A146" s="2488"/>
      <c r="B146" s="2488"/>
      <c r="C146" s="1238" t="str">
        <f>F!C260</f>
        <v>&gt;30%.</v>
      </c>
      <c r="D146" s="277">
        <f>F!D260</f>
        <v>0</v>
      </c>
      <c r="E146" s="516">
        <v>3</v>
      </c>
      <c r="F146" s="505">
        <f>D146*E146</f>
        <v>0</v>
      </c>
      <c r="G146" s="506"/>
      <c r="H146" s="2325"/>
      <c r="I146" s="2328"/>
    </row>
    <row r="147" spans="1:9" ht="30" customHeight="1" thickBot="1" x14ac:dyDescent="0.25">
      <c r="A147" s="535" t="str">
        <f>S!A25</f>
        <v>S2</v>
      </c>
      <c r="B147" s="113" t="str">
        <f>S!B38</f>
        <v>Accelerated Inputs of Nutrients</v>
      </c>
      <c r="C147" s="1944" t="s">
        <v>978</v>
      </c>
      <c r="D147" s="234">
        <f>S!F50</f>
        <v>0.33333333333333331</v>
      </c>
      <c r="E147" s="514"/>
      <c r="F147" s="521"/>
      <c r="G147" s="500">
        <f>D147</f>
        <v>0.33333333333333331</v>
      </c>
      <c r="H147" s="73" t="s">
        <v>67</v>
      </c>
      <c r="I147" s="103" t="s">
        <v>381</v>
      </c>
    </row>
    <row r="148" spans="1:9" ht="21" customHeight="1" thickBot="1" x14ac:dyDescent="0.25">
      <c r="A148" s="2640"/>
      <c r="B148" s="2640"/>
      <c r="C148" s="2640"/>
      <c r="D148" s="2640"/>
      <c r="E148" s="2640"/>
      <c r="F148" s="2640"/>
      <c r="G148" s="2640"/>
      <c r="H148" s="2640"/>
    </row>
    <row r="149" spans="1:9" ht="30" customHeight="1" x14ac:dyDescent="0.2">
      <c r="A149" s="2641"/>
      <c r="B149" s="2641"/>
      <c r="C149" s="2642"/>
      <c r="D149" s="2565" t="s">
        <v>1127</v>
      </c>
      <c r="E149" s="2566"/>
      <c r="F149" s="2566"/>
      <c r="G149" s="1430">
        <f>_GDD3</f>
        <v>0.625</v>
      </c>
      <c r="H149" s="1422" t="s">
        <v>2183</v>
      </c>
      <c r="I149" s="1423" t="s">
        <v>2102</v>
      </c>
    </row>
    <row r="150" spans="1:9" ht="21" customHeight="1" x14ac:dyDescent="0.2">
      <c r="A150" s="2641"/>
      <c r="B150" s="2641"/>
      <c r="C150" s="2642"/>
      <c r="D150" s="2638" t="s">
        <v>1134</v>
      </c>
      <c r="E150" s="2639"/>
      <c r="F150" s="2639"/>
      <c r="G150" s="1429">
        <f>AVERAGE(Gradient3, FlowDist3,AVERAGE(Girreg3,Gcover3,CApctB3))</f>
        <v>0.79629629629629628</v>
      </c>
      <c r="H150" s="1427" t="s">
        <v>2080</v>
      </c>
      <c r="I150" s="1424" t="s">
        <v>2103</v>
      </c>
    </row>
    <row r="151" spans="1:9" ht="27" customHeight="1" x14ac:dyDescent="0.2">
      <c r="A151" s="2641"/>
      <c r="B151" s="2641"/>
      <c r="C151" s="2642"/>
      <c r="D151" s="2638" t="s">
        <v>1135</v>
      </c>
      <c r="E151" s="2639"/>
      <c r="F151" s="2639"/>
      <c r="G151" s="1429" t="str">
        <f>IF((AllSat1=1),"", IF((NoPonded=1),"",AVERAGE(VegWabs3, MAX(ThruFlo3,AqPlantCov3, Interspers3))))</f>
        <v/>
      </c>
      <c r="H151" s="1407" t="s">
        <v>2081</v>
      </c>
      <c r="I151" s="1424" t="s">
        <v>2104</v>
      </c>
    </row>
    <row r="152" spans="1:9" ht="21" customHeight="1" x14ac:dyDescent="0.2">
      <c r="A152" s="2641"/>
      <c r="B152" s="2641"/>
      <c r="C152" s="2642"/>
      <c r="D152" s="2638" t="s">
        <v>120</v>
      </c>
      <c r="E152" s="2639"/>
      <c r="F152" s="2639"/>
      <c r="G152" s="1429">
        <f>AVERAGE(OutDura3,Gradient3,Constric3,FlowDist3,Lake3a)</f>
        <v>0.56666666666666665</v>
      </c>
      <c r="H152" s="1407" t="s">
        <v>2082</v>
      </c>
      <c r="I152" s="1424" t="s">
        <v>2105</v>
      </c>
    </row>
    <row r="153" spans="1:9" ht="21" customHeight="1" x14ac:dyDescent="0.2">
      <c r="A153" s="2641"/>
      <c r="B153" s="2641"/>
      <c r="C153" s="2642"/>
      <c r="D153" s="2638" t="s">
        <v>1136</v>
      </c>
      <c r="E153" s="2639"/>
      <c r="F153" s="2639"/>
      <c r="G153" s="1429">
        <f>AVERAGE(SoilTex3, Stain3,CalcFen3)</f>
        <v>0.8</v>
      </c>
      <c r="H153" s="1407" t="s">
        <v>2083</v>
      </c>
      <c r="I153" s="1424" t="s">
        <v>2106</v>
      </c>
    </row>
    <row r="154" spans="1:9" ht="21" customHeight="1" thickBot="1" x14ac:dyDescent="0.25">
      <c r="A154" s="2641"/>
      <c r="B154" s="2641"/>
      <c r="C154" s="2642"/>
      <c r="D154" s="2563" t="s">
        <v>1137</v>
      </c>
      <c r="E154" s="2564"/>
      <c r="F154" s="2564"/>
      <c r="G154" s="1275">
        <f>AVERAGE(SatPct3,Persis3,DomDepth3,Fluctu3,Algae3)</f>
        <v>0.45</v>
      </c>
      <c r="H154" s="1425" t="s">
        <v>976</v>
      </c>
      <c r="I154" s="1426" t="s">
        <v>2107</v>
      </c>
    </row>
    <row r="155" spans="1:9" ht="21" customHeight="1" thickBot="1" x14ac:dyDescent="0.25">
      <c r="A155" s="2641"/>
      <c r="B155" s="2641"/>
      <c r="C155" s="2641"/>
      <c r="D155" s="2641"/>
      <c r="E155" s="2641"/>
      <c r="F155" s="2641"/>
      <c r="G155" s="2641"/>
      <c r="H155" s="2641"/>
    </row>
    <row r="156" spans="1:9" ht="45" customHeight="1" thickBot="1" x14ac:dyDescent="0.25">
      <c r="A156" s="2642"/>
      <c r="B156" s="2653"/>
      <c r="C156" s="2506" t="s">
        <v>62</v>
      </c>
      <c r="D156" s="2507"/>
      <c r="E156" s="2508"/>
      <c r="F156" s="1193" t="s">
        <v>52</v>
      </c>
      <c r="G156" s="1191">
        <f>IFERROR(10*(IF((AllSat1=1), AVERAGE(IntercepDry3,Adsorb3,FreezeDura3), IF((NoOutlet3=1),1, (3*AVERAGE(Adsorb3, Desorb3) + 2*Connec3 + AVERAGE(IntercepDry3, IntercepWet3) + FreezeDura3)/ 7))),"")</f>
        <v>6.3280423280423284</v>
      </c>
      <c r="H156" s="2525" t="s">
        <v>2427</v>
      </c>
      <c r="I156" s="2526"/>
    </row>
    <row r="157" spans="1:9" ht="30" customHeight="1" thickBot="1" x14ac:dyDescent="0.25">
      <c r="A157" s="2642"/>
      <c r="B157" s="2653"/>
      <c r="C157" s="2506" t="s">
        <v>1905</v>
      </c>
      <c r="D157" s="2507"/>
      <c r="E157" s="2508"/>
      <c r="F157" s="1453" t="s">
        <v>2219</v>
      </c>
      <c r="G157" s="1192">
        <f>10*((MAX(Pload3,PsampUp3,PsampDown3,AVERAGE(Inflo3,AVERAGE(BuffSlope3,CApct3,Transport3,Groundw3,ImpervCA3,NatCApct3)))))</f>
        <v>5.8333333333333339</v>
      </c>
      <c r="H157" s="2525" t="s">
        <v>2353</v>
      </c>
      <c r="I157" s="2526"/>
    </row>
    <row r="158" spans="1:9" ht="21" customHeight="1" thickBot="1" x14ac:dyDescent="0.25">
      <c r="A158" s="2618"/>
      <c r="B158" s="2618"/>
      <c r="C158" s="2618"/>
      <c r="D158" s="2618"/>
      <c r="E158" s="2618"/>
      <c r="F158" s="2618"/>
      <c r="G158" s="2618"/>
      <c r="H158" s="2618"/>
    </row>
    <row r="159" spans="1:9" ht="21" customHeight="1" thickBot="1" x14ac:dyDescent="0.25">
      <c r="B159" s="59"/>
      <c r="D159" s="59"/>
      <c r="E159" s="59"/>
      <c r="F159" s="59"/>
      <c r="G159" s="60"/>
      <c r="H159" s="2651" t="s">
        <v>669</v>
      </c>
      <c r="I159" s="2652"/>
    </row>
    <row r="160" spans="1:9" ht="27" customHeight="1" x14ac:dyDescent="0.2">
      <c r="B160" s="59"/>
      <c r="D160" s="59"/>
      <c r="E160" s="59"/>
      <c r="F160" s="59"/>
      <c r="G160" s="60"/>
      <c r="H160" s="2647" t="s">
        <v>706</v>
      </c>
      <c r="I160" s="2648"/>
    </row>
    <row r="161" spans="2:9" ht="27" customHeight="1" x14ac:dyDescent="0.2">
      <c r="B161" s="59"/>
      <c r="D161" s="59"/>
      <c r="E161" s="59"/>
      <c r="F161" s="59"/>
      <c r="G161" s="60"/>
      <c r="H161" s="2649" t="s">
        <v>707</v>
      </c>
      <c r="I161" s="2650"/>
    </row>
    <row r="162" spans="2:9" ht="42" customHeight="1" x14ac:dyDescent="0.2">
      <c r="B162" s="59"/>
      <c r="D162" s="59"/>
      <c r="E162" s="59"/>
      <c r="F162" s="59"/>
      <c r="G162" s="60"/>
      <c r="H162" s="2649" t="s">
        <v>688</v>
      </c>
      <c r="I162" s="2650"/>
    </row>
    <row r="163" spans="2:9" ht="27" customHeight="1" x14ac:dyDescent="0.2">
      <c r="B163" s="59"/>
      <c r="D163" s="59"/>
      <c r="E163" s="59"/>
      <c r="F163" s="59"/>
      <c r="G163" s="60"/>
      <c r="H163" s="2649" t="s">
        <v>1500</v>
      </c>
      <c r="I163" s="2650"/>
    </row>
    <row r="164" spans="2:9" ht="42" customHeight="1" x14ac:dyDescent="0.2">
      <c r="B164" s="59"/>
      <c r="D164" s="59"/>
      <c r="E164" s="59"/>
      <c r="F164" s="59"/>
      <c r="G164" s="60"/>
      <c r="H164" s="2649" t="s">
        <v>708</v>
      </c>
      <c r="I164" s="2650"/>
    </row>
    <row r="165" spans="2:9" ht="27" customHeight="1" x14ac:dyDescent="0.2">
      <c r="B165" s="59"/>
      <c r="D165" s="59"/>
      <c r="E165" s="59"/>
      <c r="F165" s="59"/>
      <c r="G165" s="60"/>
      <c r="H165" s="2531" t="s">
        <v>1367</v>
      </c>
      <c r="I165" s="2532"/>
    </row>
    <row r="166" spans="2:9" ht="42" customHeight="1" x14ac:dyDescent="0.2">
      <c r="B166" s="59"/>
      <c r="D166" s="59"/>
      <c r="E166" s="59"/>
      <c r="F166" s="59"/>
      <c r="G166" s="60"/>
      <c r="H166" s="2654" t="s">
        <v>709</v>
      </c>
      <c r="I166" s="2655"/>
    </row>
    <row r="167" spans="2:9" ht="27" customHeight="1" x14ac:dyDescent="0.2">
      <c r="B167" s="59"/>
      <c r="D167" s="59"/>
      <c r="E167" s="59"/>
      <c r="F167" s="59"/>
      <c r="G167" s="60"/>
      <c r="H167" s="2654" t="s">
        <v>710</v>
      </c>
      <c r="I167" s="2655"/>
    </row>
    <row r="168" spans="2:9" ht="57" customHeight="1" x14ac:dyDescent="0.2">
      <c r="B168" s="59"/>
      <c r="D168" s="59"/>
      <c r="E168" s="59"/>
      <c r="F168" s="59"/>
      <c r="G168" s="60"/>
      <c r="H168" s="2658" t="s">
        <v>1364</v>
      </c>
      <c r="I168" s="2659"/>
    </row>
    <row r="169" spans="2:9" ht="27" customHeight="1" x14ac:dyDescent="0.2">
      <c r="B169" s="59"/>
      <c r="D169" s="59"/>
      <c r="E169" s="59"/>
      <c r="F169" s="59"/>
      <c r="G169" s="60"/>
      <c r="H169" s="2649" t="s">
        <v>693</v>
      </c>
      <c r="I169" s="2650"/>
    </row>
    <row r="170" spans="2:9" ht="27" customHeight="1" x14ac:dyDescent="0.2">
      <c r="B170" s="59"/>
      <c r="D170" s="59"/>
      <c r="E170" s="59"/>
      <c r="F170" s="59"/>
      <c r="G170" s="60"/>
      <c r="H170" s="2649" t="s">
        <v>711</v>
      </c>
      <c r="I170" s="2650"/>
    </row>
    <row r="171" spans="2:9" ht="27" customHeight="1" x14ac:dyDescent="0.2">
      <c r="B171" s="59"/>
      <c r="D171" s="59"/>
      <c r="E171" s="59"/>
      <c r="F171" s="59"/>
      <c r="G171" s="60"/>
      <c r="H171" s="2649" t="s">
        <v>712</v>
      </c>
      <c r="I171" s="2650"/>
    </row>
    <row r="172" spans="2:9" ht="42" customHeight="1" x14ac:dyDescent="0.2">
      <c r="B172" s="59"/>
      <c r="D172" s="59"/>
      <c r="E172" s="59"/>
      <c r="F172" s="59"/>
      <c r="G172" s="60"/>
      <c r="H172" s="2649" t="s">
        <v>697</v>
      </c>
      <c r="I172" s="2650"/>
    </row>
    <row r="173" spans="2:9" ht="42" customHeight="1" x14ac:dyDescent="0.2">
      <c r="B173" s="59"/>
      <c r="D173" s="59"/>
      <c r="E173" s="59"/>
      <c r="F173" s="59"/>
      <c r="G173" s="60"/>
      <c r="H173" s="2649" t="s">
        <v>713</v>
      </c>
      <c r="I173" s="2650"/>
    </row>
    <row r="174" spans="2:9" ht="42" customHeight="1" x14ac:dyDescent="0.2">
      <c r="B174" s="59"/>
      <c r="D174" s="59"/>
      <c r="E174" s="59"/>
      <c r="F174" s="59"/>
      <c r="G174" s="60"/>
      <c r="H174" s="2649" t="s">
        <v>714</v>
      </c>
      <c r="I174" s="2650"/>
    </row>
    <row r="175" spans="2:9" ht="27" customHeight="1" x14ac:dyDescent="0.2">
      <c r="B175" s="59"/>
      <c r="D175" s="59"/>
      <c r="E175" s="59"/>
      <c r="F175" s="59"/>
      <c r="G175" s="60"/>
      <c r="H175" s="2649" t="s">
        <v>1501</v>
      </c>
      <c r="I175" s="2650"/>
    </row>
    <row r="176" spans="2:9" ht="27" customHeight="1" x14ac:dyDescent="0.2">
      <c r="B176" s="59"/>
      <c r="D176" s="59"/>
      <c r="E176" s="59"/>
      <c r="F176" s="59"/>
      <c r="G176" s="60"/>
      <c r="H176" s="2649" t="s">
        <v>1502</v>
      </c>
      <c r="I176" s="2650"/>
    </row>
    <row r="177" spans="2:11" ht="27" customHeight="1" x14ac:dyDescent="0.2">
      <c r="H177" s="2649" t="s">
        <v>715</v>
      </c>
      <c r="I177" s="2650"/>
    </row>
    <row r="178" spans="2:11" ht="27" customHeight="1" x14ac:dyDescent="0.2">
      <c r="H178" s="2654" t="s">
        <v>716</v>
      </c>
      <c r="I178" s="2655"/>
    </row>
    <row r="179" spans="2:11" ht="42" customHeight="1" x14ac:dyDescent="0.2">
      <c r="B179" s="59"/>
      <c r="D179" s="59"/>
      <c r="E179" s="59"/>
      <c r="F179" s="59"/>
      <c r="G179" s="60"/>
      <c r="H179" s="2649" t="s">
        <v>717</v>
      </c>
      <c r="I179" s="2650"/>
    </row>
    <row r="180" spans="2:11" ht="42" customHeight="1" x14ac:dyDescent="0.2">
      <c r="B180" s="59"/>
      <c r="D180" s="59"/>
      <c r="E180" s="59"/>
      <c r="F180" s="59"/>
      <c r="G180" s="60"/>
      <c r="H180" s="2649" t="s">
        <v>1191</v>
      </c>
      <c r="I180" s="2650"/>
    </row>
    <row r="181" spans="2:11" ht="42" customHeight="1" thickBot="1" x14ac:dyDescent="0.25">
      <c r="B181" s="59"/>
      <c r="D181" s="59"/>
      <c r="E181" s="59"/>
      <c r="F181" s="59"/>
      <c r="G181" s="60"/>
      <c r="H181" s="2656" t="s">
        <v>703</v>
      </c>
      <c r="I181" s="2657"/>
    </row>
    <row r="182" spans="2:11" ht="42" customHeight="1" x14ac:dyDescent="0.2">
      <c r="B182" s="59"/>
      <c r="D182" s="59"/>
      <c r="E182" s="59"/>
      <c r="F182" s="59"/>
      <c r="G182" s="60"/>
    </row>
    <row r="183" spans="2:11" ht="42" customHeight="1" x14ac:dyDescent="0.2">
      <c r="B183" s="59"/>
      <c r="D183" s="59"/>
      <c r="E183" s="59"/>
      <c r="F183" s="59"/>
      <c r="G183" s="60"/>
    </row>
    <row r="184" spans="2:11" ht="42" customHeight="1" x14ac:dyDescent="0.2">
      <c r="B184" s="59"/>
      <c r="D184" s="59"/>
      <c r="E184" s="59"/>
      <c r="F184" s="59"/>
      <c r="G184" s="60"/>
    </row>
    <row r="190" spans="2:11" x14ac:dyDescent="0.2">
      <c r="J190" s="63"/>
    </row>
    <row r="191" spans="2:11" x14ac:dyDescent="0.2">
      <c r="J191" s="61"/>
      <c r="K191" s="147"/>
    </row>
    <row r="192" spans="2:11" x14ac:dyDescent="0.2">
      <c r="I192" s="3"/>
      <c r="J192" s="61"/>
      <c r="K192" s="147"/>
    </row>
    <row r="193" spans="1:11" x14ac:dyDescent="0.2">
      <c r="I193" s="3"/>
      <c r="J193" s="69"/>
      <c r="K193" s="147"/>
    </row>
    <row r="194" spans="1:11" x14ac:dyDescent="0.2">
      <c r="I194" s="3"/>
      <c r="J194" s="69"/>
      <c r="K194" s="147"/>
    </row>
    <row r="195" spans="1:11" x14ac:dyDescent="0.2">
      <c r="I195" s="3"/>
      <c r="J195" s="69"/>
      <c r="K195" s="147"/>
    </row>
    <row r="196" spans="1:11" x14ac:dyDescent="0.2">
      <c r="I196" s="3"/>
      <c r="J196" s="69"/>
      <c r="K196" s="147"/>
    </row>
    <row r="197" spans="1:11" x14ac:dyDescent="0.2">
      <c r="I197" s="3"/>
      <c r="J197" s="69"/>
      <c r="K197" s="147"/>
    </row>
    <row r="198" spans="1:11" x14ac:dyDescent="0.2">
      <c r="I198" s="3"/>
      <c r="J198" s="61"/>
      <c r="K198" s="147"/>
    </row>
    <row r="199" spans="1:11" x14ac:dyDescent="0.2">
      <c r="I199" s="3"/>
      <c r="J199" s="69"/>
      <c r="K199" s="147"/>
    </row>
    <row r="200" spans="1:11" s="60" customFormat="1" x14ac:dyDescent="0.2">
      <c r="A200" s="59"/>
      <c r="B200" s="68"/>
      <c r="C200" s="59"/>
      <c r="D200" s="531"/>
      <c r="E200" s="531"/>
      <c r="F200" s="531"/>
      <c r="G200" s="532"/>
      <c r="H200" s="6"/>
      <c r="I200" s="3"/>
      <c r="K200" s="147"/>
    </row>
    <row r="201" spans="1:11" s="60" customFormat="1" x14ac:dyDescent="0.2">
      <c r="A201" s="59"/>
      <c r="B201" s="68"/>
      <c r="C201" s="59"/>
      <c r="D201" s="531"/>
      <c r="E201" s="531"/>
      <c r="F201" s="531"/>
      <c r="G201" s="532"/>
      <c r="H201" s="6"/>
      <c r="I201" s="3"/>
      <c r="K201" s="147"/>
    </row>
    <row r="202" spans="1:11" x14ac:dyDescent="0.2">
      <c r="I202" s="3"/>
    </row>
  </sheetData>
  <sheetProtection algorithmName="SHA-512" hashValue="6OSqrmZ9dyd6Ip9oPB3GCzRi9XD/obT0Uv10v4nOwL2ZHcPWNK8Zcay/RI6iwptFgq7HBPdA9GrgMIzebZgQJQ==" saltValue="JXT7+Xhw2GQdHrW4o9jarw==" spinCount="100000" sheet="1" formatCells="0" formatColumns="0" formatRows="0"/>
  <customSheetViews>
    <customSheetView guid="{B8E02330-2419-4DE6-AD01-7ACC7A5D18DD}" scale="75">
      <selection activeCell="H167" sqref="A2:H167"/>
      <pageMargins left="0.75" right="0.75" top="1" bottom="1" header="0.5" footer="0.5"/>
      <pageSetup orientation="portrait" r:id="rId1"/>
      <headerFooter alignWithMargins="0"/>
    </customSheetView>
  </customSheetViews>
  <mergeCells count="144">
    <mergeCell ref="H167:I167"/>
    <mergeCell ref="H168:I168"/>
    <mergeCell ref="H169:I169"/>
    <mergeCell ref="H170:I170"/>
    <mergeCell ref="H171:I171"/>
    <mergeCell ref="H162:I162"/>
    <mergeCell ref="H163:I163"/>
    <mergeCell ref="H164:I164"/>
    <mergeCell ref="H165:I165"/>
    <mergeCell ref="H166:I166"/>
    <mergeCell ref="H177:I177"/>
    <mergeCell ref="H178:I178"/>
    <mergeCell ref="H179:I179"/>
    <mergeCell ref="H180:I180"/>
    <mergeCell ref="H181:I181"/>
    <mergeCell ref="H172:I172"/>
    <mergeCell ref="H173:I173"/>
    <mergeCell ref="H174:I174"/>
    <mergeCell ref="H175:I175"/>
    <mergeCell ref="H176:I176"/>
    <mergeCell ref="H161:I161"/>
    <mergeCell ref="I136:I141"/>
    <mergeCell ref="I142:I146"/>
    <mergeCell ref="I113:I117"/>
    <mergeCell ref="I118:I121"/>
    <mergeCell ref="I122:I125"/>
    <mergeCell ref="I127:I131"/>
    <mergeCell ref="I132:I135"/>
    <mergeCell ref="H113:H117"/>
    <mergeCell ref="H156:I156"/>
    <mergeCell ref="H157:I157"/>
    <mergeCell ref="H159:I159"/>
    <mergeCell ref="A158:H158"/>
    <mergeCell ref="C157:E157"/>
    <mergeCell ref="D154:F154"/>
    <mergeCell ref="A136:A141"/>
    <mergeCell ref="C156:E156"/>
    <mergeCell ref="D153:F153"/>
    <mergeCell ref="A155:H155"/>
    <mergeCell ref="A156:B157"/>
    <mergeCell ref="H142:H146"/>
    <mergeCell ref="H136:H141"/>
    <mergeCell ref="D149:F149"/>
    <mergeCell ref="D152:F152"/>
    <mergeCell ref="I103:I107"/>
    <mergeCell ref="I108:I112"/>
    <mergeCell ref="I51:I56"/>
    <mergeCell ref="I57:I63"/>
    <mergeCell ref="I64:I70"/>
    <mergeCell ref="I71:I74"/>
    <mergeCell ref="I76:I81"/>
    <mergeCell ref="I96:I100"/>
    <mergeCell ref="H160:I160"/>
    <mergeCell ref="I82:I85"/>
    <mergeCell ref="I86:I91"/>
    <mergeCell ref="I92:I95"/>
    <mergeCell ref="H57:H63"/>
    <mergeCell ref="A108:A112"/>
    <mergeCell ref="H108:H112"/>
    <mergeCell ref="B122:B125"/>
    <mergeCell ref="A122:A125"/>
    <mergeCell ref="H118:H121"/>
    <mergeCell ref="B108:B112"/>
    <mergeCell ref="H96:H100"/>
    <mergeCell ref="H132:H135"/>
    <mergeCell ref="H122:H125"/>
    <mergeCell ref="B132:B135"/>
    <mergeCell ref="A132:A135"/>
    <mergeCell ref="H127:H131"/>
    <mergeCell ref="B127:B131"/>
    <mergeCell ref="A127:A131"/>
    <mergeCell ref="A118:A121"/>
    <mergeCell ref="B118:B121"/>
    <mergeCell ref="A96:A100"/>
    <mergeCell ref="A142:A146"/>
    <mergeCell ref="B142:B146"/>
    <mergeCell ref="B136:B141"/>
    <mergeCell ref="D150:F150"/>
    <mergeCell ref="D151:F151"/>
    <mergeCell ref="A148:H148"/>
    <mergeCell ref="A149:C154"/>
    <mergeCell ref="H16:H20"/>
    <mergeCell ref="H21:H24"/>
    <mergeCell ref="H25:H30"/>
    <mergeCell ref="B103:B107"/>
    <mergeCell ref="H103:H107"/>
    <mergeCell ref="A103:A107"/>
    <mergeCell ref="H92:H95"/>
    <mergeCell ref="B92:B95"/>
    <mergeCell ref="B82:B85"/>
    <mergeCell ref="H76:H81"/>
    <mergeCell ref="A86:A91"/>
    <mergeCell ref="A92:A95"/>
    <mergeCell ref="H86:H91"/>
    <mergeCell ref="H82:H85"/>
    <mergeCell ref="A113:A117"/>
    <mergeCell ref="B113:B117"/>
    <mergeCell ref="B96:B100"/>
    <mergeCell ref="A16:A20"/>
    <mergeCell ref="A25:A30"/>
    <mergeCell ref="A51:A56"/>
    <mergeCell ref="I16:I20"/>
    <mergeCell ref="I21:I24"/>
    <mergeCell ref="I25:I30"/>
    <mergeCell ref="I32:I38"/>
    <mergeCell ref="I39:I44"/>
    <mergeCell ref="I45:I50"/>
    <mergeCell ref="B57:B63"/>
    <mergeCell ref="A57:A63"/>
    <mergeCell ref="B86:B91"/>
    <mergeCell ref="A64:A70"/>
    <mergeCell ref="A82:A85"/>
    <mergeCell ref="B51:B56"/>
    <mergeCell ref="H64:H70"/>
    <mergeCell ref="H32:H38"/>
    <mergeCell ref="H39:H44"/>
    <mergeCell ref="A76:A81"/>
    <mergeCell ref="B76:B81"/>
    <mergeCell ref="B39:B44"/>
    <mergeCell ref="A32:A38"/>
    <mergeCell ref="A1:B1"/>
    <mergeCell ref="H71:H74"/>
    <mergeCell ref="A71:A74"/>
    <mergeCell ref="B71:B74"/>
    <mergeCell ref="H8:H14"/>
    <mergeCell ref="A8:A14"/>
    <mergeCell ref="H51:H56"/>
    <mergeCell ref="H45:H50"/>
    <mergeCell ref="A3:A7"/>
    <mergeCell ref="B32:B38"/>
    <mergeCell ref="B25:B30"/>
    <mergeCell ref="A21:A24"/>
    <mergeCell ref="B21:B24"/>
    <mergeCell ref="B16:B20"/>
    <mergeCell ref="B45:B50"/>
    <mergeCell ref="A39:A44"/>
    <mergeCell ref="B64:B70"/>
    <mergeCell ref="B3:B7"/>
    <mergeCell ref="A45:A50"/>
    <mergeCell ref="H3:H7"/>
    <mergeCell ref="B8:B14"/>
    <mergeCell ref="E1:I1"/>
    <mergeCell ref="I3:I7"/>
    <mergeCell ref="I8:I14"/>
  </mergeCells>
  <phoneticPr fontId="3" type="noConversion"/>
  <pageMargins left="0.75" right="0.75" top="1" bottom="1" header="0.5" footer="0.5"/>
  <pageSetup orientation="portrait"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AF273"/>
  <sheetViews>
    <sheetView topLeftCell="A118" zoomScaleNormal="100" workbookViewId="0">
      <selection activeCell="M129" sqref="M129"/>
    </sheetView>
  </sheetViews>
  <sheetFormatPr defaultColWidth="9.33203125" defaultRowHeight="12.75" x14ac:dyDescent="0.2"/>
  <cols>
    <col min="1" max="1" width="5.83203125" style="30" customWidth="1"/>
    <col min="2" max="2" width="18.83203125" style="6" customWidth="1"/>
    <col min="3" max="3" width="75.83203125" style="6" customWidth="1"/>
    <col min="4" max="6" width="7.83203125" style="564" customWidth="1"/>
    <col min="7" max="7" width="9.83203125" style="565" customWidth="1"/>
    <col min="8" max="8" width="64.83203125" style="7" customWidth="1"/>
    <col min="9" max="9" width="9.83203125" style="6" customWidth="1"/>
    <col min="10" max="16384" width="9.33203125" style="6"/>
  </cols>
  <sheetData>
    <row r="1" spans="1:9" s="104" customFormat="1" ht="69" customHeight="1" thickBot="1" x14ac:dyDescent="0.25">
      <c r="A1" s="2584" t="s">
        <v>2328</v>
      </c>
      <c r="B1" s="2585"/>
      <c r="C1" s="2058" t="s">
        <v>1447</v>
      </c>
      <c r="D1" s="2064" t="s">
        <v>1065</v>
      </c>
      <c r="E1" s="2634"/>
      <c r="F1" s="2635"/>
      <c r="G1" s="2635"/>
      <c r="H1" s="2635"/>
      <c r="I1" s="2635"/>
    </row>
    <row r="2" spans="1:9" s="106" customFormat="1" ht="36" customHeight="1" thickBot="1" x14ac:dyDescent="0.25">
      <c r="A2" s="1158" t="s">
        <v>88</v>
      </c>
      <c r="B2" s="1158" t="s">
        <v>1425</v>
      </c>
      <c r="C2" s="1196" t="s">
        <v>1165</v>
      </c>
      <c r="D2" s="1204" t="s">
        <v>45</v>
      </c>
      <c r="E2" s="1179" t="s">
        <v>1189</v>
      </c>
      <c r="F2" s="1180" t="s">
        <v>2580</v>
      </c>
      <c r="G2" s="1181" t="s">
        <v>2555</v>
      </c>
      <c r="H2" s="1182" t="s">
        <v>1118</v>
      </c>
      <c r="I2" s="1232" t="s">
        <v>2424</v>
      </c>
    </row>
    <row r="3" spans="1:9" ht="21" customHeight="1" thickBot="1" x14ac:dyDescent="0.25">
      <c r="A3" s="2586" t="str">
        <f>OF!A86</f>
        <v>OF16</v>
      </c>
      <c r="B3" s="2529" t="str">
        <f>OF!B86</f>
        <v>Upland Edge Contact</v>
      </c>
      <c r="C3" s="365" t="str">
        <f>OF!C86</f>
        <v>Select one:</v>
      </c>
      <c r="D3" s="304"/>
      <c r="E3" s="304"/>
      <c r="F3" s="305"/>
      <c r="G3" s="465">
        <f>MAX(F4:F6)/MAX(E4:E6)</f>
        <v>0</v>
      </c>
      <c r="H3" s="2529" t="s">
        <v>586</v>
      </c>
      <c r="I3" s="2326" t="s">
        <v>2851</v>
      </c>
    </row>
    <row r="4" spans="1:9" ht="27" customHeight="1" x14ac:dyDescent="0.2">
      <c r="A4" s="2399"/>
      <c r="B4" s="2404"/>
      <c r="C4" s="27" t="str">
        <f>OF!C87</f>
        <v>The AA has no upland edge (or upland is &lt;1% of perimeter). The AA is entirely surrounded by (&amp; contiguous with) other wetlands or water.</v>
      </c>
      <c r="D4" s="213">
        <f>OF!D87</f>
        <v>1</v>
      </c>
      <c r="E4" s="300">
        <v>0</v>
      </c>
      <c r="F4" s="300">
        <f>D4*E4</f>
        <v>0</v>
      </c>
      <c r="G4" s="548"/>
      <c r="H4" s="2404"/>
      <c r="I4" s="2327"/>
    </row>
    <row r="5" spans="1:9" ht="27" customHeight="1" x14ac:dyDescent="0.2">
      <c r="A5" s="2399"/>
      <c r="B5" s="2404"/>
      <c r="C5" s="5" t="str">
        <f>OF!C90</f>
        <v>50-75% of the AA's perimeter abuts upland. The rest adjoins other wetlands or water that is mostly wider than the AA.</v>
      </c>
      <c r="D5" s="205">
        <f>OF!D90</f>
        <v>0</v>
      </c>
      <c r="E5" s="300">
        <v>2</v>
      </c>
      <c r="F5" s="300">
        <f>D5*E5</f>
        <v>0</v>
      </c>
      <c r="G5" s="549"/>
      <c r="H5" s="2404"/>
      <c r="I5" s="2327"/>
    </row>
    <row r="6" spans="1:9" ht="27" customHeight="1" thickBot="1" x14ac:dyDescent="0.25">
      <c r="A6" s="2399"/>
      <c r="B6" s="2404"/>
      <c r="C6" s="366" t="str">
        <f>OF!C91</f>
        <v>More than 75% of the AA's perimeter abuts upland. Any remainder adjoins other wetlands or water that is mostly wider than the AA.  This will be true for most assessments done with WESP-AC.</v>
      </c>
      <c r="D6" s="211">
        <f>OF!D91</f>
        <v>0</v>
      </c>
      <c r="E6" s="303">
        <v>1</v>
      </c>
      <c r="F6" s="303">
        <f>D6*E6</f>
        <v>0</v>
      </c>
      <c r="G6" s="558"/>
      <c r="H6" s="2404"/>
      <c r="I6" s="2328"/>
    </row>
    <row r="7" spans="1:9" ht="60" customHeight="1" thickBot="1" x14ac:dyDescent="0.25">
      <c r="A7" s="1292" t="str">
        <f>OF!A97</f>
        <v>OF18</v>
      </c>
      <c r="B7" s="1841" t="str">
        <f>OF!B97</f>
        <v>Relative Elevation in Watershed</v>
      </c>
      <c r="C7" s="157" t="str">
        <f>OF!C97</f>
        <v>In Google Earth, enable the Terrain layer (lower left menu) and open the NB_Watersheds KMZ file that accompanies this calculator. Then determine the AA's approximate elevation (bottom right, NOT the "eye alt").  Then move cursor around to determine the watershed's maximum and minimum elevation.  Divide the AA's elevation by the (max-min).</v>
      </c>
      <c r="D7" s="323"/>
      <c r="E7" s="315"/>
      <c r="F7" s="304"/>
      <c r="G7" s="465">
        <f>ShedPos</f>
        <v>0.01</v>
      </c>
      <c r="H7" s="1840" t="s">
        <v>2560</v>
      </c>
      <c r="I7" s="1843" t="s">
        <v>1328</v>
      </c>
    </row>
    <row r="8" spans="1:9" ht="93.75" customHeight="1" thickBot="1" x14ac:dyDescent="0.25">
      <c r="A8" s="2368" t="str">
        <f>OF!A109</f>
        <v>OF22</v>
      </c>
      <c r="B8" s="2491" t="str">
        <f>OF!B109</f>
        <v>Wetland as a % of Its Contributing Area (Catchment)</v>
      </c>
      <c r="C8" s="371" t="str">
        <f>OF!C109</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8" s="304"/>
      <c r="E8" s="551"/>
      <c r="F8" s="304"/>
      <c r="G8" s="465">
        <f>MAX(F9:F12)/MAX(E9:E12)</f>
        <v>0</v>
      </c>
      <c r="H8" s="2323" t="s">
        <v>1095</v>
      </c>
      <c r="I8" s="2326" t="s">
        <v>1015</v>
      </c>
    </row>
    <row r="9" spans="1:9" ht="15" customHeight="1" x14ac:dyDescent="0.2">
      <c r="A9" s="2369"/>
      <c r="B9" s="2492"/>
      <c r="C9" s="1883" t="str">
        <f>OF!C110</f>
        <v>&lt;0.01, or catchment size unknown due to stormwater pipes that collect water from an indeterminate area.</v>
      </c>
      <c r="D9" s="212">
        <f>OF!D110</f>
        <v>0</v>
      </c>
      <c r="E9" s="300">
        <v>0</v>
      </c>
      <c r="F9" s="303">
        <f>D9*E9</f>
        <v>0</v>
      </c>
      <c r="G9" s="549"/>
      <c r="H9" s="2324"/>
      <c r="I9" s="2327"/>
    </row>
    <row r="10" spans="1:9" ht="15" customHeight="1" x14ac:dyDescent="0.2">
      <c r="A10" s="2369"/>
      <c r="B10" s="2492"/>
      <c r="C10" s="1620" t="str">
        <f>OF!C111</f>
        <v>0.01 to 0.1.</v>
      </c>
      <c r="D10" s="70">
        <f>OF!D111</f>
        <v>0</v>
      </c>
      <c r="E10" s="300">
        <v>1</v>
      </c>
      <c r="F10" s="303">
        <f>D10*E10</f>
        <v>0</v>
      </c>
      <c r="G10" s="549"/>
      <c r="H10" s="2324"/>
      <c r="I10" s="2327"/>
    </row>
    <row r="11" spans="1:9" ht="15" customHeight="1" x14ac:dyDescent="0.2">
      <c r="A11" s="2369"/>
      <c r="B11" s="2492"/>
      <c r="C11" s="1620" t="str">
        <f>OF!C112</f>
        <v>0.1 to 1.</v>
      </c>
      <c r="D11" s="70">
        <f>OF!D112</f>
        <v>0</v>
      </c>
      <c r="E11" s="300">
        <v>2</v>
      </c>
      <c r="F11" s="303">
        <f>D11*E11</f>
        <v>0</v>
      </c>
      <c r="G11" s="549"/>
      <c r="H11" s="2324"/>
      <c r="I11" s="2327"/>
    </row>
    <row r="12" spans="1:9" ht="27" customHeight="1" thickBot="1" x14ac:dyDescent="0.25">
      <c r="A12" s="2370"/>
      <c r="B12" s="2494"/>
      <c r="C12" s="1893" t="str">
        <f>OF!C113</f>
        <v xml:space="preserve">&gt;1 (wetland is larger than its catchment (e.g., wetland with flat surrounding terrain and no inlet, or is entirely isolated by dikes, or is a raised bog). </v>
      </c>
      <c r="D12" s="152">
        <f>OF!D113</f>
        <v>0</v>
      </c>
      <c r="E12" s="301">
        <v>3</v>
      </c>
      <c r="F12" s="301">
        <f>D12*E12</f>
        <v>0</v>
      </c>
      <c r="G12" s="550"/>
      <c r="H12" s="2325"/>
      <c r="I12" s="2328"/>
    </row>
    <row r="13" spans="1:9" ht="21" customHeight="1" thickBot="1" x14ac:dyDescent="0.25">
      <c r="A13" s="2368" t="str">
        <f>OF!A122</f>
        <v>OF25</v>
      </c>
      <c r="B13" s="2491" t="str">
        <f>OF!B122</f>
        <v>Aspect</v>
      </c>
      <c r="C13" s="371" t="str">
        <f>OF!C122</f>
        <v>The overland flow direction of most surface water (in streams, rivers, or runoff) that enters the AA is:</v>
      </c>
      <c r="D13" s="304"/>
      <c r="E13" s="304"/>
      <c r="F13" s="305"/>
      <c r="G13" s="465">
        <f>IF((NoCA=1),"", MAX(F14:F16)/MAX(E14:E16))</f>
        <v>0.5</v>
      </c>
      <c r="H13" s="2323" t="s">
        <v>605</v>
      </c>
      <c r="I13" s="2326" t="s">
        <v>191</v>
      </c>
    </row>
    <row r="14" spans="1:9" ht="15" customHeight="1" x14ac:dyDescent="0.2">
      <c r="A14" s="2369"/>
      <c r="B14" s="2492"/>
      <c r="C14" s="1883" t="str">
        <f>OF!C123</f>
        <v>Northward (N, NE). north-facing contributing area.</v>
      </c>
      <c r="D14" s="212">
        <f>OF!D123</f>
        <v>0</v>
      </c>
      <c r="E14" s="300">
        <v>0</v>
      </c>
      <c r="F14" s="303">
        <f>D14*E14</f>
        <v>0</v>
      </c>
      <c r="G14" s="548"/>
      <c r="H14" s="2324"/>
      <c r="I14" s="2327"/>
    </row>
    <row r="15" spans="1:9" ht="15" customHeight="1" x14ac:dyDescent="0.2">
      <c r="A15" s="2369"/>
      <c r="B15" s="2492"/>
      <c r="C15" s="1620" t="str">
        <f>OF!C124</f>
        <v>Southward (S, SW). south-facing contributing area.</v>
      </c>
      <c r="D15" s="70">
        <f>OF!D124</f>
        <v>0</v>
      </c>
      <c r="E15" s="300">
        <v>2</v>
      </c>
      <c r="F15" s="303">
        <f>D15*E15</f>
        <v>0</v>
      </c>
      <c r="G15" s="549"/>
      <c r="H15" s="2324"/>
      <c r="I15" s="2327"/>
    </row>
    <row r="16" spans="1:9" ht="15" customHeight="1" thickBot="1" x14ac:dyDescent="0.25">
      <c r="A16" s="2370"/>
      <c r="B16" s="2494"/>
      <c r="C16" s="1893" t="str">
        <f>OF!C125</f>
        <v>Other (E, SE, W, NW), or no detectable uphill slope or input channel (flat).</v>
      </c>
      <c r="D16" s="152">
        <f>OF!D125</f>
        <v>1</v>
      </c>
      <c r="E16" s="301">
        <v>1</v>
      </c>
      <c r="F16" s="301">
        <f>D16*E16</f>
        <v>1</v>
      </c>
      <c r="G16" s="550"/>
      <c r="H16" s="2325"/>
      <c r="I16" s="2328"/>
    </row>
    <row r="17" spans="1:9" ht="21" customHeight="1" thickBot="1" x14ac:dyDescent="0.25">
      <c r="A17" s="2368" t="str">
        <f>OF!A126</f>
        <v>OF26</v>
      </c>
      <c r="B17" s="2323" t="str">
        <f>OF!B126</f>
        <v>Internal Flow Distance (Path Length)</v>
      </c>
      <c r="C17" s="103" t="str">
        <f>OF!C126</f>
        <v xml:space="preserve">The horizontal flow distance from the wetland's inlet to outlet is: </v>
      </c>
      <c r="D17" s="304"/>
      <c r="E17" s="304"/>
      <c r="F17" s="305"/>
      <c r="G17" s="502">
        <f>MAX(F18:F23)/MAX(E18:E23)</f>
        <v>1</v>
      </c>
      <c r="H17" s="2326" t="s">
        <v>1004</v>
      </c>
      <c r="I17" s="2326" t="s">
        <v>1016</v>
      </c>
    </row>
    <row r="18" spans="1:9" ht="15" customHeight="1" x14ac:dyDescent="0.2">
      <c r="A18" s="2369"/>
      <c r="B18" s="2324"/>
      <c r="C18" s="1883" t="str">
        <f>OF!C127</f>
        <v>&lt;10 m.</v>
      </c>
      <c r="D18" s="212">
        <f>OF!D127</f>
        <v>0</v>
      </c>
      <c r="E18" s="300">
        <v>1</v>
      </c>
      <c r="F18" s="300">
        <f t="shared" ref="F18:F23" si="0">D18*E18</f>
        <v>0</v>
      </c>
      <c r="G18" s="549"/>
      <c r="H18" s="2327"/>
      <c r="I18" s="2327"/>
    </row>
    <row r="19" spans="1:9" ht="15" customHeight="1" x14ac:dyDescent="0.2">
      <c r="A19" s="2369"/>
      <c r="B19" s="2324"/>
      <c r="C19" s="1620" t="str">
        <f>OF!C128</f>
        <v>10 - 50 m.</v>
      </c>
      <c r="D19" s="70">
        <f>OF!D128</f>
        <v>0</v>
      </c>
      <c r="E19" s="300">
        <v>2</v>
      </c>
      <c r="F19" s="300">
        <f t="shared" si="0"/>
        <v>0</v>
      </c>
      <c r="G19" s="549"/>
      <c r="H19" s="2327"/>
      <c r="I19" s="2327"/>
    </row>
    <row r="20" spans="1:9" ht="15" customHeight="1" x14ac:dyDescent="0.2">
      <c r="A20" s="2369"/>
      <c r="B20" s="2324"/>
      <c r="C20" s="1620" t="str">
        <f>OF!C129</f>
        <v>50 - 100 m.</v>
      </c>
      <c r="D20" s="70">
        <f>OF!D129</f>
        <v>0</v>
      </c>
      <c r="E20" s="300">
        <v>3</v>
      </c>
      <c r="F20" s="300">
        <f t="shared" si="0"/>
        <v>0</v>
      </c>
      <c r="G20" s="549"/>
      <c r="H20" s="2327"/>
      <c r="I20" s="2327"/>
    </row>
    <row r="21" spans="1:9" ht="15" customHeight="1" x14ac:dyDescent="0.2">
      <c r="A21" s="2369"/>
      <c r="B21" s="2324"/>
      <c r="C21" s="1620" t="str">
        <f>OF!C130</f>
        <v>100 - 1000 m.</v>
      </c>
      <c r="D21" s="70">
        <f>OF!D130</f>
        <v>0</v>
      </c>
      <c r="E21" s="300">
        <v>4</v>
      </c>
      <c r="F21" s="300">
        <f t="shared" si="0"/>
        <v>0</v>
      </c>
      <c r="G21" s="549"/>
      <c r="H21" s="2327"/>
      <c r="I21" s="2327"/>
    </row>
    <row r="22" spans="1:9" ht="15" customHeight="1" x14ac:dyDescent="0.2">
      <c r="A22" s="2369"/>
      <c r="B22" s="2324"/>
      <c r="C22" s="1620" t="str">
        <f>OF!C131</f>
        <v>1- 2 km.</v>
      </c>
      <c r="D22" s="70">
        <f>OF!D131</f>
        <v>0</v>
      </c>
      <c r="E22" s="300">
        <v>5</v>
      </c>
      <c r="F22" s="300">
        <f t="shared" si="0"/>
        <v>0</v>
      </c>
      <c r="G22" s="549"/>
      <c r="H22" s="2327"/>
      <c r="I22" s="2327"/>
    </row>
    <row r="23" spans="1:9" ht="15" customHeight="1" thickBot="1" x14ac:dyDescent="0.25">
      <c r="A23" s="2370"/>
      <c r="B23" s="2325"/>
      <c r="C23" s="1893" t="str">
        <f>OF!C132</f>
        <v>&gt;2 km, or wetland lacks an inlet and outlet.</v>
      </c>
      <c r="D23" s="152">
        <f>OF!D132</f>
        <v>1</v>
      </c>
      <c r="E23" s="301">
        <v>7</v>
      </c>
      <c r="F23" s="301">
        <f t="shared" si="0"/>
        <v>7</v>
      </c>
      <c r="G23" s="550"/>
      <c r="H23" s="2328"/>
      <c r="I23" s="2328"/>
    </row>
    <row r="24" spans="1:9" ht="91.5" customHeight="1" thickBot="1" x14ac:dyDescent="0.25">
      <c r="A24" s="1573" t="str">
        <f>OF!A133</f>
        <v>OF27</v>
      </c>
      <c r="B24" s="1575" t="str">
        <f>OF!B133</f>
        <v>Growing Degree Days</v>
      </c>
      <c r="C24" s="1974" t="str">
        <f>OF!C133</f>
        <v>In Google Earth, open the KMZ file that accompanies this calculator, called NB-PEI_GrowingDegreeDays. Place your cursor over the AA and left-click. From the pop-up, enter the GRIDCODE in the next column.</v>
      </c>
      <c r="D24" s="2066">
        <f>OF!D133</f>
        <v>2135</v>
      </c>
      <c r="E24" s="1585"/>
      <c r="F24" s="307"/>
      <c r="G24" s="508">
        <f>IF((GrowD&lt;1),"",(GrowD-1305)/1328)</f>
        <v>0.625</v>
      </c>
      <c r="H24" s="1579" t="s">
        <v>1795</v>
      </c>
      <c r="I24" s="1577" t="s">
        <v>1017</v>
      </c>
    </row>
    <row r="25" spans="1:9" s="7" customFormat="1" ht="21" customHeight="1" thickBot="1" x14ac:dyDescent="0.25">
      <c r="A25" s="2323" t="str">
        <f>F!A4</f>
        <v>F1</v>
      </c>
      <c r="B25" s="2323" t="str">
        <f>F!B4</f>
        <v>Wetland Type</v>
      </c>
      <c r="C25" s="365" t="str">
        <f>F!C4</f>
        <v>Follow the key below and mark the ONE row that best describes MOST of the vegetated part of the AA:</v>
      </c>
      <c r="D25" s="304"/>
      <c r="E25" s="1485"/>
      <c r="F25" s="1486"/>
      <c r="G25" s="465">
        <f>MAX(F27:F31)/MAX(E27:E31)</f>
        <v>1</v>
      </c>
      <c r="H25" s="2323" t="s">
        <v>1552</v>
      </c>
      <c r="I25" s="2323" t="s">
        <v>382</v>
      </c>
    </row>
    <row r="26" spans="1:9" s="7" customFormat="1" ht="57" customHeight="1" thickBot="1" x14ac:dyDescent="0.25">
      <c r="A26" s="2324"/>
      <c r="B26" s="2324"/>
      <c r="C26" s="4"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26" s="302"/>
      <c r="E26" s="552"/>
      <c r="F26" s="553"/>
      <c r="G26" s="553"/>
      <c r="H26" s="2324"/>
      <c r="I26" s="2324"/>
    </row>
    <row r="27" spans="1:9" s="7" customFormat="1" ht="81" customHeight="1" x14ac:dyDescent="0.2">
      <c r="A27" s="2324"/>
      <c r="B27" s="2399"/>
      <c r="C27" s="1127"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27" s="205">
        <f>F!D6</f>
        <v>0</v>
      </c>
      <c r="E27" s="2068">
        <v>0</v>
      </c>
      <c r="F27" s="300">
        <f>D27*E27</f>
        <v>0</v>
      </c>
      <c r="G27" s="443"/>
      <c r="H27" s="2324"/>
      <c r="I27" s="2324"/>
    </row>
    <row r="28" spans="1:9" s="7" customFormat="1" ht="57" customHeight="1" thickBot="1" x14ac:dyDescent="0.25">
      <c r="A28" s="2324"/>
      <c r="B28" s="2399"/>
      <c r="C28" s="1483"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28" s="2069">
        <f>F!D7</f>
        <v>0</v>
      </c>
      <c r="E28" s="554">
        <v>1</v>
      </c>
      <c r="F28" s="300">
        <f>D28*E28</f>
        <v>0</v>
      </c>
      <c r="G28" s="437"/>
      <c r="H28" s="2324"/>
      <c r="I28" s="2324"/>
    </row>
    <row r="29" spans="1:9" s="7" customFormat="1" ht="27" customHeight="1" thickBot="1" x14ac:dyDescent="0.25">
      <c r="A29" s="2324"/>
      <c r="B29" s="2399"/>
      <c r="C29" s="4" t="str">
        <f>F!C8</f>
        <v>B. Moss and/or lichen cover less than 25% of the ground. Soil is mineral or decomposed organic (muck). Choose between B1 and B2 and mark the choice with a 1 in their adjoining column:</v>
      </c>
      <c r="D29" s="2067"/>
      <c r="E29" s="437"/>
      <c r="F29" s="437"/>
      <c r="G29" s="437"/>
      <c r="H29" s="2324"/>
      <c r="I29" s="2324"/>
    </row>
    <row r="30" spans="1:9" s="7" customFormat="1" ht="27" customHeight="1" x14ac:dyDescent="0.2">
      <c r="A30" s="2324"/>
      <c r="B30" s="2399"/>
      <c r="C30" s="1127" t="str">
        <f>F!C9</f>
        <v>B1. Trees and shrubs taller than 1 m comprise more than 25% of the vegetated cover. Surface water is mostly absent or inundates the vegetation only seasonally (e.g., vernal pools or floodplain).</v>
      </c>
      <c r="D30" s="2070">
        <f>F!D9</f>
        <v>0</v>
      </c>
      <c r="E30" s="554">
        <v>2</v>
      </c>
      <c r="F30" s="300">
        <f>D30*E30</f>
        <v>0</v>
      </c>
      <c r="G30" s="443"/>
      <c r="H30" s="2324"/>
      <c r="I30" s="2324"/>
    </row>
    <row r="31" spans="1:9" s="7" customFormat="1" ht="42" customHeight="1" thickBot="1" x14ac:dyDescent="0.25">
      <c r="A31" s="2325"/>
      <c r="B31" s="2553"/>
      <c r="C31" s="1128"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31" s="2071">
        <f>F!D10</f>
        <v>1</v>
      </c>
      <c r="E31" s="1487">
        <v>3</v>
      </c>
      <c r="F31" s="301">
        <f>D31*E31</f>
        <v>3</v>
      </c>
      <c r="G31" s="449"/>
      <c r="H31" s="2325"/>
      <c r="I31" s="2325"/>
    </row>
    <row r="32" spans="1:9" s="7" customFormat="1" ht="60" customHeight="1" thickBot="1" x14ac:dyDescent="0.25">
      <c r="A32" s="1467" t="str">
        <f>F!A17</f>
        <v>F3</v>
      </c>
      <c r="B32" s="1467" t="str">
        <f>F!B17</f>
        <v>Woody Height &amp; Form Diversity</v>
      </c>
      <c r="C32" s="595" t="str">
        <f>F!C17</f>
        <v>Following EACH row below, indicate with a number code the percentage of the living vegetation in the AA which is occupied by that feature (6 if &gt;95%, 5 if 75-95%, 4 if 50-75%, 3 if 25-50%, 2 if 5-25%, 1 if &lt;5%, 0 if none). If the vegetated part of the AA is largely herbaceous (non-woody) vegetation, these percentages should not sum to 100%.</v>
      </c>
      <c r="D32" s="244">
        <f>MAX(F!D19,F!D10)/6</f>
        <v>0.16666666666666666</v>
      </c>
      <c r="E32" s="1484"/>
      <c r="F32" s="314"/>
      <c r="G32" s="466">
        <f>D32</f>
        <v>0.16666666666666666</v>
      </c>
      <c r="H32" s="1467" t="s">
        <v>1344</v>
      </c>
      <c r="I32" s="73" t="s">
        <v>1663</v>
      </c>
    </row>
    <row r="33" spans="1:9" ht="21" customHeight="1" thickBot="1" x14ac:dyDescent="0.25">
      <c r="A33" s="2327" t="str">
        <f>F!A37</f>
        <v>F6</v>
      </c>
      <c r="B33" s="2326" t="str">
        <f>F!B37</f>
        <v>Height Class Interspersion</v>
      </c>
      <c r="C33" s="376" t="str">
        <f>F!C37</f>
        <v>Follow the key below and mark the ONE row that best describes MOST of the AA:</v>
      </c>
      <c r="D33" s="299"/>
      <c r="E33" s="299"/>
      <c r="F33" s="302"/>
      <c r="G33" s="466" t="str">
        <f>IF((MAX(F!D18:D21)&lt;3),"", MAX(F35:F39)/MAX(E35:E39))</f>
        <v/>
      </c>
      <c r="H33" s="2669" t="s">
        <v>1504</v>
      </c>
      <c r="I33" s="2326" t="s">
        <v>389</v>
      </c>
    </row>
    <row r="34" spans="1:9" ht="39" thickBot="1" x14ac:dyDescent="0.25">
      <c r="A34" s="2327"/>
      <c r="B34" s="2327"/>
      <c r="C34" s="103" t="str">
        <f>F!C38</f>
        <v xml:space="preserve">A. Neither the vegetation taller than 1 m nor the vegetation shorter than that comprise &gt;70% of the vegetated part of the AA.  They each comprise 30-70%.  Choose between A1 and A2 and mark the choice with a 1 in the adjoining column.  Otherwise go to B below. </v>
      </c>
      <c r="D34" s="458"/>
      <c r="E34" s="299"/>
      <c r="F34" s="313"/>
      <c r="G34" s="549"/>
      <c r="H34" s="2669"/>
      <c r="I34" s="2327"/>
    </row>
    <row r="35" spans="1:9" ht="15" customHeight="1" x14ac:dyDescent="0.2">
      <c r="A35" s="2327"/>
      <c r="B35" s="2327"/>
      <c r="C35" s="1418" t="str">
        <f>F!C39</f>
        <v>A1. The two height classes are mostly scattered and intermixed throughout the AA.</v>
      </c>
      <c r="D35" s="70">
        <f>F!D39</f>
        <v>0</v>
      </c>
      <c r="E35" s="300">
        <v>3</v>
      </c>
      <c r="F35" s="303">
        <f>D35*E35</f>
        <v>0</v>
      </c>
      <c r="G35" s="548"/>
      <c r="H35" s="2663"/>
      <c r="I35" s="2327"/>
    </row>
    <row r="36" spans="1:9" ht="27" customHeight="1" thickBot="1" x14ac:dyDescent="0.25">
      <c r="A36" s="2327"/>
      <c r="B36" s="2327"/>
      <c r="C36" s="375" t="str">
        <f>F!C40</f>
        <v>A2. Not A1.  The two height classes are mostly in separate zones or bands, or in proportionately large clumps.</v>
      </c>
      <c r="D36" s="70">
        <f>F!D40</f>
        <v>0</v>
      </c>
      <c r="E36" s="316">
        <v>2</v>
      </c>
      <c r="F36" s="303">
        <f>D36*E36</f>
        <v>0</v>
      </c>
      <c r="G36" s="549"/>
      <c r="H36" s="2663"/>
      <c r="I36" s="2327"/>
    </row>
    <row r="37" spans="1:9" ht="42" customHeight="1" thickBot="1" x14ac:dyDescent="0.25">
      <c r="A37" s="2327"/>
      <c r="B37" s="2327"/>
      <c r="C37" s="103" t="str">
        <f>F!C41</f>
        <v>B. Either the vegetation shorter than 1 m comprises &gt;70% of the vegetated part of the AA, or the vegetation taller than that does.  One size class might even be totally absent.  Choose between B1 and B2 and mark the choice with a 1 in the adjoining column:</v>
      </c>
      <c r="D37" s="316"/>
      <c r="E37" s="303"/>
      <c r="F37" s="303"/>
      <c r="G37" s="549"/>
      <c r="H37" s="2663"/>
      <c r="I37" s="2327"/>
    </row>
    <row r="38" spans="1:9" ht="15" customHeight="1" x14ac:dyDescent="0.2">
      <c r="A38" s="2327"/>
      <c r="B38" s="2327"/>
      <c r="C38" s="418" t="str">
        <f>F!C42</f>
        <v>B1. The less prevalent height class is mostly scattered and intermixed within the prevalent one.</v>
      </c>
      <c r="D38" s="1173">
        <f>F!D42</f>
        <v>0</v>
      </c>
      <c r="E38" s="300">
        <v>1</v>
      </c>
      <c r="F38" s="303">
        <f>D38*E38</f>
        <v>0</v>
      </c>
      <c r="G38" s="549"/>
      <c r="H38" s="2663"/>
      <c r="I38" s="2327"/>
    </row>
    <row r="39" spans="1:9" ht="27" customHeight="1" thickBot="1" x14ac:dyDescent="0.25">
      <c r="A39" s="2327"/>
      <c r="B39" s="2328"/>
      <c r="C39" s="370" t="str">
        <f>F!C43</f>
        <v>B2. Not B1.  The less prevalent height class is mostly located apart from the prevalent one, in separate zones or clumps, or is completely absent.</v>
      </c>
      <c r="D39" s="1241">
        <f>F!D43</f>
        <v>0</v>
      </c>
      <c r="E39" s="301">
        <v>0</v>
      </c>
      <c r="F39" s="303">
        <f>D39*E39</f>
        <v>0</v>
      </c>
      <c r="G39" s="549"/>
      <c r="H39" s="2663"/>
      <c r="I39" s="2328"/>
    </row>
    <row r="40" spans="1:9" ht="30" customHeight="1" thickBot="1" x14ac:dyDescent="0.25">
      <c r="A40" s="2366" t="str">
        <f>F!A63</f>
        <v>F11</v>
      </c>
      <c r="B40" s="2394" t="str">
        <f>F!B63</f>
        <v>% Bare Ground &amp; Thatch</v>
      </c>
      <c r="C40" s="368" t="str">
        <f>F!C63</f>
        <v>Consider the parts of the AA that lack surface water at the driest time of the growing season. Viewed from directly above the ground layer, the predominant condition in those areas at that time is:</v>
      </c>
      <c r="D40" s="304"/>
      <c r="E40" s="304"/>
      <c r="F40" s="305"/>
      <c r="G40" s="465">
        <f>MAX(F41:F44)/MAX(E41:E44)</f>
        <v>0.66666666666666663</v>
      </c>
      <c r="H40" s="2323" t="s">
        <v>1555</v>
      </c>
      <c r="I40" s="2326" t="s">
        <v>395</v>
      </c>
    </row>
    <row r="41" spans="1:9" ht="42" customHeight="1" x14ac:dyDescent="0.2">
      <c r="A41" s="2365"/>
      <c r="B41" s="2396"/>
      <c r="C41" s="369" t="str">
        <f>F!C64</f>
        <v>Little or no (&lt;5%) bare ground is visible between erect stems or under canopy anywhere in the vegetated AA. Ground is extensively blanketed by dense thatch, moss, lichens, graminoids with great stem densities, or plants with ground-hugging foliage. </v>
      </c>
      <c r="D41" s="212">
        <f>F!D64</f>
        <v>0</v>
      </c>
      <c r="E41" s="300">
        <v>3</v>
      </c>
      <c r="F41" s="300">
        <f>D41*E41</f>
        <v>0</v>
      </c>
      <c r="G41" s="548"/>
      <c r="H41" s="2324"/>
      <c r="I41" s="2327"/>
    </row>
    <row r="42" spans="1:9" ht="27" customHeight="1" x14ac:dyDescent="0.2">
      <c r="A42" s="2365"/>
      <c r="B42" s="2396"/>
      <c r="C42" s="339" t="str">
        <f>F!C65</f>
        <v>Slightly bare ground (5-20% bare between plants) is visible in places, but those areas comprise less than 5% of the unflooded parts of the AA.</v>
      </c>
      <c r="D42" s="70">
        <f>F!D65</f>
        <v>1</v>
      </c>
      <c r="E42" s="300">
        <v>2</v>
      </c>
      <c r="F42" s="300">
        <f>D42*E42</f>
        <v>2</v>
      </c>
      <c r="G42" s="549"/>
      <c r="H42" s="2324"/>
      <c r="I42" s="2327"/>
    </row>
    <row r="43" spans="1:9" ht="27" customHeight="1" x14ac:dyDescent="0.2">
      <c r="A43" s="2365"/>
      <c r="B43" s="2396"/>
      <c r="C43" s="339" t="str">
        <f>F!C66</f>
        <v>Much bare ground (20-50% bare between plants) is visible in places, and those areas comprise more than 5% of the unflooded parts of the AA. </v>
      </c>
      <c r="D43" s="70">
        <f>F!D66</f>
        <v>0</v>
      </c>
      <c r="E43" s="300">
        <v>1</v>
      </c>
      <c r="F43" s="300">
        <f>D43*E43</f>
        <v>0</v>
      </c>
      <c r="G43" s="549"/>
      <c r="H43" s="2324"/>
      <c r="I43" s="2327"/>
    </row>
    <row r="44" spans="1:9" ht="15" customHeight="1" thickBot="1" x14ac:dyDescent="0.25">
      <c r="A44" s="2367"/>
      <c r="B44" s="2408"/>
      <c r="C44" s="370" t="str">
        <f>F!C67</f>
        <v>Other conditions.</v>
      </c>
      <c r="D44" s="152">
        <f>F!D67</f>
        <v>0</v>
      </c>
      <c r="E44" s="301">
        <v>0</v>
      </c>
      <c r="F44" s="301">
        <f>D44*E44</f>
        <v>0</v>
      </c>
      <c r="G44" s="550"/>
      <c r="H44" s="2325"/>
      <c r="I44" s="2328"/>
    </row>
    <row r="45" spans="1:9" ht="60" customHeight="1" thickBot="1" x14ac:dyDescent="0.25">
      <c r="A45" s="2366" t="str">
        <f>F!A69</f>
        <v>F12</v>
      </c>
      <c r="B45" s="2394" t="str">
        <f>F!B69</f>
        <v xml:space="preserve">Ground Irregularity </v>
      </c>
      <c r="C45" s="368"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45" s="304"/>
      <c r="E45" s="304"/>
      <c r="F45" s="305"/>
      <c r="G45" s="465">
        <f>MAX(F46:F48)/MAX(E46:E48)</f>
        <v>0.66666666666666663</v>
      </c>
      <c r="H45" s="2529" t="s">
        <v>596</v>
      </c>
      <c r="I45" s="2326" t="s">
        <v>396</v>
      </c>
    </row>
    <row r="46" spans="1:9" ht="27" customHeight="1" x14ac:dyDescent="0.2">
      <c r="A46" s="2365"/>
      <c r="B46" s="2396"/>
      <c r="C46" s="369" t="str">
        <f>F!C70</f>
        <v>Few or none (minimal microtopography; &lt;1% of the land has such features, or entire AA is always water-covered).</v>
      </c>
      <c r="D46" s="212">
        <f>F!D70</f>
        <v>0</v>
      </c>
      <c r="E46" s="300">
        <v>0</v>
      </c>
      <c r="F46" s="300">
        <f>D46*E46</f>
        <v>0</v>
      </c>
      <c r="G46" s="548"/>
      <c r="H46" s="2404"/>
      <c r="I46" s="2327"/>
    </row>
    <row r="47" spans="1:9" ht="15" customHeight="1" x14ac:dyDescent="0.2">
      <c r="A47" s="2365"/>
      <c r="B47" s="2396"/>
      <c r="C47" s="339" t="str">
        <f>F!C71</f>
        <v>Intermediate.</v>
      </c>
      <c r="D47" s="70">
        <f>F!D71</f>
        <v>1</v>
      </c>
      <c r="E47" s="300">
        <v>2</v>
      </c>
      <c r="F47" s="300">
        <f>D47*E47</f>
        <v>2</v>
      </c>
      <c r="G47" s="549"/>
      <c r="H47" s="2404"/>
      <c r="I47" s="2327"/>
    </row>
    <row r="48" spans="1:9" ht="15" customHeight="1" thickBot="1" x14ac:dyDescent="0.25">
      <c r="A48" s="2367"/>
      <c r="B48" s="2408"/>
      <c r="C48" s="370" t="str">
        <f>F!C72</f>
        <v>Several (extensive micro-topography).</v>
      </c>
      <c r="D48" s="152">
        <f>F!D72</f>
        <v>0</v>
      </c>
      <c r="E48" s="301">
        <v>3</v>
      </c>
      <c r="F48" s="301">
        <f>D48*E48</f>
        <v>0</v>
      </c>
      <c r="G48" s="550"/>
      <c r="H48" s="2530"/>
      <c r="I48" s="2328"/>
    </row>
    <row r="49" spans="1:9" ht="21" customHeight="1" thickBot="1" x14ac:dyDescent="0.25">
      <c r="A49" s="2489" t="str">
        <f>F!A73</f>
        <v>F13</v>
      </c>
      <c r="B49" s="2529" t="str">
        <f>F!B73</f>
        <v>Upland Inclusions</v>
      </c>
      <c r="C49" s="365" t="str">
        <f>F!C73</f>
        <v>Within the AA, inclusions of upland are:</v>
      </c>
      <c r="D49" s="304"/>
      <c r="E49" s="304"/>
      <c r="F49" s="305"/>
      <c r="G49" s="465" t="str">
        <f>IF((D50=1),"", MAX(F50:F52)/MAX(E50:E52))</f>
        <v/>
      </c>
      <c r="H49" s="2529" t="s">
        <v>597</v>
      </c>
      <c r="I49" s="2326" t="s">
        <v>397</v>
      </c>
    </row>
    <row r="50" spans="1:9" ht="15" customHeight="1" x14ac:dyDescent="0.2">
      <c r="A50" s="2365"/>
      <c r="B50" s="2396"/>
      <c r="C50" s="27" t="str">
        <f>F!C74</f>
        <v>Few or none.</v>
      </c>
      <c r="D50" s="213">
        <f>F!D74</f>
        <v>1</v>
      </c>
      <c r="E50" s="300">
        <v>0</v>
      </c>
      <c r="F50" s="300">
        <f>D50*E50</f>
        <v>0</v>
      </c>
      <c r="G50" s="548"/>
      <c r="H50" s="2404"/>
      <c r="I50" s="2327"/>
    </row>
    <row r="51" spans="1:9" ht="15" customHeight="1" x14ac:dyDescent="0.2">
      <c r="A51" s="2365"/>
      <c r="B51" s="2396"/>
      <c r="C51" s="970" t="str">
        <f>F!C75</f>
        <v>Intermediate (1 - 10% of vegetated part of the AA).</v>
      </c>
      <c r="D51" s="205">
        <f>F!D75</f>
        <v>0</v>
      </c>
      <c r="E51" s="300">
        <v>1</v>
      </c>
      <c r="F51" s="300">
        <f>D51*E51</f>
        <v>0</v>
      </c>
      <c r="G51" s="561"/>
      <c r="H51" s="2404"/>
      <c r="I51" s="2327"/>
    </row>
    <row r="52" spans="1:9" ht="15" customHeight="1" thickBot="1" x14ac:dyDescent="0.25">
      <c r="A52" s="2367"/>
      <c r="B52" s="2408"/>
      <c r="C52" s="153" t="str">
        <f>F!C76</f>
        <v>Many (e.g., wetland-upland "mosaic", &gt;10% of the vegetated AA).</v>
      </c>
      <c r="D52" s="206">
        <f>F!D76</f>
        <v>0</v>
      </c>
      <c r="E52" s="301">
        <v>2</v>
      </c>
      <c r="F52" s="301">
        <f>D52*E52</f>
        <v>0</v>
      </c>
      <c r="G52" s="550"/>
      <c r="H52" s="2530"/>
      <c r="I52" s="2328"/>
    </row>
    <row r="53" spans="1:9" ht="45" customHeight="1" thickBot="1" x14ac:dyDescent="0.25">
      <c r="A53" s="2670" t="str">
        <f>F!A77</f>
        <v>F14</v>
      </c>
      <c r="B53" s="2396" t="str">
        <f>F!B77</f>
        <v>Soil Texture</v>
      </c>
      <c r="C53" s="376" t="str">
        <f>F!C77</f>
        <v xml:space="preserve">In parts of the AA that lack persistent water, the texture of soil in the uppermost layer is mostly:  [To determine this, use a trowel to check in at least 3 widely spaced locations, and use the soil texture key (in Appendix A of the Manual).] </v>
      </c>
      <c r="D53" s="299"/>
      <c r="E53" s="299"/>
      <c r="F53" s="302"/>
      <c r="G53" s="466">
        <f>MAX(F54:F58)/MAX(E54:E58)</f>
        <v>0.75</v>
      </c>
      <c r="H53" s="2404" t="s">
        <v>1365</v>
      </c>
      <c r="I53" s="2326" t="s">
        <v>398</v>
      </c>
    </row>
    <row r="54" spans="1:9" ht="27" customHeight="1" x14ac:dyDescent="0.2">
      <c r="A54" s="2670"/>
      <c r="B54" s="2396"/>
      <c r="C54" s="369" t="str">
        <f>F!C78</f>
        <v>Loamy: soils that may contain a little fine grit and do not make a "ribbon" longer than 2 cm when moistened, rolled, squeezed, and extended between thumb and forefinger.</v>
      </c>
      <c r="D54" s="212">
        <f>F!D78</f>
        <v>0</v>
      </c>
      <c r="E54" s="300">
        <v>4</v>
      </c>
      <c r="F54" s="300">
        <f>D54*E54</f>
        <v>0</v>
      </c>
      <c r="G54" s="548"/>
      <c r="H54" s="2404"/>
      <c r="I54" s="2327"/>
    </row>
    <row r="55" spans="1:9" ht="27" customHeight="1" x14ac:dyDescent="0.2">
      <c r="A55" s="2670"/>
      <c r="B55" s="2396"/>
      <c r="C55" s="339" t="str">
        <f>F!C79</f>
        <v>Fines: includes silt, clay, silt, soils that make a ribbon longer than 2 cm when moistened, rolled, squeezed, and extended between thumb and forefinger.</v>
      </c>
      <c r="D55" s="70">
        <f>F!D79</f>
        <v>1</v>
      </c>
      <c r="E55" s="300">
        <v>3</v>
      </c>
      <c r="F55" s="300">
        <f>D55*E55</f>
        <v>3</v>
      </c>
      <c r="G55" s="549"/>
      <c r="H55" s="2404"/>
      <c r="I55" s="2327"/>
    </row>
    <row r="56" spans="1:9" ht="18" customHeight="1" x14ac:dyDescent="0.2">
      <c r="A56" s="2670"/>
      <c r="B56" s="2396"/>
      <c r="C56" s="339" t="str">
        <f>F!C80</f>
        <v>Deep Peat, to 40 cm depth or greater.</v>
      </c>
      <c r="D56" s="70">
        <f>F!D80</f>
        <v>0</v>
      </c>
      <c r="E56" s="300">
        <v>2</v>
      </c>
      <c r="F56" s="300">
        <f>D56*E56</f>
        <v>0</v>
      </c>
      <c r="G56" s="549"/>
      <c r="H56" s="2404"/>
      <c r="I56" s="2327"/>
    </row>
    <row r="57" spans="1:9" ht="18" customHeight="1" x14ac:dyDescent="0.2">
      <c r="A57" s="2670"/>
      <c r="B57" s="2396"/>
      <c r="C57" s="339" t="str">
        <f>F!C81</f>
        <v xml:space="preserve">Shallow Peat or organic &lt;40 cm deep. </v>
      </c>
      <c r="D57" s="70">
        <f>F!D81</f>
        <v>0</v>
      </c>
      <c r="E57" s="300">
        <v>3</v>
      </c>
      <c r="F57" s="300">
        <f>D57*E57</f>
        <v>0</v>
      </c>
      <c r="G57" s="558"/>
      <c r="H57" s="2404"/>
      <c r="I57" s="2327"/>
    </row>
    <row r="58" spans="1:9" ht="27.6" customHeight="1" thickBot="1" x14ac:dyDescent="0.25">
      <c r="A58" s="2670"/>
      <c r="B58" s="2396"/>
      <c r="C58" s="375" t="str">
        <f>F!C82</f>
        <v>Coarse: includes sand, loamy sand, gravel, cobble, soils that do not make a ribbon when moistened, rolled, squeezed, and extended between thumb and forefinger.</v>
      </c>
      <c r="D58" s="340">
        <f>F!D82</f>
        <v>0</v>
      </c>
      <c r="E58" s="303">
        <v>1</v>
      </c>
      <c r="F58" s="303">
        <f>D58*E58</f>
        <v>0</v>
      </c>
      <c r="G58" s="558"/>
      <c r="H58" s="2404"/>
      <c r="I58" s="2328"/>
    </row>
    <row r="59" spans="1:9" s="7" customFormat="1" ht="30" customHeight="1" thickBot="1" x14ac:dyDescent="0.25">
      <c r="A59" s="2368" t="str">
        <f>F!A121</f>
        <v>F24</v>
      </c>
      <c r="B59" s="2323" t="str">
        <f>F!B121</f>
        <v>% of AA Without Surface Water</v>
      </c>
      <c r="C59" s="103" t="str">
        <f>F!C121</f>
        <v>The percentage of the AA that never contains surface water during an average year (that is, except perhaps for a few hours after snowmelt or rainstorms), but which is still a wetland, is:</v>
      </c>
      <c r="D59" s="304" t="s">
        <v>912</v>
      </c>
      <c r="E59" s="984"/>
      <c r="F59" s="555"/>
      <c r="G59" s="465">
        <f>MAX(F60:F65)/MAX(E60:E65)</f>
        <v>0.83333333333333337</v>
      </c>
      <c r="H59" s="2323" t="s">
        <v>664</v>
      </c>
      <c r="I59" s="2323" t="s">
        <v>977</v>
      </c>
    </row>
    <row r="60" spans="1:9" s="7" customFormat="1" ht="15" customHeight="1" x14ac:dyDescent="0.2">
      <c r="A60" s="2369"/>
      <c r="B60" s="2324"/>
      <c r="C60" s="369" t="str">
        <f>F!C122</f>
        <v xml:space="preserve">&lt;1% . In other words, all or nearly all of the AA is covered by water permanently or at least seasonally.  </v>
      </c>
      <c r="D60" s="212">
        <f>F!D122</f>
        <v>1</v>
      </c>
      <c r="E60" s="324">
        <v>5</v>
      </c>
      <c r="F60" s="300">
        <f t="shared" ref="F60:F65" si="1">D60*E60</f>
        <v>5</v>
      </c>
      <c r="G60" s="549"/>
      <c r="H60" s="2324"/>
      <c r="I60" s="2324"/>
    </row>
    <row r="61" spans="1:9" s="7" customFormat="1" ht="15" customHeight="1" x14ac:dyDescent="0.2">
      <c r="A61" s="2369"/>
      <c r="B61" s="2324"/>
      <c r="C61" s="369" t="str">
        <f>F!C123</f>
        <v>1-25% of the AA,  or &lt;1% but &gt;0.01 ha never contains surface water.</v>
      </c>
      <c r="D61" s="212">
        <f>F!D123</f>
        <v>0</v>
      </c>
      <c r="E61" s="324">
        <v>6</v>
      </c>
      <c r="F61" s="300">
        <f t="shared" si="1"/>
        <v>0</v>
      </c>
      <c r="G61" s="549"/>
      <c r="H61" s="2324"/>
      <c r="I61" s="2324"/>
    </row>
    <row r="62" spans="1:9" s="7" customFormat="1" ht="15" customHeight="1" x14ac:dyDescent="0.2">
      <c r="A62" s="2369"/>
      <c r="B62" s="2324"/>
      <c r="C62" s="369" t="str">
        <f>F!C124</f>
        <v>25-50% of the AA never contains surface water.</v>
      </c>
      <c r="D62" s="212">
        <f>F!D124</f>
        <v>0</v>
      </c>
      <c r="E62" s="324">
        <v>4</v>
      </c>
      <c r="F62" s="300">
        <f t="shared" si="1"/>
        <v>0</v>
      </c>
      <c r="G62" s="549"/>
      <c r="H62" s="2324"/>
      <c r="I62" s="2324"/>
    </row>
    <row r="63" spans="1:9" s="7" customFormat="1" ht="15" customHeight="1" x14ac:dyDescent="0.2">
      <c r="A63" s="2369"/>
      <c r="B63" s="2324"/>
      <c r="C63" s="369" t="str">
        <f>F!C125</f>
        <v>50-75% of the AA never contains surface water.</v>
      </c>
      <c r="D63" s="212">
        <f>F!D125</f>
        <v>0</v>
      </c>
      <c r="E63" s="324">
        <v>3</v>
      </c>
      <c r="F63" s="300">
        <f t="shared" si="1"/>
        <v>0</v>
      </c>
      <c r="G63" s="549"/>
      <c r="H63" s="2324"/>
      <c r="I63" s="2324"/>
    </row>
    <row r="64" spans="1:9" s="7" customFormat="1" ht="15" customHeight="1" x14ac:dyDescent="0.2">
      <c r="A64" s="2369"/>
      <c r="B64" s="2324"/>
      <c r="C64" s="369" t="str">
        <f>F!C126</f>
        <v>75-99% of the AA never contains surface water, OR &gt;99% and there is at least one persistently ponded water body larger than 1 ha in the AA.</v>
      </c>
      <c r="D64" s="212">
        <f>F!D126</f>
        <v>0</v>
      </c>
      <c r="E64" s="324">
        <v>2</v>
      </c>
      <c r="F64" s="300">
        <f t="shared" si="1"/>
        <v>0</v>
      </c>
      <c r="G64" s="549"/>
      <c r="H64" s="2324"/>
      <c r="I64" s="2324"/>
    </row>
    <row r="65" spans="1:9" s="7" customFormat="1" ht="27" customHeight="1" thickBot="1" x14ac:dyDescent="0.25">
      <c r="A65" s="2370"/>
      <c r="B65" s="2325"/>
      <c r="C65" s="546" t="str">
        <f>F!C127</f>
        <v>99-100%. AND there is no persistently ponded water body larger than 1 ha within the AA. Enter "1" and SKIP to F42 (Channel Connection).</v>
      </c>
      <c r="D65" s="572">
        <f>F!D127</f>
        <v>0</v>
      </c>
      <c r="E65" s="328">
        <v>1</v>
      </c>
      <c r="F65" s="301">
        <f t="shared" si="1"/>
        <v>0</v>
      </c>
      <c r="G65" s="550"/>
      <c r="H65" s="2325"/>
      <c r="I65" s="2325"/>
    </row>
    <row r="66" spans="1:9" ht="45" customHeight="1" thickBot="1" x14ac:dyDescent="0.25">
      <c r="A66" s="2586" t="str">
        <f>F!A128</f>
        <v>F25</v>
      </c>
      <c r="B66" s="2323" t="str">
        <f>F!B128</f>
        <v>% of AA with Persistent Surface Water</v>
      </c>
      <c r="C66" s="365"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66" s="304"/>
      <c r="E66" s="304"/>
      <c r="F66" s="305"/>
      <c r="G66" s="465">
        <f>IF((AllSat1&gt;0),"", MAX(F67:F71)/MAX(E67:E71))</f>
        <v>0.75</v>
      </c>
      <c r="H66" s="2529" t="s">
        <v>1819</v>
      </c>
      <c r="I66" s="2326" t="s">
        <v>384</v>
      </c>
    </row>
    <row r="67" spans="1:9" ht="27" customHeight="1" x14ac:dyDescent="0.2">
      <c r="A67" s="2399"/>
      <c r="B67" s="2324"/>
      <c r="C67" s="366" t="str">
        <f>F!C129</f>
        <v>None. The AA dries up completely (no water in channels either) or never has surface water during most years.  SKIP to F27.</v>
      </c>
      <c r="D67" s="211">
        <f>F!D129</f>
        <v>0</v>
      </c>
      <c r="E67" s="299">
        <v>0</v>
      </c>
      <c r="F67" s="300">
        <f>D67*E67</f>
        <v>0</v>
      </c>
      <c r="G67" s="549"/>
      <c r="H67" s="2404"/>
      <c r="I67" s="2327"/>
    </row>
    <row r="68" spans="1:9" ht="15" customHeight="1" x14ac:dyDescent="0.2">
      <c r="A68" s="2399"/>
      <c r="B68" s="2324"/>
      <c r="C68" s="366" t="str">
        <f>F!C130</f>
        <v>1-20% of the AA.</v>
      </c>
      <c r="D68" s="211">
        <f>F!D130</f>
        <v>0</v>
      </c>
      <c r="E68" s="556">
        <v>1</v>
      </c>
      <c r="F68" s="300">
        <f>D68*E68</f>
        <v>0</v>
      </c>
      <c r="G68" s="548"/>
      <c r="H68" s="2404"/>
      <c r="I68" s="2327"/>
    </row>
    <row r="69" spans="1:9" ht="15" customHeight="1" x14ac:dyDescent="0.2">
      <c r="A69" s="2399"/>
      <c r="B69" s="2324"/>
      <c r="C69" s="366" t="str">
        <f>F!C131</f>
        <v>20-50% of the AA.</v>
      </c>
      <c r="D69" s="211">
        <f>F!D131</f>
        <v>1</v>
      </c>
      <c r="E69" s="556">
        <v>3</v>
      </c>
      <c r="F69" s="300">
        <f>D69*E69</f>
        <v>3</v>
      </c>
      <c r="G69" s="549"/>
      <c r="H69" s="2404"/>
      <c r="I69" s="2327"/>
    </row>
    <row r="70" spans="1:9" ht="15" customHeight="1" x14ac:dyDescent="0.2">
      <c r="A70" s="2399"/>
      <c r="B70" s="2324"/>
      <c r="C70" s="366" t="str">
        <f>F!C132</f>
        <v>50-95% of the AA.</v>
      </c>
      <c r="D70" s="211">
        <f>F!D132</f>
        <v>0</v>
      </c>
      <c r="E70" s="556">
        <v>4</v>
      </c>
      <c r="F70" s="300">
        <f>D70*E70</f>
        <v>0</v>
      </c>
      <c r="G70" s="549"/>
      <c r="H70" s="2404"/>
      <c r="I70" s="2327"/>
    </row>
    <row r="71" spans="1:9" ht="15" customHeight="1" thickBot="1" x14ac:dyDescent="0.25">
      <c r="A71" s="2553"/>
      <c r="B71" s="2325"/>
      <c r="C71" s="153" t="str">
        <f>F!C133</f>
        <v>&gt;95% of the AA. True for many fringe wetlands.</v>
      </c>
      <c r="D71" s="206">
        <f>F!D133</f>
        <v>0</v>
      </c>
      <c r="E71" s="559">
        <v>2</v>
      </c>
      <c r="F71" s="301">
        <f>D71*E71</f>
        <v>0</v>
      </c>
      <c r="G71" s="550"/>
      <c r="H71" s="2530"/>
      <c r="I71" s="2328"/>
    </row>
    <row r="72" spans="1:9" s="7" customFormat="1" ht="36" customHeight="1" thickBot="1" x14ac:dyDescent="0.25">
      <c r="A72" s="2368" t="str">
        <f>F!A140</f>
        <v>F27</v>
      </c>
      <c r="B72" s="2326" t="str">
        <f>F!B140</f>
        <v>% of AA that is Flooded Only Seasonally</v>
      </c>
      <c r="C72" s="368" t="str">
        <f>F!C140</f>
        <v>The percentage of the AA's area that is between the annual high water and the annual low water (surface water) is:</v>
      </c>
      <c r="D72" s="304"/>
      <c r="E72" s="304"/>
      <c r="F72" s="305"/>
      <c r="G72" s="465">
        <f>IF((AllSat1&gt;0),"",MAX(F73:F77)/MAX(E73:E77))</f>
        <v>1</v>
      </c>
      <c r="H72" s="2529" t="s">
        <v>1820</v>
      </c>
      <c r="I72" s="2323" t="s">
        <v>383</v>
      </c>
    </row>
    <row r="73" spans="1:9" s="7" customFormat="1" ht="15" customHeight="1" x14ac:dyDescent="0.2">
      <c r="A73" s="2369"/>
      <c r="B73" s="2327"/>
      <c r="C73" s="341" t="str">
        <f>F!C141</f>
        <v>None, or &lt;0.01 hectare and &lt;1% of the AA.  SKIP to F29.</v>
      </c>
      <c r="D73" s="295">
        <f>F!D141</f>
        <v>0</v>
      </c>
      <c r="E73" s="556">
        <v>0</v>
      </c>
      <c r="F73" s="300">
        <f>D73*E73</f>
        <v>0</v>
      </c>
      <c r="G73" s="548"/>
      <c r="H73" s="2404"/>
      <c r="I73" s="2324"/>
    </row>
    <row r="74" spans="1:9" s="7" customFormat="1" ht="15" customHeight="1" x14ac:dyDescent="0.2">
      <c r="A74" s="2369"/>
      <c r="B74" s="2327"/>
      <c r="C74" s="366" t="str">
        <f>F!C142</f>
        <v>1-20% of the AA, or &lt;1% but &gt;0.01 ha.</v>
      </c>
      <c r="D74" s="211">
        <f>F!D142</f>
        <v>0</v>
      </c>
      <c r="E74" s="556">
        <v>1</v>
      </c>
      <c r="F74" s="300">
        <f>D74*E74</f>
        <v>0</v>
      </c>
      <c r="G74" s="549"/>
      <c r="H74" s="2404"/>
      <c r="I74" s="2324"/>
    </row>
    <row r="75" spans="1:9" s="7" customFormat="1" ht="15" customHeight="1" x14ac:dyDescent="0.2">
      <c r="A75" s="2369"/>
      <c r="B75" s="2327"/>
      <c r="C75" s="366" t="str">
        <f>F!C143</f>
        <v>20-50% of the AA.</v>
      </c>
      <c r="D75" s="211">
        <f>F!D143</f>
        <v>0</v>
      </c>
      <c r="E75" s="556">
        <v>2</v>
      </c>
      <c r="F75" s="300">
        <f>D75*E75</f>
        <v>0</v>
      </c>
      <c r="G75" s="549"/>
      <c r="H75" s="2404"/>
      <c r="I75" s="2324"/>
    </row>
    <row r="76" spans="1:9" s="7" customFormat="1" ht="15" customHeight="1" x14ac:dyDescent="0.2">
      <c r="A76" s="2369"/>
      <c r="B76" s="2327"/>
      <c r="C76" s="366" t="str">
        <f>F!C144</f>
        <v>50-95% of the AA.</v>
      </c>
      <c r="D76" s="211">
        <f>F!D144</f>
        <v>1</v>
      </c>
      <c r="E76" s="556">
        <v>4</v>
      </c>
      <c r="F76" s="300">
        <f>D76*E76</f>
        <v>4</v>
      </c>
      <c r="G76" s="549"/>
      <c r="H76" s="2404"/>
      <c r="I76" s="2324"/>
    </row>
    <row r="77" spans="1:9" ht="15" customHeight="1" thickBot="1" x14ac:dyDescent="0.25">
      <c r="A77" s="2370"/>
      <c r="B77" s="2328"/>
      <c r="C77" s="153" t="str">
        <f>F!C145</f>
        <v xml:space="preserve">&gt;95% of the AA. </v>
      </c>
      <c r="D77" s="206">
        <f>F!D145</f>
        <v>0</v>
      </c>
      <c r="E77" s="559">
        <v>3</v>
      </c>
      <c r="F77" s="301">
        <f>D77*E77</f>
        <v>0</v>
      </c>
      <c r="G77" s="550"/>
      <c r="H77" s="2530"/>
      <c r="I77" s="2325"/>
    </row>
    <row r="78" spans="1:9" s="7" customFormat="1" ht="30" customHeight="1" thickBot="1" x14ac:dyDescent="0.25">
      <c r="A78" s="2590" t="str">
        <f>F!A146</f>
        <v>F28</v>
      </c>
      <c r="B78" s="2690" t="str">
        <f>F!B146</f>
        <v>Annual Water Fluctuation Range</v>
      </c>
      <c r="C78" s="376" t="str">
        <f>F!C146</f>
        <v>The annual fluctuation in surface water level within most of the parts of the AA that contain surface water at least temporarily is:</v>
      </c>
      <c r="D78" s="304"/>
      <c r="E78" s="299"/>
      <c r="F78" s="302"/>
      <c r="G78" s="581">
        <f>IF((AllSat1&gt;0),"", IF((NoSeasonal=1),"",MAX(F79:F83)/MAX(E79:E83)))</f>
        <v>1</v>
      </c>
      <c r="H78" s="2404" t="s">
        <v>1821</v>
      </c>
      <c r="I78" s="2323" t="s">
        <v>386</v>
      </c>
    </row>
    <row r="79" spans="1:9" s="7" customFormat="1" ht="15" customHeight="1" x14ac:dyDescent="0.2">
      <c r="A79" s="2683"/>
      <c r="B79" s="2691"/>
      <c r="C79" s="369" t="str">
        <f>F!C147</f>
        <v>&lt;10 cm change (stable or nearly so).</v>
      </c>
      <c r="D79" s="212">
        <f>F!D147</f>
        <v>0</v>
      </c>
      <c r="E79" s="556">
        <v>0</v>
      </c>
      <c r="F79" s="300">
        <f>D79*E79</f>
        <v>0</v>
      </c>
      <c r="G79" s="548"/>
      <c r="H79" s="2404"/>
      <c r="I79" s="2324"/>
    </row>
    <row r="80" spans="1:9" s="7" customFormat="1" ht="15" customHeight="1" x14ac:dyDescent="0.2">
      <c r="A80" s="2683"/>
      <c r="B80" s="2691"/>
      <c r="C80" s="339" t="str">
        <f>F!C148</f>
        <v>10 cm - 50 cm change.</v>
      </c>
      <c r="D80" s="70">
        <f>F!D148</f>
        <v>0</v>
      </c>
      <c r="E80" s="556">
        <v>2</v>
      </c>
      <c r="F80" s="300">
        <f>D80*E80</f>
        <v>0</v>
      </c>
      <c r="G80" s="549"/>
      <c r="H80" s="2404"/>
      <c r="I80" s="2324"/>
    </row>
    <row r="81" spans="1:9" s="7" customFormat="1" ht="15" customHeight="1" x14ac:dyDescent="0.2">
      <c r="A81" s="2683"/>
      <c r="B81" s="2691"/>
      <c r="C81" s="339" t="str">
        <f>F!C149</f>
        <v>0.5 - 1 m change.</v>
      </c>
      <c r="D81" s="70">
        <f>F!D149</f>
        <v>0</v>
      </c>
      <c r="E81" s="556">
        <v>3</v>
      </c>
      <c r="F81" s="300">
        <f>D81*E81</f>
        <v>0</v>
      </c>
      <c r="G81" s="549"/>
      <c r="H81" s="2404"/>
      <c r="I81" s="2324"/>
    </row>
    <row r="82" spans="1:9" s="7" customFormat="1" ht="15" customHeight="1" x14ac:dyDescent="0.2">
      <c r="A82" s="2668"/>
      <c r="B82" s="2692"/>
      <c r="C82" s="872" t="str">
        <f>F!C150</f>
        <v>1-2 m change.</v>
      </c>
      <c r="D82" s="70">
        <f>F!D150</f>
        <v>0</v>
      </c>
      <c r="E82" s="557">
        <v>4</v>
      </c>
      <c r="F82" s="303">
        <f>D82*E82</f>
        <v>0</v>
      </c>
      <c r="G82" s="558"/>
      <c r="H82" s="2404"/>
      <c r="I82" s="2324"/>
    </row>
    <row r="83" spans="1:9" s="7" customFormat="1" ht="15" customHeight="1" thickBot="1" x14ac:dyDescent="0.25">
      <c r="A83" s="2668"/>
      <c r="B83" s="2692"/>
      <c r="C83" s="872" t="str">
        <f>F!C151</f>
        <v>&gt;2 m change.</v>
      </c>
      <c r="D83" s="70">
        <f>F!D151</f>
        <v>1</v>
      </c>
      <c r="E83" s="557">
        <v>5</v>
      </c>
      <c r="F83" s="303">
        <f>D83*E83</f>
        <v>5</v>
      </c>
      <c r="G83" s="558"/>
      <c r="H83" s="2404"/>
      <c r="I83" s="2324"/>
    </row>
    <row r="84" spans="1:9" ht="45" customHeight="1" thickBot="1" x14ac:dyDescent="0.25">
      <c r="A84" s="2586" t="str">
        <f>F!A163</f>
        <v>F31</v>
      </c>
      <c r="B84" s="2323" t="str">
        <f>F!B163</f>
        <v>% of Water That Is Ponded (not Flowing)</v>
      </c>
      <c r="C84" s="368" t="str">
        <f>F!C163</f>
        <v>During most times when surface water is present, the percentage that is (1) ponded (stagnant, or flows so slowly that fine sediment is not held in suspension) AND (2) is likely to be deeper than 0.5 m in some places, is:</v>
      </c>
      <c r="D84" s="304"/>
      <c r="E84" s="654"/>
      <c r="F84" s="305"/>
      <c r="G84" s="465">
        <f>IF((AllSat1&gt;0),"", MAX(F85:F89)/MAX(E85:E89))</f>
        <v>0</v>
      </c>
      <c r="H84" s="2323" t="s">
        <v>1818</v>
      </c>
      <c r="I84" s="2326" t="s">
        <v>1056</v>
      </c>
    </row>
    <row r="85" spans="1:9" ht="15" customHeight="1" x14ac:dyDescent="0.2">
      <c r="A85" s="2399"/>
      <c r="B85" s="2324"/>
      <c r="C85" s="369" t="str">
        <f>F!C164</f>
        <v>&lt;5% of the water, or it occupies &lt;100 sq.m cumulatively. Nearly all the surface water is flowing. SKIP to F34.</v>
      </c>
      <c r="D85" s="566">
        <f>F!D164</f>
        <v>1</v>
      </c>
      <c r="E85" s="556">
        <v>0</v>
      </c>
      <c r="F85" s="300">
        <f>D85*E85</f>
        <v>0</v>
      </c>
      <c r="G85" s="549"/>
      <c r="H85" s="2324"/>
      <c r="I85" s="2327"/>
    </row>
    <row r="86" spans="1:9" ht="15" customHeight="1" x14ac:dyDescent="0.2">
      <c r="A86" s="2399"/>
      <c r="B86" s="2324"/>
      <c r="C86" s="872" t="str">
        <f>F!C165</f>
        <v>5-30% of the water.</v>
      </c>
      <c r="D86" s="567">
        <f>F!D165</f>
        <v>0</v>
      </c>
      <c r="E86" s="556">
        <v>1</v>
      </c>
      <c r="F86" s="300">
        <f>D86*E86</f>
        <v>0</v>
      </c>
      <c r="G86" s="549"/>
      <c r="H86" s="2324"/>
      <c r="I86" s="2327"/>
    </row>
    <row r="87" spans="1:9" ht="15" customHeight="1" x14ac:dyDescent="0.2">
      <c r="A87" s="2399"/>
      <c r="B87" s="2324"/>
      <c r="C87" s="872" t="str">
        <f>F!C166</f>
        <v>30-70% of the water.</v>
      </c>
      <c r="D87" s="567">
        <f>F!D166</f>
        <v>0</v>
      </c>
      <c r="E87" s="556">
        <v>2</v>
      </c>
      <c r="F87" s="300">
        <f>D87*E87</f>
        <v>0</v>
      </c>
      <c r="G87" s="549"/>
      <c r="H87" s="2324"/>
      <c r="I87" s="2327"/>
    </row>
    <row r="88" spans="1:9" ht="15" customHeight="1" x14ac:dyDescent="0.2">
      <c r="A88" s="2399"/>
      <c r="B88" s="2324"/>
      <c r="C88" s="872" t="str">
        <f>F!C167</f>
        <v>70-95% of the water.</v>
      </c>
      <c r="D88" s="567">
        <f>F!D167</f>
        <v>0</v>
      </c>
      <c r="E88" s="556">
        <v>3</v>
      </c>
      <c r="F88" s="300">
        <f>D88*E88</f>
        <v>0</v>
      </c>
      <c r="G88" s="549"/>
      <c r="H88" s="2324"/>
      <c r="I88" s="2327"/>
    </row>
    <row r="89" spans="1:9" ht="15" customHeight="1" thickBot="1" x14ac:dyDescent="0.25">
      <c r="A89" s="2553"/>
      <c r="B89" s="2325"/>
      <c r="C89" s="370" t="str">
        <f>F!C168</f>
        <v>&gt;95% of the water.</v>
      </c>
      <c r="D89" s="904">
        <f>F!D168</f>
        <v>0</v>
      </c>
      <c r="E89" s="559">
        <v>4</v>
      </c>
      <c r="F89" s="301">
        <f>D89*E89</f>
        <v>0</v>
      </c>
      <c r="G89" s="550"/>
      <c r="H89" s="2325"/>
      <c r="I89" s="2328"/>
    </row>
    <row r="90" spans="1:9" ht="30" customHeight="1" thickBot="1" x14ac:dyDescent="0.25">
      <c r="A90" s="2660" t="str">
        <f>F!A170</f>
        <v>F33</v>
      </c>
      <c r="B90" s="2327" t="str">
        <f>F!B170</f>
        <v xml:space="preserve">% of Ponded Water that is Open </v>
      </c>
      <c r="C90" s="1167" t="str">
        <f>F!C170</f>
        <v>In ducks-eye aerial view, the percentage of the ponded water that is open (lacking emergent vegetation during most of the growing season, and unhidden by a forest or shrub canopy) is:</v>
      </c>
      <c r="D90" s="318"/>
      <c r="E90" s="299"/>
      <c r="F90" s="302"/>
      <c r="G90" s="466" t="str">
        <f>IF((AllSat1&gt;0),"",IF((TooSmall=1),"",IF((NoPonded=1),"",MAX(F91:F96)/MAX(E91:E96))))</f>
        <v/>
      </c>
      <c r="H90" s="2324" t="s">
        <v>1822</v>
      </c>
      <c r="I90" s="2327" t="s">
        <v>385</v>
      </c>
    </row>
    <row r="91" spans="1:9" ht="27" customHeight="1" x14ac:dyDescent="0.2">
      <c r="A91" s="2660"/>
      <c r="B91" s="2327"/>
      <c r="C91" s="418" t="str">
        <f>F!C171</f>
        <v>None, or &lt;1% of the AA and largest pool occupies &lt;0.01 hectares. Enter "1" and SKIP to F41 (Floating Algae &amp; Duckweed).</v>
      </c>
      <c r="D91" s="340">
        <f>F!D171</f>
        <v>0</v>
      </c>
      <c r="E91" s="300">
        <v>5</v>
      </c>
      <c r="F91" s="300">
        <f t="shared" ref="F91:F96" si="2">D91*E91</f>
        <v>0</v>
      </c>
      <c r="G91" s="548"/>
      <c r="H91" s="2324"/>
      <c r="I91" s="2327"/>
    </row>
    <row r="92" spans="1:9" ht="15" customHeight="1" x14ac:dyDescent="0.2">
      <c r="A92" s="2660"/>
      <c r="B92" s="2327"/>
      <c r="C92" s="375" t="str">
        <f>F!C172</f>
        <v>1-4% of the ponded water. Enter "1" and SKIP to F41 (Floating Algae &amp; Duckweed).</v>
      </c>
      <c r="D92" s="340">
        <f>F!D172</f>
        <v>0</v>
      </c>
      <c r="E92" s="300">
        <v>4</v>
      </c>
      <c r="F92" s="300">
        <f t="shared" si="2"/>
        <v>0</v>
      </c>
      <c r="G92" s="549"/>
      <c r="H92" s="2324"/>
      <c r="I92" s="2327"/>
    </row>
    <row r="93" spans="1:9" ht="15" customHeight="1" x14ac:dyDescent="0.2">
      <c r="A93" s="2660"/>
      <c r="B93" s="2327"/>
      <c r="C93" s="375" t="str">
        <f>F!C173</f>
        <v>5-30% of the ponded water.</v>
      </c>
      <c r="D93" s="340">
        <f>F!D173</f>
        <v>0</v>
      </c>
      <c r="E93" s="300">
        <v>3</v>
      </c>
      <c r="F93" s="300">
        <f t="shared" si="2"/>
        <v>0</v>
      </c>
      <c r="G93" s="549"/>
      <c r="H93" s="2324"/>
      <c r="I93" s="2327"/>
    </row>
    <row r="94" spans="1:9" ht="15" customHeight="1" x14ac:dyDescent="0.2">
      <c r="A94" s="2660"/>
      <c r="B94" s="2327"/>
      <c r="C94" s="375" t="str">
        <f>F!C174</f>
        <v>30-70% of the ponded water.</v>
      </c>
      <c r="D94" s="340">
        <f>F!D174</f>
        <v>0</v>
      </c>
      <c r="E94" s="300">
        <v>2</v>
      </c>
      <c r="F94" s="300">
        <f t="shared" si="2"/>
        <v>0</v>
      </c>
      <c r="G94" s="549"/>
      <c r="H94" s="2324"/>
      <c r="I94" s="2327"/>
    </row>
    <row r="95" spans="1:9" ht="15" customHeight="1" x14ac:dyDescent="0.2">
      <c r="A95" s="2660"/>
      <c r="B95" s="2327"/>
      <c r="C95" s="375" t="str">
        <f>F!C175</f>
        <v>70-99% of the ponded water.</v>
      </c>
      <c r="D95" s="340">
        <f>F!D175</f>
        <v>0</v>
      </c>
      <c r="E95" s="300">
        <v>1</v>
      </c>
      <c r="F95" s="300">
        <f t="shared" si="2"/>
        <v>0</v>
      </c>
      <c r="G95" s="549"/>
      <c r="H95" s="2324"/>
      <c r="I95" s="2327"/>
    </row>
    <row r="96" spans="1:9" ht="15" customHeight="1" thickBot="1" x14ac:dyDescent="0.25">
      <c r="A96" s="2661"/>
      <c r="B96" s="2328"/>
      <c r="C96" s="375" t="str">
        <f>F!C176</f>
        <v xml:space="preserve">100% of the ponded water. </v>
      </c>
      <c r="D96" s="340">
        <f>F!D176</f>
        <v>0</v>
      </c>
      <c r="E96" s="301">
        <v>0</v>
      </c>
      <c r="F96" s="301">
        <f t="shared" si="2"/>
        <v>0</v>
      </c>
      <c r="G96" s="550"/>
      <c r="H96" s="2325"/>
      <c r="I96" s="2328"/>
    </row>
    <row r="97" spans="1:9" ht="39" customHeight="1" thickBot="1" x14ac:dyDescent="0.25">
      <c r="A97" s="2587" t="str">
        <f>F!A177</f>
        <v>F34</v>
      </c>
      <c r="B97" s="2671" t="str">
        <f>F!B177</f>
        <v>Width of Vegetated Zone within Wetland</v>
      </c>
      <c r="C97" s="368" t="str">
        <f>F!C177</f>
        <v>At the time during the growing season when the AA's water level is lowest, the average width of vegetated area in the AA that separates adjoining uplands from open water within the AA is:</v>
      </c>
      <c r="D97" s="555"/>
      <c r="E97" s="304"/>
      <c r="F97" s="305"/>
      <c r="G97" s="465">
        <f>IF((AllSat1&gt;0),"",IF((TooSmall=1),"",IF((NoOpenPonded=1),"",MAX(F98:F103)/MAX(E98:E103))))</f>
        <v>1</v>
      </c>
      <c r="H97" s="2693" t="s">
        <v>1823</v>
      </c>
      <c r="I97" s="2326" t="s">
        <v>388</v>
      </c>
    </row>
    <row r="98" spans="1:9" ht="21" customHeight="1" x14ac:dyDescent="0.2">
      <c r="A98" s="2588"/>
      <c r="B98" s="2672"/>
      <c r="C98" s="369" t="str">
        <f>F!C178</f>
        <v>&lt;1 m.</v>
      </c>
      <c r="D98" s="70">
        <f>F!D178</f>
        <v>0</v>
      </c>
      <c r="E98" s="300">
        <v>0</v>
      </c>
      <c r="F98" s="300">
        <f t="shared" ref="F98:F103" si="3">D98*E98</f>
        <v>0</v>
      </c>
      <c r="G98" s="548"/>
      <c r="H98" s="2663"/>
      <c r="I98" s="2327"/>
    </row>
    <row r="99" spans="1:9" ht="21" customHeight="1" x14ac:dyDescent="0.2">
      <c r="A99" s="2588"/>
      <c r="B99" s="2672"/>
      <c r="C99" s="872" t="str">
        <f>F!C179</f>
        <v>1 - 9 m.</v>
      </c>
      <c r="D99" s="70">
        <f>F!D179</f>
        <v>0</v>
      </c>
      <c r="E99" s="300">
        <v>1</v>
      </c>
      <c r="F99" s="300">
        <f t="shared" si="3"/>
        <v>0</v>
      </c>
      <c r="G99" s="549"/>
      <c r="H99" s="2663"/>
      <c r="I99" s="2327"/>
    </row>
    <row r="100" spans="1:9" ht="21" customHeight="1" x14ac:dyDescent="0.2">
      <c r="A100" s="2588"/>
      <c r="B100" s="2672"/>
      <c r="C100" s="872" t="str">
        <f>F!C180</f>
        <v>10 - 29 m.</v>
      </c>
      <c r="D100" s="70">
        <f>F!D180</f>
        <v>0</v>
      </c>
      <c r="E100" s="300">
        <v>2</v>
      </c>
      <c r="F100" s="300">
        <f t="shared" si="3"/>
        <v>0</v>
      </c>
      <c r="G100" s="549"/>
      <c r="H100" s="2663"/>
      <c r="I100" s="2327"/>
    </row>
    <row r="101" spans="1:9" ht="21" customHeight="1" x14ac:dyDescent="0.2">
      <c r="A101" s="2588"/>
      <c r="B101" s="2672"/>
      <c r="C101" s="872" t="str">
        <f>F!C181</f>
        <v>30 - 49 m.</v>
      </c>
      <c r="D101" s="70">
        <f>F!D181</f>
        <v>0</v>
      </c>
      <c r="E101" s="300">
        <v>3</v>
      </c>
      <c r="F101" s="300">
        <f t="shared" si="3"/>
        <v>0</v>
      </c>
      <c r="G101" s="549"/>
      <c r="H101" s="2663"/>
      <c r="I101" s="2327"/>
    </row>
    <row r="102" spans="1:9" ht="21" customHeight="1" x14ac:dyDescent="0.2">
      <c r="A102" s="2588"/>
      <c r="B102" s="2672"/>
      <c r="C102" s="872" t="str">
        <f>F!C182</f>
        <v>50 - 100 m.</v>
      </c>
      <c r="D102" s="70">
        <f>F!D182</f>
        <v>0</v>
      </c>
      <c r="E102" s="303">
        <v>4</v>
      </c>
      <c r="F102" s="303">
        <f t="shared" si="3"/>
        <v>0</v>
      </c>
      <c r="G102" s="558"/>
      <c r="H102" s="2694"/>
      <c r="I102" s="2327"/>
    </row>
    <row r="103" spans="1:9" ht="21" customHeight="1" thickBot="1" x14ac:dyDescent="0.25">
      <c r="A103" s="2589"/>
      <c r="B103" s="2673"/>
      <c r="C103" s="872" t="str">
        <f>F!C183</f>
        <v>&gt; 100 m, or open water is absent at that time.</v>
      </c>
      <c r="D103" s="70">
        <f>F!D183</f>
        <v>1</v>
      </c>
      <c r="E103" s="301">
        <v>6</v>
      </c>
      <c r="F103" s="301">
        <f t="shared" si="3"/>
        <v>6</v>
      </c>
      <c r="G103" s="550"/>
      <c r="H103" s="2664"/>
      <c r="I103" s="2328"/>
    </row>
    <row r="104" spans="1:9" ht="36" customHeight="1" thickBot="1" x14ac:dyDescent="0.25">
      <c r="A104" s="2684" t="str">
        <f>F!A195</f>
        <v>F37</v>
      </c>
      <c r="B104" s="2662" t="str">
        <f>F!B195</f>
        <v>Interspersion of Emergents &amp; Open Water</v>
      </c>
      <c r="C104" s="371" t="str">
        <f>F!C195</f>
        <v>During most of the part of the growing season when water is present, the spatial pattern of emergent vegetation within the water is mostly:</v>
      </c>
      <c r="D104" s="304"/>
      <c r="E104" s="304"/>
      <c r="F104" s="305"/>
      <c r="G104" s="465">
        <f>IF((AllSat1&gt;0),"",IF((TooSmall=1),"",IF((NoOpenPonded=1),"",IF((AllOpenPond=1),"",IF((NoRobustEm=1),"",MAX(F105:F107)/MAX(E105:E107))))))</f>
        <v>0.33333333333333331</v>
      </c>
      <c r="H104" s="2323" t="s">
        <v>1824</v>
      </c>
      <c r="I104" s="2326" t="s">
        <v>387</v>
      </c>
    </row>
    <row r="105" spans="1:9" ht="18" customHeight="1" x14ac:dyDescent="0.2">
      <c r="A105" s="2399"/>
      <c r="B105" s="2663"/>
      <c r="C105" s="373" t="str">
        <f>F!C196</f>
        <v>Scattered. More than 30% of such vegetation forms small islands or corridors surrounded by water.</v>
      </c>
      <c r="D105" s="212">
        <f>F!D196</f>
        <v>0</v>
      </c>
      <c r="E105" s="300">
        <v>3</v>
      </c>
      <c r="F105" s="300">
        <f>D105*E105</f>
        <v>0</v>
      </c>
      <c r="G105" s="325"/>
      <c r="H105" s="2324"/>
      <c r="I105" s="2327"/>
    </row>
    <row r="106" spans="1:9" ht="18" customHeight="1" x14ac:dyDescent="0.2">
      <c r="A106" s="2399"/>
      <c r="B106" s="2663"/>
      <c r="C106" s="374" t="str">
        <f>F!C197</f>
        <v>Intermediate.</v>
      </c>
      <c r="D106" s="70">
        <f>F!D197</f>
        <v>0</v>
      </c>
      <c r="E106" s="300">
        <v>2</v>
      </c>
      <c r="F106" s="300">
        <f>D106*E106</f>
        <v>0</v>
      </c>
      <c r="G106" s="325"/>
      <c r="H106" s="2324"/>
      <c r="I106" s="2327"/>
    </row>
    <row r="107" spans="1:9" ht="27" customHeight="1" thickBot="1" x14ac:dyDescent="0.25">
      <c r="A107" s="2553"/>
      <c r="B107" s="2664"/>
      <c r="C107" s="372" t="str">
        <f>F!C198</f>
        <v>Clumped. More than 70% of such vegetation is in bands along the wetland perimeter or is clumped at one or a few sides of the surface water area.</v>
      </c>
      <c r="D107" s="152">
        <f>F!D198</f>
        <v>1</v>
      </c>
      <c r="E107" s="301">
        <v>1</v>
      </c>
      <c r="F107" s="301">
        <f>D107*E107</f>
        <v>1</v>
      </c>
      <c r="G107" s="329"/>
      <c r="H107" s="2325"/>
      <c r="I107" s="2328"/>
    </row>
    <row r="108" spans="1:9" ht="60" customHeight="1" thickBot="1" x14ac:dyDescent="0.25">
      <c r="A108" s="2554" t="str">
        <f>F!A206</f>
        <v>F42</v>
      </c>
      <c r="B108" s="2396" t="str">
        <f>F!B206</f>
        <v>Channel Connection &amp; Outflow Duration</v>
      </c>
      <c r="C108" s="376"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108" s="304"/>
      <c r="E108" s="299"/>
      <c r="F108" s="302"/>
      <c r="G108" s="466">
        <f>MAX(F109:F113)/MAX(E109:E113)</f>
        <v>0.33333333333333331</v>
      </c>
      <c r="H108" s="2324" t="s">
        <v>1826</v>
      </c>
      <c r="I108" s="2326" t="s">
        <v>392</v>
      </c>
    </row>
    <row r="109" spans="1:9" ht="15" customHeight="1" x14ac:dyDescent="0.2">
      <c r="A109" s="2554"/>
      <c r="B109" s="2396"/>
      <c r="C109" s="369" t="str">
        <f>F!C207</f>
        <v>Persistent (surface water flows out for &gt;9 months/year).</v>
      </c>
      <c r="D109" s="212">
        <f>F!D207</f>
        <v>0</v>
      </c>
      <c r="E109" s="300">
        <v>1</v>
      </c>
      <c r="F109" s="300">
        <f>D109*E109</f>
        <v>0</v>
      </c>
      <c r="G109" s="548"/>
      <c r="H109" s="2324"/>
      <c r="I109" s="2327"/>
    </row>
    <row r="110" spans="1:9" ht="15" customHeight="1" x14ac:dyDescent="0.2">
      <c r="A110" s="2554"/>
      <c r="B110" s="2396"/>
      <c r="C110" s="339" t="str">
        <f>F!C208</f>
        <v>Seasonal (surface water flows out for 14 days to 9 months/year, not necessarily consecutive).</v>
      </c>
      <c r="D110" s="70">
        <f>F!D208</f>
        <v>1</v>
      </c>
      <c r="E110" s="300">
        <v>2</v>
      </c>
      <c r="F110" s="300">
        <f>D110*E110</f>
        <v>2</v>
      </c>
      <c r="G110" s="549"/>
      <c r="H110" s="2324"/>
      <c r="I110" s="2327"/>
    </row>
    <row r="111" spans="1:9" ht="15" customHeight="1" x14ac:dyDescent="0.2">
      <c r="A111" s="2554"/>
      <c r="B111" s="2396"/>
      <c r="C111" s="339" t="str">
        <f>F!C209</f>
        <v>Temporary (surface water flows out for &lt;14 days, not necessarily consecutive).</v>
      </c>
      <c r="D111" s="70">
        <f>F!D209</f>
        <v>0</v>
      </c>
      <c r="E111" s="300">
        <v>3</v>
      </c>
      <c r="F111" s="300">
        <f>D111*E111</f>
        <v>0</v>
      </c>
      <c r="G111" s="549"/>
      <c r="H111" s="2324"/>
      <c r="I111" s="2327"/>
    </row>
    <row r="112" spans="1:9" ht="27" customHeight="1" x14ac:dyDescent="0.2">
      <c r="A112" s="2554"/>
      <c r="B112" s="2396"/>
      <c r="C112" s="339" t="str">
        <f>F!C210</f>
        <v>None -- but maps show a stream network downslope from the AA and within a distance that is less than the AA's length. SKIP to F47 (pH Measurement).</v>
      </c>
      <c r="D112" s="70">
        <f>F!D210</f>
        <v>0</v>
      </c>
      <c r="E112" s="316">
        <v>6</v>
      </c>
      <c r="F112" s="300">
        <f>D112*E112</f>
        <v>0</v>
      </c>
      <c r="G112" s="558"/>
      <c r="H112" s="2324"/>
      <c r="I112" s="2327"/>
    </row>
    <row r="113" spans="1:9" ht="27" customHeight="1" thickBot="1" x14ac:dyDescent="0.25">
      <c r="A113" s="2554"/>
      <c r="B113" s="2396"/>
      <c r="C113" s="375" t="str">
        <f>F!C211</f>
        <v>No surface water flows out of the wetland except possibly during extreme events (&lt;once per 10 years). Or, water flows only into a wetland, ditch, or lake that lacks an outlet. SKIP to F47 (pH Measurement).</v>
      </c>
      <c r="D113" s="340">
        <f>F!D211</f>
        <v>0</v>
      </c>
      <c r="E113" s="458">
        <v>6</v>
      </c>
      <c r="F113" s="303">
        <f>D113*E113</f>
        <v>0</v>
      </c>
      <c r="G113" s="558"/>
      <c r="H113" s="2324"/>
      <c r="I113" s="2328"/>
    </row>
    <row r="114" spans="1:9" ht="30" customHeight="1" thickBot="1" x14ac:dyDescent="0.25">
      <c r="A114" s="2368" t="str">
        <f>F!A212</f>
        <v>F43</v>
      </c>
      <c r="B114" s="2326" t="str">
        <f>F!B212</f>
        <v xml:space="preserve">Outflow Confinement </v>
      </c>
      <c r="C114" s="368" t="str">
        <f>F!C212</f>
        <v>During major runoff events, in the places where surface water exits the AA or connected waters nearby, the water:</v>
      </c>
      <c r="D114" s="304"/>
      <c r="E114" s="304"/>
      <c r="F114" s="305"/>
      <c r="G114" s="465">
        <f>IF((OutNone=1),"",MAX(F115:F117)/MAX(E115:E117))</f>
        <v>0.5</v>
      </c>
      <c r="H114" s="2529" t="s">
        <v>1825</v>
      </c>
      <c r="I114" s="2326" t="s">
        <v>393</v>
      </c>
    </row>
    <row r="115" spans="1:9" ht="42" customHeight="1" x14ac:dyDescent="0.2">
      <c r="A115" s="2369"/>
      <c r="B115" s="2327"/>
      <c r="C115" s="369" t="str">
        <f>F!C213</f>
        <v>Mostly passes through a pipe, culvert, narrowly breached dike, berm, beaver dam, or other partial obstruction (other than natural topography) that does not appear to drain the wetland artificially during most of the growing season.</v>
      </c>
      <c r="D115" s="212">
        <f>F!D213</f>
        <v>0</v>
      </c>
      <c r="E115" s="300">
        <v>2</v>
      </c>
      <c r="F115" s="300">
        <f>D115*E115</f>
        <v>0</v>
      </c>
      <c r="G115" s="548"/>
      <c r="H115" s="2404"/>
      <c r="I115" s="2327"/>
    </row>
    <row r="116" spans="1:9" ht="15" customHeight="1" x14ac:dyDescent="0.2">
      <c r="A116" s="2369"/>
      <c r="B116" s="2327"/>
      <c r="C116" s="339" t="str">
        <f>F!C214</f>
        <v>Leaves through natural exits (channels or diffuse outflow), not mainly through artificial or temporary features.</v>
      </c>
      <c r="D116" s="70">
        <f>F!D214</f>
        <v>1</v>
      </c>
      <c r="E116" s="300">
        <v>1</v>
      </c>
      <c r="F116" s="300">
        <f>D116*E116</f>
        <v>1</v>
      </c>
      <c r="G116" s="561"/>
      <c r="H116" s="2404"/>
      <c r="I116" s="2327"/>
    </row>
    <row r="117" spans="1:9" ht="41.25" customHeight="1" thickBot="1" x14ac:dyDescent="0.25">
      <c r="A117" s="2369"/>
      <c r="B117" s="2327"/>
      <c r="C117" s="375" t="str">
        <f>F!C215</f>
        <v>Is exported more quickly than usual due to ditches or pipes within the AA or connected to its outlet, or within 10 m of the AA's edge, which drain the wetland artificially, or water is pumped out of the AA.</v>
      </c>
      <c r="D117" s="474">
        <f>F!D215</f>
        <v>0</v>
      </c>
      <c r="E117" s="303">
        <v>0</v>
      </c>
      <c r="F117" s="303">
        <f>D117*E117</f>
        <v>0</v>
      </c>
      <c r="G117" s="558"/>
      <c r="H117" s="2530"/>
      <c r="I117" s="2328"/>
    </row>
    <row r="118" spans="1:9" ht="33" customHeight="1" thickBot="1" x14ac:dyDescent="0.25">
      <c r="A118" s="2368" t="str">
        <f>F!A218</f>
        <v>F46</v>
      </c>
      <c r="B118" s="2394" t="str">
        <f>F!B218</f>
        <v>Throughflow Resistance</v>
      </c>
      <c r="C118" s="368" t="str">
        <f>F!C218</f>
        <v>During its travel through the AA at the time of peak annual flow, water arriving in channels: [select only the ONE encountered by most of the incoming water].</v>
      </c>
      <c r="D118" s="304"/>
      <c r="E118" s="304"/>
      <c r="F118" s="305"/>
      <c r="G118" s="465">
        <f>IF(AND(Inflows=0,OutNone=1,OutNone1=1),"",MAX(F119:F123)/MAX(E119:E123))</f>
        <v>0.5</v>
      </c>
      <c r="H118" s="2529" t="s">
        <v>1553</v>
      </c>
      <c r="I118" s="2326" t="s">
        <v>394</v>
      </c>
    </row>
    <row r="119" spans="1:9" ht="45" customHeight="1" x14ac:dyDescent="0.2">
      <c r="A119" s="2369"/>
      <c r="B119" s="2396"/>
      <c r="C119" s="369" t="str">
        <f>F!C219</f>
        <v>Does not bump into many plant stems as it travels through the AA. Nearly all the water continues to travel in unvegetated (often incised) channels that have minimal contact with wetland vegetation, or through a zone of open water such as an instream pond or lake.</v>
      </c>
      <c r="D119" s="212">
        <f>F!D219</f>
        <v>0</v>
      </c>
      <c r="E119" s="300">
        <v>0</v>
      </c>
      <c r="F119" s="300">
        <f>D119*E119</f>
        <v>0</v>
      </c>
      <c r="G119" s="548"/>
      <c r="H119" s="2404"/>
      <c r="I119" s="2327"/>
    </row>
    <row r="120" spans="1:9" ht="18" customHeight="1" x14ac:dyDescent="0.2">
      <c r="A120" s="2369"/>
      <c r="B120" s="2396"/>
      <c r="C120" s="339" t="str">
        <f>F!C220</f>
        <v>Bumps into herbaceous vegetation but mostly remains in fairly straight channels.</v>
      </c>
      <c r="D120" s="70">
        <f>F!D220</f>
        <v>0</v>
      </c>
      <c r="E120" s="300">
        <v>1</v>
      </c>
      <c r="F120" s="300">
        <f>D120*E120</f>
        <v>0</v>
      </c>
      <c r="G120" s="549"/>
      <c r="H120" s="2404"/>
      <c r="I120" s="2327"/>
    </row>
    <row r="121" spans="1:9" ht="27" customHeight="1" x14ac:dyDescent="0.2">
      <c r="A121" s="2369"/>
      <c r="B121" s="2396"/>
      <c r="C121" s="339" t="str">
        <f>F!C221</f>
        <v>Bumps into herbaceous vegetation and mostly spreads throughout, or is in widely meandering, multi-branched, or braided channels.</v>
      </c>
      <c r="D121" s="70">
        <f>F!D221</f>
        <v>1</v>
      </c>
      <c r="E121" s="300">
        <v>2</v>
      </c>
      <c r="F121" s="300">
        <f>D121*E121</f>
        <v>2</v>
      </c>
      <c r="G121" s="549"/>
      <c r="H121" s="2404"/>
      <c r="I121" s="2327"/>
    </row>
    <row r="122" spans="1:9" ht="18" customHeight="1" x14ac:dyDescent="0.2">
      <c r="A122" s="2369"/>
      <c r="B122" s="2396"/>
      <c r="C122" s="339" t="str">
        <f>F!C222</f>
        <v>Bumps into tree trunks and/or shrub stems but mostly remains in fairly straight channels.</v>
      </c>
      <c r="D122" s="70">
        <f>F!D222</f>
        <v>0</v>
      </c>
      <c r="E122" s="300">
        <v>3</v>
      </c>
      <c r="F122" s="300">
        <f>D122*E122</f>
        <v>0</v>
      </c>
      <c r="G122" s="549"/>
      <c r="H122" s="2404"/>
      <c r="I122" s="2327"/>
    </row>
    <row r="123" spans="1:9" ht="27" customHeight="1" thickBot="1" x14ac:dyDescent="0.25">
      <c r="A123" s="2370"/>
      <c r="B123" s="2408"/>
      <c r="C123" s="370" t="str">
        <f>F!C223</f>
        <v>Bumps into tree trunks and/or shrub stems and follows a fairly indirect path from entrance to exit (meandering, multi-branched, or braided).</v>
      </c>
      <c r="D123" s="152">
        <f>F!D223</f>
        <v>0</v>
      </c>
      <c r="E123" s="301">
        <v>4</v>
      </c>
      <c r="F123" s="301">
        <f>D123*E123</f>
        <v>0</v>
      </c>
      <c r="G123" s="550"/>
      <c r="H123" s="2530"/>
      <c r="I123" s="2328"/>
    </row>
    <row r="124" spans="1:9" ht="27" customHeight="1" thickBot="1" x14ac:dyDescent="0.25">
      <c r="A124" s="2552" t="str">
        <f>F!A224</f>
        <v>F47</v>
      </c>
      <c r="B124" s="2326" t="str">
        <f>F!B224</f>
        <v>pH Measurement</v>
      </c>
      <c r="C124" s="368" t="str">
        <f>F!C224</f>
        <v>The pH in most of the AA's surface water:</v>
      </c>
      <c r="D124" s="1050"/>
      <c r="E124" s="304"/>
      <c r="F124" s="304"/>
      <c r="G124" s="465" t="str">
        <f>IF((D127=1),"",IF((AND(D125&gt;=6,D125&lt;=8.5)),1,IF((OR(D125&lt;6,D125&gt;8.5)),0,0.5)))</f>
        <v/>
      </c>
      <c r="H124" s="2323" t="s">
        <v>2941</v>
      </c>
      <c r="I124" s="2326" t="s">
        <v>1573</v>
      </c>
    </row>
    <row r="125" spans="1:9" ht="21" customHeight="1" thickBot="1" x14ac:dyDescent="0.25">
      <c r="A125" s="2643"/>
      <c r="B125" s="2327"/>
      <c r="C125" s="645" t="str">
        <f>F!C225</f>
        <v>Was measured, and is:  [enter the reading in the column to the right.]</v>
      </c>
      <c r="D125" s="2083" t="str">
        <f>IF((F!D225=""),"", F!D225)</f>
        <v/>
      </c>
      <c r="E125" s="316"/>
      <c r="F125" s="300"/>
      <c r="G125" s="549"/>
      <c r="H125" s="2324"/>
      <c r="I125" s="2327"/>
    </row>
    <row r="126" spans="1:9" ht="30" customHeight="1" x14ac:dyDescent="0.2">
      <c r="A126" s="2643"/>
      <c r="B126" s="2327"/>
      <c r="C126" s="872" t="str">
        <f>F!C226</f>
        <v xml:space="preserve">Was not measured but surface water is present and is darkly tea-coloured.  Or if no surface water, then mosses and plants that indicate peatland (e.g., Labrador tea) are prevalent. Enter "1". </v>
      </c>
      <c r="D126" s="212">
        <f>F!D226</f>
        <v>0</v>
      </c>
      <c r="E126" s="300"/>
      <c r="F126" s="300"/>
      <c r="G126" s="549"/>
      <c r="H126" s="2324"/>
      <c r="I126" s="2327"/>
    </row>
    <row r="127" spans="1:9" ht="31.5" customHeight="1" thickBot="1" x14ac:dyDescent="0.25">
      <c r="A127" s="2689"/>
      <c r="B127" s="2328"/>
      <c r="C127" s="546" t="str">
        <f>F!C227</f>
        <v>Neither of above. Enter "1".</v>
      </c>
      <c r="D127" s="1175">
        <f>F!D227</f>
        <v>1</v>
      </c>
      <c r="E127" s="301"/>
      <c r="F127" s="301"/>
      <c r="G127" s="550"/>
      <c r="H127" s="2325"/>
      <c r="I127" s="2328"/>
    </row>
    <row r="128" spans="1:9" ht="21" customHeight="1" thickBot="1" x14ac:dyDescent="0.25">
      <c r="A128" s="2399" t="str">
        <f>F!A237</f>
        <v>F50</v>
      </c>
      <c r="B128" s="2324" t="str">
        <f>F!B237</f>
        <v>Groundwater Strength of Evidence</v>
      </c>
      <c r="C128" s="961" t="str">
        <f>F!C237</f>
        <v>Select first applicable choice:</v>
      </c>
      <c r="D128" s="299"/>
      <c r="E128" s="299"/>
      <c r="F128" s="302"/>
      <c r="G128" s="466">
        <f>MAX(F129:F131)/MAX(E129:E131)</f>
        <v>0</v>
      </c>
      <c r="H128" s="2404" t="s">
        <v>1503</v>
      </c>
      <c r="I128" s="2326" t="s">
        <v>391</v>
      </c>
    </row>
    <row r="129" spans="1:9" ht="42" customHeight="1" x14ac:dyDescent="0.2">
      <c r="A129" s="2399"/>
      <c r="B129" s="2324"/>
      <c r="C129" s="341"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29" s="295">
        <f>F!D238</f>
        <v>0</v>
      </c>
      <c r="E129" s="300">
        <v>3</v>
      </c>
      <c r="F129" s="300">
        <f>D129*E129</f>
        <v>0</v>
      </c>
      <c r="G129" s="548"/>
      <c r="H129" s="2404"/>
      <c r="I129" s="2327"/>
    </row>
    <row r="130" spans="1:9" ht="27" customHeight="1" x14ac:dyDescent="0.2">
      <c r="A130" s="2399"/>
      <c r="B130" s="2324"/>
      <c r="C130" s="366" t="str">
        <f>F!C239</f>
        <v>Most of the AA has a slope of &gt;5%, or is very close to the base of a natural slope longer than 100 and much steeper than the slope of the AA,  AND the pH of surface water, if known, is &gt;5.5.</v>
      </c>
      <c r="D130" s="211">
        <f>F!D239</f>
        <v>0</v>
      </c>
      <c r="E130" s="300">
        <v>2</v>
      </c>
      <c r="F130" s="300">
        <f>D130*E130</f>
        <v>0</v>
      </c>
      <c r="G130" s="549"/>
      <c r="H130" s="2404"/>
      <c r="I130" s="2327"/>
    </row>
    <row r="131" spans="1:9" ht="27" customHeight="1" thickBot="1" x14ac:dyDescent="0.25">
      <c r="A131" s="2553"/>
      <c r="B131" s="2325"/>
      <c r="C131" s="153" t="str">
        <f>F!C240</f>
        <v>Neither of above is true, although some groundwater may discharge to or flow through the AA. Or groundwater influx is unknown.</v>
      </c>
      <c r="D131" s="206">
        <f>F!D240</f>
        <v>1</v>
      </c>
      <c r="E131" s="301">
        <v>0</v>
      </c>
      <c r="F131" s="301">
        <f>D131*E131</f>
        <v>0</v>
      </c>
      <c r="G131" s="550"/>
      <c r="H131" s="2530"/>
      <c r="I131" s="2328"/>
    </row>
    <row r="132" spans="1:9" ht="21" customHeight="1" thickBot="1" x14ac:dyDescent="0.25">
      <c r="A132" s="2366" t="str">
        <f>F!A241</f>
        <v>F51</v>
      </c>
      <c r="B132" s="2394" t="str">
        <f>F!B241</f>
        <v>Internal Gradient</v>
      </c>
      <c r="C132" s="368" t="str">
        <f>F!C241</f>
        <v>The gradient along most of the flow path within the AA is:</v>
      </c>
      <c r="D132" s="315"/>
      <c r="E132" s="304"/>
      <c r="F132" s="305"/>
      <c r="G132" s="465">
        <f>MAX(F133:F136)/MAX(E133:E136)</f>
        <v>1</v>
      </c>
      <c r="H132" s="2529" t="s">
        <v>598</v>
      </c>
      <c r="I132" s="2326" t="s">
        <v>399</v>
      </c>
    </row>
    <row r="133" spans="1:9" ht="15" customHeight="1" x14ac:dyDescent="0.2">
      <c r="A133" s="2365"/>
      <c r="B133" s="2396"/>
      <c r="C133" s="369" t="str">
        <f>F!C242</f>
        <v>&lt;2% or the AA has no surface water outlet (not even seasonally).</v>
      </c>
      <c r="D133" s="70">
        <f>F!D242</f>
        <v>1</v>
      </c>
      <c r="E133" s="300">
        <v>4</v>
      </c>
      <c r="F133" s="300">
        <f>D133*E133</f>
        <v>4</v>
      </c>
      <c r="G133" s="548"/>
      <c r="H133" s="2396"/>
      <c r="I133" s="2327"/>
    </row>
    <row r="134" spans="1:9" ht="15" customHeight="1" x14ac:dyDescent="0.2">
      <c r="A134" s="2365"/>
      <c r="B134" s="2396"/>
      <c r="C134" s="872" t="str">
        <f>F!C243</f>
        <v>2-5%.</v>
      </c>
      <c r="D134" s="70">
        <f>F!D243</f>
        <v>0</v>
      </c>
      <c r="E134" s="300">
        <v>2</v>
      </c>
      <c r="F134" s="300">
        <f>D134*E134</f>
        <v>0</v>
      </c>
      <c r="G134" s="549"/>
      <c r="H134" s="2396"/>
      <c r="I134" s="2327"/>
    </row>
    <row r="135" spans="1:9" ht="15" customHeight="1" x14ac:dyDescent="0.2">
      <c r="A135" s="2365"/>
      <c r="B135" s="2396"/>
      <c r="C135" s="872" t="str">
        <f>F!C244</f>
        <v>6-10%.</v>
      </c>
      <c r="D135" s="70">
        <f>F!D244</f>
        <v>0</v>
      </c>
      <c r="E135" s="300">
        <v>1</v>
      </c>
      <c r="F135" s="300">
        <f>D135*E135</f>
        <v>0</v>
      </c>
      <c r="G135" s="549"/>
      <c r="H135" s="2396"/>
      <c r="I135" s="2327"/>
    </row>
    <row r="136" spans="1:9" ht="15" customHeight="1" thickBot="1" x14ac:dyDescent="0.25">
      <c r="A136" s="2367"/>
      <c r="B136" s="2408"/>
      <c r="C136" s="375" t="str">
        <f>F!C245</f>
        <v>&gt;10%.</v>
      </c>
      <c r="D136" s="70">
        <f>F!D245</f>
        <v>0</v>
      </c>
      <c r="E136" s="301">
        <v>0</v>
      </c>
      <c r="F136" s="301">
        <f>D136*E136</f>
        <v>0</v>
      </c>
      <c r="G136" s="550"/>
      <c r="H136" s="2408"/>
      <c r="I136" s="2328"/>
    </row>
    <row r="137" spans="1:9" ht="30" customHeight="1" thickBot="1" x14ac:dyDescent="0.25">
      <c r="A137" s="2686" t="str">
        <f>F!A262</f>
        <v>F56</v>
      </c>
      <c r="B137" s="2665" t="str">
        <f>F!B262</f>
        <v>New or Expanded Wetland</v>
      </c>
      <c r="C137" s="1245" t="str">
        <f>F!C262</f>
        <v>Human actions within or adjacent to the AA have persistently expanded a naturally occurring wetland or created a wetland where there previously was none (e.g., by excavation, impoundment):</v>
      </c>
      <c r="D137" s="1055"/>
      <c r="E137" s="555"/>
      <c r="F137" s="562"/>
      <c r="G137" s="465">
        <f>IF((D143=1),"",MAX(F138:F142)/MAX(E138:E142))</f>
        <v>1</v>
      </c>
      <c r="H137" s="2529" t="s">
        <v>1554</v>
      </c>
      <c r="I137" s="2326" t="s">
        <v>400</v>
      </c>
    </row>
    <row r="138" spans="1:9" ht="15" customHeight="1" x14ac:dyDescent="0.2">
      <c r="A138" s="2687"/>
      <c r="B138" s="2666"/>
      <c r="C138" s="1246" t="str">
        <f>F!C263</f>
        <v>No.</v>
      </c>
      <c r="D138" s="881">
        <f>F!D263</f>
        <v>1</v>
      </c>
      <c r="E138" s="458">
        <v>5</v>
      </c>
      <c r="F138" s="300">
        <f>D138*E138</f>
        <v>5</v>
      </c>
      <c r="G138" s="561"/>
      <c r="H138" s="2404"/>
      <c r="I138" s="2327"/>
    </row>
    <row r="139" spans="1:9" ht="15" customHeight="1" x14ac:dyDescent="0.2">
      <c r="A139" s="2687"/>
      <c r="B139" s="2666"/>
      <c r="C139" s="1247" t="str">
        <f>F!C264</f>
        <v xml:space="preserve">Yes, and created or expanded 20 - 100 years ago. </v>
      </c>
      <c r="D139" s="881">
        <f>F!D264</f>
        <v>0</v>
      </c>
      <c r="E139" s="458">
        <v>2</v>
      </c>
      <c r="F139" s="300">
        <f>D139*E139</f>
        <v>0</v>
      </c>
      <c r="G139" s="558"/>
      <c r="H139" s="2404"/>
      <c r="I139" s="2327"/>
    </row>
    <row r="140" spans="1:9" ht="15" customHeight="1" x14ac:dyDescent="0.2">
      <c r="A140" s="2687"/>
      <c r="B140" s="2666"/>
      <c r="C140" s="1247" t="str">
        <f>F!C265</f>
        <v>Yes, and created or expanded 3-20 years ago.</v>
      </c>
      <c r="D140" s="881">
        <f>F!D265</f>
        <v>0</v>
      </c>
      <c r="E140" s="458">
        <v>1</v>
      </c>
      <c r="F140" s="300">
        <f>D140*E140</f>
        <v>0</v>
      </c>
      <c r="G140" s="558"/>
      <c r="H140" s="2404"/>
      <c r="I140" s="2327"/>
    </row>
    <row r="141" spans="1:9" ht="15" customHeight="1" x14ac:dyDescent="0.2">
      <c r="A141" s="2687"/>
      <c r="B141" s="2666"/>
      <c r="C141" s="1247" t="str">
        <f>F!C266</f>
        <v>Yes, and created or expanded within last 3 years.</v>
      </c>
      <c r="D141" s="881">
        <f>F!D266</f>
        <v>0</v>
      </c>
      <c r="E141" s="458">
        <v>0</v>
      </c>
      <c r="F141" s="300">
        <f>D141*E141</f>
        <v>0</v>
      </c>
      <c r="G141" s="558"/>
      <c r="H141" s="2404"/>
      <c r="I141" s="2327"/>
    </row>
    <row r="142" spans="1:9" ht="15" customHeight="1" x14ac:dyDescent="0.2">
      <c r="A142" s="2687"/>
      <c r="B142" s="2666"/>
      <c r="C142" s="1247" t="str">
        <f>F!C267</f>
        <v>Yes, but time of origin or expansion unknown.</v>
      </c>
      <c r="D142" s="881">
        <f>F!D267</f>
        <v>0</v>
      </c>
      <c r="E142" s="458">
        <v>1</v>
      </c>
      <c r="F142" s="300">
        <f>D142*E142</f>
        <v>0</v>
      </c>
      <c r="G142" s="558"/>
      <c r="H142" s="2404"/>
      <c r="I142" s="2327"/>
    </row>
    <row r="143" spans="1:9" ht="15" customHeight="1" thickBot="1" x14ac:dyDescent="0.25">
      <c r="A143" s="2688"/>
      <c r="B143" s="2667"/>
      <c r="C143" s="1248" t="str">
        <f>F!C268</f>
        <v>Unknown if new or expanded within 20 years or not.</v>
      </c>
      <c r="D143" s="1059">
        <f>F!D268</f>
        <v>0</v>
      </c>
      <c r="E143" s="317"/>
      <c r="F143" s="301"/>
      <c r="G143" s="550"/>
      <c r="H143" s="2530"/>
      <c r="I143" s="2328"/>
    </row>
    <row r="144" spans="1:9" ht="60" customHeight="1" thickBot="1" x14ac:dyDescent="0.25">
      <c r="A144" s="1168" t="str">
        <f>S!A69</f>
        <v>S5</v>
      </c>
      <c r="B144" s="1167" t="str">
        <f>S!B69</f>
        <v>Soil or Sediment Alteration Within the Assessment Area</v>
      </c>
      <c r="C144" s="1944" t="s">
        <v>978</v>
      </c>
      <c r="D144" s="1056">
        <f>S!F86</f>
        <v>0.83333333333333337</v>
      </c>
      <c r="E144" s="314"/>
      <c r="F144" s="1052"/>
      <c r="G144" s="466">
        <f>IF((D144=0),"",1-D144)</f>
        <v>0.16666666666666663</v>
      </c>
      <c r="H144" s="1174" t="s">
        <v>587</v>
      </c>
      <c r="I144" s="1167" t="s">
        <v>401</v>
      </c>
    </row>
    <row r="145" spans="1:11" s="106" customFormat="1" ht="36" customHeight="1" thickBot="1" x14ac:dyDescent="0.25">
      <c r="A145" s="1184" t="s">
        <v>88</v>
      </c>
      <c r="B145" s="1184" t="s">
        <v>2429</v>
      </c>
      <c r="C145" s="1186" t="s">
        <v>1165</v>
      </c>
      <c r="D145" s="1185" t="s">
        <v>45</v>
      </c>
      <c r="E145" s="1318" t="s">
        <v>1189</v>
      </c>
      <c r="F145" s="1284" t="s">
        <v>1190</v>
      </c>
      <c r="G145" s="1319" t="s">
        <v>2555</v>
      </c>
      <c r="H145" s="1184" t="s">
        <v>1118</v>
      </c>
      <c r="I145" s="1184" t="s">
        <v>2424</v>
      </c>
      <c r="K145" s="123"/>
    </row>
    <row r="146" spans="1:11" ht="21" customHeight="1" thickBot="1" x14ac:dyDescent="0.25">
      <c r="A146" s="2668" t="str">
        <f>OF!A50</f>
        <v>OF10</v>
      </c>
      <c r="B146" s="2493" t="str">
        <f>OF!B50</f>
        <v>Distance by Road to Nearest Population Center</v>
      </c>
      <c r="C146" s="368" t="str">
        <f>OF!C50</f>
        <v>Measured along the maintained road nearest the AA, the distance to the nearest population center is:</v>
      </c>
      <c r="D146" s="304"/>
      <c r="E146" s="300"/>
      <c r="F146" s="300"/>
      <c r="G146" s="455">
        <f>MAX(F147:F151)/MAX(E147:E151)</f>
        <v>0.6</v>
      </c>
      <c r="H146" s="2323" t="s">
        <v>1547</v>
      </c>
      <c r="I146" s="2698" t="s">
        <v>405</v>
      </c>
    </row>
    <row r="147" spans="1:11" ht="15" customHeight="1" x14ac:dyDescent="0.2">
      <c r="A147" s="2554"/>
      <c r="B147" s="2327"/>
      <c r="C147" s="369" t="str">
        <f>OF!C51</f>
        <v>&lt;100 m.</v>
      </c>
      <c r="D147" s="212">
        <f>OF!D51</f>
        <v>0</v>
      </c>
      <c r="E147" s="299">
        <v>5</v>
      </c>
      <c r="F147" s="300">
        <f>D147*E147</f>
        <v>0</v>
      </c>
      <c r="G147" s="548"/>
      <c r="H147" s="2324"/>
      <c r="I147" s="2699"/>
    </row>
    <row r="148" spans="1:11" ht="15" customHeight="1" x14ac:dyDescent="0.2">
      <c r="A148" s="2554"/>
      <c r="B148" s="2327"/>
      <c r="C148" s="339" t="str">
        <f>OF!C52</f>
        <v>100 - 500 m.</v>
      </c>
      <c r="D148" s="70">
        <f>OF!D52</f>
        <v>1</v>
      </c>
      <c r="E148" s="299">
        <v>3</v>
      </c>
      <c r="F148" s="300">
        <f>D148*E148</f>
        <v>3</v>
      </c>
      <c r="G148" s="548"/>
      <c r="H148" s="2324"/>
      <c r="I148" s="2699"/>
    </row>
    <row r="149" spans="1:11" ht="15" customHeight="1" x14ac:dyDescent="0.2">
      <c r="A149" s="2554"/>
      <c r="B149" s="2327"/>
      <c r="C149" s="339" t="str">
        <f>OF!C53</f>
        <v>0.5- 1 km.</v>
      </c>
      <c r="D149" s="70">
        <f>OF!D53</f>
        <v>0</v>
      </c>
      <c r="E149" s="299">
        <v>2</v>
      </c>
      <c r="F149" s="300">
        <f>D149*E149</f>
        <v>0</v>
      </c>
      <c r="G149" s="548"/>
      <c r="H149" s="2324"/>
      <c r="I149" s="2699"/>
    </row>
    <row r="150" spans="1:11" ht="15" customHeight="1" x14ac:dyDescent="0.2">
      <c r="A150" s="2554"/>
      <c r="B150" s="2327"/>
      <c r="C150" s="339" t="str">
        <f>OF!C54</f>
        <v>1 - 5 km.</v>
      </c>
      <c r="D150" s="70">
        <f>OF!D54</f>
        <v>0</v>
      </c>
      <c r="E150" s="299">
        <v>1</v>
      </c>
      <c r="F150" s="300">
        <f>D150*E150</f>
        <v>0</v>
      </c>
      <c r="G150" s="548"/>
      <c r="H150" s="2324"/>
      <c r="I150" s="2699"/>
    </row>
    <row r="151" spans="1:11" ht="15" customHeight="1" thickBot="1" x14ac:dyDescent="0.25">
      <c r="A151" s="2554"/>
      <c r="B151" s="2327"/>
      <c r="C151" s="375" t="str">
        <f>OF!C55</f>
        <v>&gt;5 km.</v>
      </c>
      <c r="D151" s="340">
        <f>OF!D55</f>
        <v>0</v>
      </c>
      <c r="E151" s="303">
        <v>0</v>
      </c>
      <c r="F151" s="303">
        <f>D151*E151</f>
        <v>0</v>
      </c>
      <c r="G151" s="558"/>
      <c r="H151" s="2324"/>
      <c r="I151" s="2700"/>
    </row>
    <row r="152" spans="1:11" ht="21" customHeight="1" thickBot="1" x14ac:dyDescent="0.25">
      <c r="A152" s="2326" t="str">
        <f>OF!A56</f>
        <v>OF11</v>
      </c>
      <c r="B152" s="2326" t="str">
        <f>OF!B56</f>
        <v>Distance to Nearest Maintained Road</v>
      </c>
      <c r="C152" s="103" t="str">
        <f>OF!C56</f>
        <v>From the center of the AA, the distance to the nearest maintained public road (dirt or paved) is:</v>
      </c>
      <c r="D152" s="315"/>
      <c r="E152" s="304"/>
      <c r="F152" s="304"/>
      <c r="G152" s="455">
        <f>MAX(F153:F158)/MAX(E153:E158)</f>
        <v>0</v>
      </c>
      <c r="H152" s="2323" t="s">
        <v>1546</v>
      </c>
      <c r="I152" s="2326" t="s">
        <v>1548</v>
      </c>
    </row>
    <row r="153" spans="1:11" ht="15" customHeight="1" x14ac:dyDescent="0.2">
      <c r="A153" s="2327"/>
      <c r="B153" s="2327"/>
      <c r="C153" s="1242" t="str">
        <f>OF!C57</f>
        <v>&lt;10 m.</v>
      </c>
      <c r="D153" s="567">
        <f>OF!D57</f>
        <v>0</v>
      </c>
      <c r="E153" s="299">
        <v>5</v>
      </c>
      <c r="F153" s="300">
        <f t="shared" ref="F153:F158" si="4">D153*E153</f>
        <v>0</v>
      </c>
      <c r="G153" s="549"/>
      <c r="H153" s="2324"/>
      <c r="I153" s="2327"/>
    </row>
    <row r="154" spans="1:11" ht="15" customHeight="1" x14ac:dyDescent="0.2">
      <c r="A154" s="2327"/>
      <c r="B154" s="2327"/>
      <c r="C154" s="1129" t="str">
        <f>OF!C58</f>
        <v>10 - 25 m.</v>
      </c>
      <c r="D154" s="567">
        <f>OF!D58</f>
        <v>0</v>
      </c>
      <c r="E154" s="299">
        <v>4</v>
      </c>
      <c r="F154" s="300">
        <f t="shared" si="4"/>
        <v>0</v>
      </c>
      <c r="G154" s="549"/>
      <c r="H154" s="2324"/>
      <c r="I154" s="2327"/>
    </row>
    <row r="155" spans="1:11" ht="15" customHeight="1" x14ac:dyDescent="0.2">
      <c r="A155" s="2327"/>
      <c r="B155" s="2327"/>
      <c r="C155" s="1129" t="str">
        <f>OF!C59</f>
        <v>25 - 50 m.</v>
      </c>
      <c r="D155" s="567">
        <f>OF!D59</f>
        <v>0</v>
      </c>
      <c r="E155" s="299">
        <v>3</v>
      </c>
      <c r="F155" s="300">
        <f t="shared" si="4"/>
        <v>0</v>
      </c>
      <c r="G155" s="549"/>
      <c r="H155" s="2324"/>
      <c r="I155" s="2327"/>
    </row>
    <row r="156" spans="1:11" ht="15" customHeight="1" x14ac:dyDescent="0.2">
      <c r="A156" s="2327"/>
      <c r="B156" s="2327"/>
      <c r="C156" s="1129" t="str">
        <f>OF!C60</f>
        <v>50 - 100 m.</v>
      </c>
      <c r="D156" s="567">
        <f>OF!D60</f>
        <v>0</v>
      </c>
      <c r="E156" s="299">
        <v>2</v>
      </c>
      <c r="F156" s="300">
        <f t="shared" si="4"/>
        <v>0</v>
      </c>
      <c r="G156" s="549"/>
      <c r="H156" s="2324"/>
      <c r="I156" s="2327"/>
    </row>
    <row r="157" spans="1:11" ht="15" customHeight="1" x14ac:dyDescent="0.2">
      <c r="A157" s="2327"/>
      <c r="B157" s="2327"/>
      <c r="C157" s="1129" t="str">
        <f>OF!C61</f>
        <v>100 - 500 m.</v>
      </c>
      <c r="D157" s="567">
        <f>OF!D61</f>
        <v>0</v>
      </c>
      <c r="E157" s="303">
        <v>1</v>
      </c>
      <c r="F157" s="303">
        <f t="shared" si="4"/>
        <v>0</v>
      </c>
      <c r="G157" s="549"/>
      <c r="H157" s="2324"/>
      <c r="I157" s="2327"/>
    </row>
    <row r="158" spans="1:11" ht="15" customHeight="1" thickBot="1" x14ac:dyDescent="0.25">
      <c r="A158" s="2328"/>
      <c r="B158" s="2328"/>
      <c r="C158" s="951" t="str">
        <f>OF!C62</f>
        <v>&gt;500 m.</v>
      </c>
      <c r="D158" s="904">
        <f>OF!D62</f>
        <v>1</v>
      </c>
      <c r="E158" s="301">
        <v>0</v>
      </c>
      <c r="F158" s="301">
        <f t="shared" si="4"/>
        <v>0</v>
      </c>
      <c r="G158" s="550"/>
      <c r="H158" s="2325"/>
      <c r="I158" s="2328"/>
    </row>
    <row r="159" spans="1:11" ht="45" customHeight="1" thickBot="1" x14ac:dyDescent="0.25">
      <c r="A159" s="124" t="str">
        <f>OF!A98</f>
        <v>OF19</v>
      </c>
      <c r="B159" s="124" t="str">
        <f>OF!B98</f>
        <v>Water Quality Sensitive Watershed or Area</v>
      </c>
      <c r="C159" s="1997" t="str">
        <f>OF!C98</f>
        <v>In Google Earth, open the KMZ file NB_Watershed Protected Area which accompanies this calculator.  The AA is within such an area. Enter 1= yes, 0= no.</v>
      </c>
      <c r="D159" s="249">
        <f>IF((OF!D98=""),"",OF!D98)</f>
        <v>0</v>
      </c>
      <c r="E159" s="323"/>
      <c r="F159" s="323"/>
      <c r="G159" s="650">
        <f>IF((D159=""),"",D159)</f>
        <v>0</v>
      </c>
      <c r="H159" s="73" t="s">
        <v>589</v>
      </c>
      <c r="I159" s="1442" t="s">
        <v>2217</v>
      </c>
    </row>
    <row r="160" spans="1:11" ht="45" customHeight="1" thickBot="1" x14ac:dyDescent="0.25">
      <c r="A160" s="2327" t="str">
        <f>OF!A99</f>
        <v>OF20</v>
      </c>
      <c r="B160" s="2327" t="str">
        <f>OF!B99</f>
        <v xml:space="preserve">Degraded Water Upstream </v>
      </c>
      <c r="C160" s="1443" t="str">
        <f>OF!C99</f>
        <v xml:space="preserve">Sampling indicates a problem with concentrations of metals, hydrocarbons, nutrients, or other substances (excluding bacteria, acidic water, high temperatures) being present at levels harmful to aquatic life or humans, and:  </v>
      </c>
      <c r="D160" s="318"/>
      <c r="E160" s="299"/>
      <c r="F160" s="299"/>
      <c r="G160" s="650" t="str">
        <f>IF((D164=1),"", IF((D163=1),0, IF((D162=1),0.5, 1)))</f>
        <v/>
      </c>
      <c r="H160" s="2324" t="s">
        <v>1545</v>
      </c>
      <c r="I160" s="2326" t="s">
        <v>1549</v>
      </c>
    </row>
    <row r="161" spans="1:9" ht="15" customHeight="1" x14ac:dyDescent="0.2">
      <c r="A161" s="2327"/>
      <c r="B161" s="2327"/>
      <c r="C161" s="1620" t="str">
        <f>OF!C100</f>
        <v>The condition is present within the AA.</v>
      </c>
      <c r="D161" s="70">
        <f>OF!D100</f>
        <v>0</v>
      </c>
      <c r="E161" s="300"/>
      <c r="F161" s="300"/>
      <c r="G161" s="590"/>
      <c r="H161" s="2324"/>
      <c r="I161" s="2327"/>
    </row>
    <row r="162" spans="1:9" ht="27" customHeight="1" x14ac:dyDescent="0.2">
      <c r="A162" s="2327"/>
      <c r="B162" s="2327"/>
      <c r="C162" s="1620" t="str">
        <f>OF!C101</f>
        <v>The condition is present in waters within 1 km that flow into the AA, but has not been documented in the AA itself.</v>
      </c>
      <c r="D162" s="70">
        <f>OF!D101</f>
        <v>0</v>
      </c>
      <c r="E162" s="300"/>
      <c r="F162" s="300"/>
      <c r="G162" s="590"/>
      <c r="H162" s="2324"/>
      <c r="I162" s="2327"/>
    </row>
    <row r="163" spans="1:9" ht="27" customHeight="1" x14ac:dyDescent="0.2">
      <c r="A163" s="2327"/>
      <c r="B163" s="2327"/>
      <c r="C163" s="1620" t="str">
        <f>OF!C102</f>
        <v>Sampling during both low water periods and times with high runoff (storms, snowmelt) indicates no problems in either the AA or inflowing waters.</v>
      </c>
      <c r="D163" s="70">
        <f>OF!D102</f>
        <v>0</v>
      </c>
      <c r="E163" s="300"/>
      <c r="F163" s="300"/>
      <c r="G163" s="590"/>
      <c r="H163" s="2324"/>
      <c r="I163" s="2327"/>
    </row>
    <row r="164" spans="1:9" ht="27" customHeight="1" thickBot="1" x14ac:dyDescent="0.25">
      <c r="A164" s="2328"/>
      <c r="B164" s="2328"/>
      <c r="C164" s="1893" t="str">
        <f>OF!C103</f>
        <v>Data are insufficient (no or inadequate sampling within 1 km, or condition exists only at &gt;1 km upstream). This is the situation for nearly all wetlands in this region.</v>
      </c>
      <c r="D164" s="152">
        <f>OF!D103</f>
        <v>1</v>
      </c>
      <c r="E164" s="301"/>
      <c r="F164" s="301"/>
      <c r="G164" s="591"/>
      <c r="H164" s="2325"/>
      <c r="I164" s="2328"/>
    </row>
    <row r="165" spans="1:9" ht="20.25" customHeight="1" thickBot="1" x14ac:dyDescent="0.25">
      <c r="A165" s="2326" t="str">
        <f>OF!A104</f>
        <v>OF21</v>
      </c>
      <c r="B165" s="2326" t="str">
        <f>OF!B104</f>
        <v xml:space="preserve">Degraded Water Downstream </v>
      </c>
      <c r="C165" s="371" t="str">
        <f>OF!C104</f>
        <v>The problem described above is downslope from the AA, and:</v>
      </c>
      <c r="D165" s="315"/>
      <c r="E165" s="304"/>
      <c r="F165" s="304"/>
      <c r="G165" s="470" t="str">
        <f>IF((D169=1),"", IF((D107=1),0, IF((D106=1),0.5, 1)))</f>
        <v/>
      </c>
      <c r="H165" s="2323" t="s">
        <v>87</v>
      </c>
      <c r="I165" s="2326" t="s">
        <v>1550</v>
      </c>
    </row>
    <row r="166" spans="1:9" ht="15" customHeight="1" x14ac:dyDescent="0.2">
      <c r="A166" s="2327"/>
      <c r="B166" s="2327"/>
      <c r="C166" s="1620" t="str">
        <f>OF!C105</f>
        <v>The condition is present within 1 km downslope and connected to the AA by a channel.</v>
      </c>
      <c r="D166" s="70">
        <f>OF!D105</f>
        <v>0</v>
      </c>
      <c r="E166" s="300"/>
      <c r="F166" s="300"/>
      <c r="G166" s="590"/>
      <c r="H166" s="2324"/>
      <c r="I166" s="2327"/>
    </row>
    <row r="167" spans="1:9" ht="27" customHeight="1" x14ac:dyDescent="0.2">
      <c r="A167" s="2327"/>
      <c r="B167" s="2327"/>
      <c r="C167" s="1620" t="str">
        <f>OF!C106</f>
        <v>The condition is present within 5 km downslope and connected to the AA by a channel, or within 1 km but not connected to the AA by a channel.</v>
      </c>
      <c r="D167" s="70">
        <f>OF!D106</f>
        <v>0</v>
      </c>
      <c r="E167" s="300"/>
      <c r="F167" s="300"/>
      <c r="G167" s="590"/>
      <c r="H167" s="2324"/>
      <c r="I167" s="2327"/>
    </row>
    <row r="168" spans="1:9" ht="27" customHeight="1" x14ac:dyDescent="0.2">
      <c r="A168" s="2327"/>
      <c r="B168" s="2327"/>
      <c r="C168" s="1620" t="str">
        <f>OF!C107</f>
        <v>Sampling during both low water periods and times with high runoff (storms, snowmelt) indicates no problems in either the AA or inflowing waters.</v>
      </c>
      <c r="D168" s="70">
        <f>OF!D107</f>
        <v>0</v>
      </c>
      <c r="E168" s="300"/>
      <c r="F168" s="300"/>
      <c r="G168" s="590"/>
      <c r="H168" s="2324"/>
      <c r="I168" s="2327"/>
    </row>
    <row r="169" spans="1:9" ht="27" customHeight="1" thickBot="1" x14ac:dyDescent="0.25">
      <c r="A169" s="2328"/>
      <c r="B169" s="2328"/>
      <c r="C169" s="1893" t="str">
        <f>OF!C108</f>
        <v>Data are insufficient (no or inadequate sampling within 1 km, or condition exists only at &gt;1 km upstream). This is the situation for nearly all wetlands in this region.</v>
      </c>
      <c r="D169" s="152">
        <f>OF!D108</f>
        <v>1</v>
      </c>
      <c r="E169" s="301"/>
      <c r="F169" s="301"/>
      <c r="G169" s="591"/>
      <c r="H169" s="2325"/>
      <c r="I169" s="2328"/>
    </row>
    <row r="170" spans="1:9" ht="87" customHeight="1" thickBot="1" x14ac:dyDescent="0.25">
      <c r="A170" s="2369" t="str">
        <f>OF!A109</f>
        <v>OF22</v>
      </c>
      <c r="B170" s="2396" t="str">
        <f>OF!B109</f>
        <v>Wetland as a % of Its Contributing Area (Catchment)</v>
      </c>
      <c r="C170" s="376" t="str">
        <f>OF!C109</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170" s="318"/>
      <c r="E170" s="299"/>
      <c r="F170" s="302"/>
      <c r="G170" s="470">
        <f>MAX(F171:F174)/MAX(E171:E174)</f>
        <v>0</v>
      </c>
      <c r="H170" s="2404" t="s">
        <v>590</v>
      </c>
      <c r="I170" s="2326" t="s">
        <v>406</v>
      </c>
    </row>
    <row r="171" spans="1:9" ht="15" customHeight="1" x14ac:dyDescent="0.2">
      <c r="A171" s="2369"/>
      <c r="B171" s="2396"/>
      <c r="C171" s="373" t="str">
        <f>OF!C110</f>
        <v>&lt;0.01, or catchment size unknown due to stormwater pipes that collect water from an indeterminate area.</v>
      </c>
      <c r="D171" s="566">
        <f>OF!D110</f>
        <v>0</v>
      </c>
      <c r="E171" s="300">
        <v>3</v>
      </c>
      <c r="F171" s="300">
        <f>D171*E171</f>
        <v>0</v>
      </c>
      <c r="G171" s="548"/>
      <c r="H171" s="2404"/>
      <c r="I171" s="2327"/>
    </row>
    <row r="172" spans="1:9" ht="15" customHeight="1" x14ac:dyDescent="0.2">
      <c r="A172" s="2369"/>
      <c r="B172" s="2396"/>
      <c r="C172" s="374" t="str">
        <f>OF!C111</f>
        <v>0.01 to 0.1.</v>
      </c>
      <c r="D172" s="567">
        <f>OF!D111</f>
        <v>0</v>
      </c>
      <c r="E172" s="300">
        <v>2</v>
      </c>
      <c r="F172" s="300">
        <f>D172*E172</f>
        <v>0</v>
      </c>
      <c r="G172" s="549"/>
      <c r="H172" s="2404"/>
      <c r="I172" s="2327"/>
    </row>
    <row r="173" spans="1:9" ht="15" customHeight="1" x14ac:dyDescent="0.2">
      <c r="A173" s="2369"/>
      <c r="B173" s="2396"/>
      <c r="C173" s="374" t="str">
        <f>OF!C112</f>
        <v>0.1 to 1.</v>
      </c>
      <c r="D173" s="567">
        <f>OF!D112</f>
        <v>0</v>
      </c>
      <c r="E173" s="300">
        <v>1</v>
      </c>
      <c r="F173" s="300">
        <f>D173*E173</f>
        <v>0</v>
      </c>
      <c r="G173" s="549"/>
      <c r="H173" s="2404"/>
      <c r="I173" s="2327"/>
    </row>
    <row r="174" spans="1:9" ht="27.6" customHeight="1" thickBot="1" x14ac:dyDescent="0.25">
      <c r="A174" s="2370"/>
      <c r="B174" s="2408"/>
      <c r="C174" s="372" t="str">
        <f>OF!C113</f>
        <v xml:space="preserve">&gt;1 (wetland is larger than its catchment (e.g., wetland with flat surrounding terrain and no inlet, or is entirely isolated by dikes, or is a raised bog). </v>
      </c>
      <c r="D174" s="904">
        <f>OF!D113</f>
        <v>0</v>
      </c>
      <c r="E174" s="301">
        <v>0</v>
      </c>
      <c r="F174" s="301">
        <f>D174*E174</f>
        <v>0</v>
      </c>
      <c r="G174" s="550"/>
      <c r="H174" s="2530"/>
      <c r="I174" s="2328"/>
    </row>
    <row r="175" spans="1:9" ht="45" customHeight="1" thickBot="1" x14ac:dyDescent="0.25">
      <c r="A175" s="2554" t="str">
        <f>OF!A114</f>
        <v>OF23</v>
      </c>
      <c r="B175" s="2396" t="str">
        <f>OF!B114</f>
        <v>Unvegetated Surface in the Contributing Area</v>
      </c>
      <c r="C175" s="376" t="str">
        <f>OF!C114</f>
        <v>The proportion of the AA's contributing area (measured to no more than 1000 m upslope) that is comprised of buildings, roads, parking lots, other pavement, exposed bedrock, landslides, and other mostly-bare surface is about :</v>
      </c>
      <c r="D175" s="299"/>
      <c r="E175" s="299"/>
      <c r="F175" s="302"/>
      <c r="G175" s="470">
        <f>IF((NoCA=1),"", MAX(F176:F178)/MAX(E176:E178))</f>
        <v>0</v>
      </c>
      <c r="H175" s="2404" t="s">
        <v>591</v>
      </c>
      <c r="I175" s="2326" t="s">
        <v>407</v>
      </c>
    </row>
    <row r="176" spans="1:9" ht="15" customHeight="1" x14ac:dyDescent="0.2">
      <c r="A176" s="2554"/>
      <c r="B176" s="2396"/>
      <c r="C176" s="1883" t="str">
        <f>OF!C115</f>
        <v>&lt;10%.</v>
      </c>
      <c r="D176" s="212">
        <f>OF!D115</f>
        <v>1</v>
      </c>
      <c r="E176" s="300">
        <v>0</v>
      </c>
      <c r="F176" s="300">
        <f>D176*E176</f>
        <v>0</v>
      </c>
      <c r="G176" s="548"/>
      <c r="H176" s="2404"/>
      <c r="I176" s="2327"/>
    </row>
    <row r="177" spans="1:32" ht="15" customHeight="1" x14ac:dyDescent="0.2">
      <c r="A177" s="2554"/>
      <c r="B177" s="2396"/>
      <c r="C177" s="1620" t="str">
        <f>OF!C116</f>
        <v>10 to 25%.</v>
      </c>
      <c r="D177" s="70">
        <f>OF!D116</f>
        <v>0</v>
      </c>
      <c r="E177" s="300">
        <v>1</v>
      </c>
      <c r="F177" s="300">
        <f>D177*E177</f>
        <v>0</v>
      </c>
      <c r="G177" s="549"/>
      <c r="H177" s="2404"/>
      <c r="I177" s="2327"/>
    </row>
    <row r="178" spans="1:32" ht="15" customHeight="1" thickBot="1" x14ac:dyDescent="0.25">
      <c r="A178" s="2554"/>
      <c r="B178" s="2396"/>
      <c r="C178" s="1896" t="str">
        <f>OF!C117</f>
        <v>&gt;25%.</v>
      </c>
      <c r="D178" s="340">
        <f>OF!D117</f>
        <v>0</v>
      </c>
      <c r="E178" s="303">
        <v>2</v>
      </c>
      <c r="F178" s="303">
        <f>D178*E178</f>
        <v>0</v>
      </c>
      <c r="G178" s="558"/>
      <c r="H178" s="2404"/>
      <c r="I178" s="2328"/>
    </row>
    <row r="179" spans="1:32" ht="126" customHeight="1" thickBot="1" x14ac:dyDescent="0.25">
      <c r="A179" s="2326" t="str">
        <f>OF!A118</f>
        <v>OF24</v>
      </c>
      <c r="B179" s="2394" t="str">
        <f>OF!B118</f>
        <v>Transport From Upslope</v>
      </c>
      <c r="C179" s="368" t="str">
        <f>OF!C118</f>
        <v>A relatively large proportion of the precipitation that falls farther upslope in the CA reaches this wetland quickly as runoff (surface water), as indicated by the following: 
(a) input channel is present,
(b) input channels have been straightened,
(c) upslope wetlands have been ditched extensively,
(d) land cover is mostly non-forest,
(e) CA slopes are steep, and/or
(f) most CA soils are shallow (bedrock near surface) and/or have high runoff coefficients. 
This statement is:</v>
      </c>
      <c r="D179" s="304"/>
      <c r="E179" s="304"/>
      <c r="F179" s="305"/>
      <c r="G179" s="455">
        <f>IF((NoCA=1),"", MAX(F180:F182)/MAX(E180:E182))</f>
        <v>0</v>
      </c>
      <c r="H179" s="2529" t="s">
        <v>592</v>
      </c>
      <c r="I179" s="2326" t="s">
        <v>408</v>
      </c>
    </row>
    <row r="180" spans="1:32" ht="15" customHeight="1" x14ac:dyDescent="0.2">
      <c r="A180" s="2327"/>
      <c r="B180" s="2396"/>
      <c r="C180" s="1883" t="str">
        <f>OF!C119</f>
        <v>Mostly true.</v>
      </c>
      <c r="D180" s="212">
        <f>OF!D119</f>
        <v>0</v>
      </c>
      <c r="E180" s="300">
        <v>2</v>
      </c>
      <c r="F180" s="300">
        <f>D180*E180</f>
        <v>0</v>
      </c>
      <c r="G180" s="548"/>
      <c r="H180" s="2404"/>
      <c r="I180" s="2327"/>
    </row>
    <row r="181" spans="1:32" ht="15" customHeight="1" x14ac:dyDescent="0.2">
      <c r="A181" s="2327"/>
      <c r="B181" s="2396"/>
      <c r="C181" s="1620" t="str">
        <f>OF!C120</f>
        <v>Somewhat true.</v>
      </c>
      <c r="D181" s="70">
        <f>OF!D120</f>
        <v>0</v>
      </c>
      <c r="E181" s="300">
        <v>1</v>
      </c>
      <c r="F181" s="300">
        <f>D181*E181</f>
        <v>0</v>
      </c>
      <c r="G181" s="549"/>
      <c r="H181" s="2404"/>
      <c r="I181" s="2327"/>
    </row>
    <row r="182" spans="1:32" ht="15" customHeight="1" thickBot="1" x14ac:dyDescent="0.25">
      <c r="A182" s="2328"/>
      <c r="B182" s="2408"/>
      <c r="C182" s="1893" t="str">
        <f>OF!C121</f>
        <v>Mostly untrue.</v>
      </c>
      <c r="D182" s="152">
        <f>OF!D121</f>
        <v>1</v>
      </c>
      <c r="E182" s="301">
        <v>0</v>
      </c>
      <c r="F182" s="301">
        <f>D182*E182</f>
        <v>0</v>
      </c>
      <c r="G182" s="550"/>
      <c r="H182" s="2530"/>
      <c r="I182" s="2328"/>
    </row>
    <row r="183" spans="1:32" ht="30" customHeight="1" thickBot="1" x14ac:dyDescent="0.25">
      <c r="A183" s="2326" t="str">
        <f>F!A51</f>
        <v>F9</v>
      </c>
      <c r="B183" s="2327" t="str">
        <f>F!B51</f>
        <v>N Fixers</v>
      </c>
      <c r="C183" s="376" t="str">
        <f>F!C51</f>
        <v>The percentage of the AA's vegetated cover that contains nitrogen-fixing plants (e.g., alder, sweetgale, clover, lupine, alfalfa, other legumes) is:</v>
      </c>
      <c r="D183" s="304"/>
      <c r="E183" s="299"/>
      <c r="F183" s="299"/>
      <c r="G183" s="470">
        <f>MAX(F184:F188)/MAX(E184:E188)</f>
        <v>0</v>
      </c>
      <c r="H183" s="2324" t="s">
        <v>1551</v>
      </c>
      <c r="I183" s="2326" t="s">
        <v>390</v>
      </c>
    </row>
    <row r="184" spans="1:32" ht="15" customHeight="1" x14ac:dyDescent="0.2">
      <c r="A184" s="2327"/>
      <c r="B184" s="2327"/>
      <c r="C184" s="369" t="str">
        <f>F!C52</f>
        <v>&lt;1% or none.</v>
      </c>
      <c r="D184" s="212">
        <f>F!D52</f>
        <v>1</v>
      </c>
      <c r="E184" s="299">
        <v>0</v>
      </c>
      <c r="F184" s="303">
        <f>D184*E184</f>
        <v>0</v>
      </c>
      <c r="G184" s="549"/>
      <c r="H184" s="2324"/>
      <c r="I184" s="2327"/>
    </row>
    <row r="185" spans="1:32" ht="15" customHeight="1" x14ac:dyDescent="0.2">
      <c r="A185" s="2327"/>
      <c r="B185" s="2327"/>
      <c r="C185" s="339" t="str">
        <f>F!C53</f>
        <v>1-25% of the vegetated cover, in the AA or along its water edge (whichever has more).</v>
      </c>
      <c r="D185" s="70">
        <f>F!D53</f>
        <v>0</v>
      </c>
      <c r="E185" s="299">
        <v>1</v>
      </c>
      <c r="F185" s="303">
        <f>D185*E185</f>
        <v>0</v>
      </c>
      <c r="G185" s="549"/>
      <c r="H185" s="2324"/>
      <c r="I185" s="2327"/>
    </row>
    <row r="186" spans="1:32" ht="15" customHeight="1" x14ac:dyDescent="0.2">
      <c r="A186" s="2327"/>
      <c r="B186" s="2327"/>
      <c r="C186" s="339" t="str">
        <f>F!C54</f>
        <v>25-50% of the vegetated cover, in the AA or along its water edge (whichever has more).</v>
      </c>
      <c r="D186" s="70">
        <f>F!D54</f>
        <v>0</v>
      </c>
      <c r="E186" s="299">
        <v>2</v>
      </c>
      <c r="F186" s="303">
        <f>D186*E186</f>
        <v>0</v>
      </c>
      <c r="G186" s="549"/>
      <c r="H186" s="2324"/>
      <c r="I186" s="2327"/>
    </row>
    <row r="187" spans="1:32" ht="15" customHeight="1" x14ac:dyDescent="0.2">
      <c r="A187" s="2327"/>
      <c r="B187" s="2327"/>
      <c r="C187" s="339" t="str">
        <f>F!C55</f>
        <v>50-75% of the vegetated cover, in the AA or along its water edge (whichever has more).</v>
      </c>
      <c r="D187" s="70">
        <f>F!D55</f>
        <v>0</v>
      </c>
      <c r="E187" s="299">
        <v>3</v>
      </c>
      <c r="F187" s="303">
        <f>D187*E187</f>
        <v>0</v>
      </c>
      <c r="G187" s="549"/>
      <c r="H187" s="2324"/>
      <c r="I187" s="2327"/>
    </row>
    <row r="188" spans="1:32" ht="15" customHeight="1" thickBot="1" x14ac:dyDescent="0.25">
      <c r="A188" s="2328"/>
      <c r="B188" s="2327"/>
      <c r="C188" s="375" t="str">
        <f>F!C56</f>
        <v>&gt;75% of the vegetated cover, in the AA or along its water edge (whichever has more).</v>
      </c>
      <c r="D188" s="340">
        <f>F!D56</f>
        <v>0</v>
      </c>
      <c r="E188" s="319">
        <v>4</v>
      </c>
      <c r="F188" s="303">
        <f>D188*E188</f>
        <v>0</v>
      </c>
      <c r="G188" s="558"/>
      <c r="H188" s="2324"/>
      <c r="I188" s="2328"/>
    </row>
    <row r="189" spans="1:32" ht="60" customHeight="1" thickBot="1" x14ac:dyDescent="0.25">
      <c r="A189" s="992" t="str">
        <f>F!A216</f>
        <v>F44</v>
      </c>
      <c r="B189" s="1048" t="str">
        <f>F!B216</f>
        <v>Tributary Channel</v>
      </c>
      <c r="C189" s="1051" t="str">
        <f>F!C216</f>
        <v>At least once annually, surface water from a tributary channel that is &gt;100 m long moves into the AA.  Or, surface water from a larger permanent water body adjacent to the AA spills into the AA.  If it enters only via a pipe, that pipe must be fed by a mapped stream or lake further upslope. If no, SKIP to F47 (pH Measurement).</v>
      </c>
      <c r="D189" s="1049">
        <f>F!D216</f>
        <v>1</v>
      </c>
      <c r="E189" s="1050"/>
      <c r="F189" s="555"/>
      <c r="G189" s="1244">
        <f>D189</f>
        <v>1</v>
      </c>
      <c r="H189" s="989" t="s">
        <v>581</v>
      </c>
      <c r="I189" s="1166" t="s">
        <v>1664</v>
      </c>
    </row>
    <row r="190" spans="1:32" s="975" customFormat="1" ht="27.75" customHeight="1" thickBot="1" x14ac:dyDescent="0.25">
      <c r="A190" s="2587" t="str">
        <f>F!A228</f>
        <v>F48</v>
      </c>
      <c r="B190" s="2671" t="str">
        <f>F!B228</f>
        <v>TDS and/or Conductivity</v>
      </c>
      <c r="C190" s="199" t="str">
        <f>F!C228</f>
        <v>The TDS (total dissolved solids) or conductivity off the AA's surface water is: (select the first true row with information):</v>
      </c>
      <c r="D190" s="1050"/>
      <c r="E190" s="1050"/>
      <c r="F190" s="562"/>
      <c r="G190" s="455" t="str">
        <f>IF((D194=1),"",IF((D194&gt;300),1, IF((D193&gt;200),1, IF((D193=1),1, ""))))</f>
        <v/>
      </c>
      <c r="H190" s="2323" t="s">
        <v>1585</v>
      </c>
      <c r="I190" s="2326" t="s">
        <v>1584</v>
      </c>
      <c r="J190" s="3"/>
      <c r="K190" s="3"/>
      <c r="L190" s="3"/>
      <c r="M190" s="3"/>
      <c r="N190" s="3"/>
      <c r="O190" s="3"/>
      <c r="P190" s="3"/>
      <c r="Q190" s="3"/>
      <c r="R190" s="3"/>
      <c r="S190" s="3"/>
      <c r="T190" s="3"/>
      <c r="U190" s="3"/>
      <c r="V190" s="3"/>
      <c r="W190" s="3"/>
      <c r="X190" s="3"/>
      <c r="Y190" s="3"/>
      <c r="Z190" s="3"/>
      <c r="AA190" s="3"/>
      <c r="AB190" s="3"/>
      <c r="AC190" s="3"/>
      <c r="AD190" s="3"/>
      <c r="AE190" s="3"/>
      <c r="AF190" s="3"/>
    </row>
    <row r="191" spans="1:32" s="3" customFormat="1" ht="15" customHeight="1" thickBot="1" x14ac:dyDescent="0.25">
      <c r="A191" s="2588"/>
      <c r="B191" s="2672"/>
      <c r="C191" s="2084" t="str">
        <f>F!C229</f>
        <v>TDS is: [Enter the reading in ppm or mg/L in the column to the right, if measured, or answer next row.]</v>
      </c>
      <c r="D191" s="2082" t="str">
        <f>IF((F!D229=""),"",F!D229)</f>
        <v/>
      </c>
      <c r="E191" s="316"/>
      <c r="F191" s="300"/>
      <c r="G191" s="302"/>
      <c r="H191" s="2324"/>
      <c r="I191" s="2327"/>
    </row>
    <row r="192" spans="1:32" s="3" customFormat="1" ht="15" customHeight="1" thickBot="1" x14ac:dyDescent="0.25">
      <c r="A192" s="2588"/>
      <c r="B192" s="2672"/>
      <c r="C192" s="2085" t="str">
        <f>F!C230</f>
        <v>Conductivity is  [Enter the reading in µS/cm in the column to the right.]</v>
      </c>
      <c r="D192" s="2082" t="str">
        <f>IF((F!D230=""),"",F!D230)</f>
        <v/>
      </c>
      <c r="E192" s="316"/>
      <c r="F192" s="300"/>
      <c r="G192" s="325"/>
      <c r="H192" s="2324"/>
      <c r="I192" s="2327"/>
    </row>
    <row r="193" spans="1:32" s="3" customFormat="1" ht="15" customHeight="1" x14ac:dyDescent="0.2">
      <c r="A193" s="2588"/>
      <c r="B193" s="2672"/>
      <c r="C193" s="1239" t="str">
        <f>F!C231</f>
        <v>Was not measured, but plants that indicate saline conditions cover much of the vegetated AA. Enter "1".</v>
      </c>
      <c r="D193" s="1942">
        <f>F!D231</f>
        <v>0</v>
      </c>
      <c r="E193" s="300"/>
      <c r="F193" s="300"/>
      <c r="G193" s="325"/>
      <c r="H193" s="2324"/>
      <c r="I193" s="2327"/>
    </row>
    <row r="194" spans="1:32" s="978" customFormat="1" ht="15" customHeight="1" thickBot="1" x14ac:dyDescent="0.25">
      <c r="A194" s="2589"/>
      <c r="B194" s="2672"/>
      <c r="C194" s="2072" t="str">
        <f>F!C232</f>
        <v>Neither of above</v>
      </c>
      <c r="D194" s="2073">
        <f>F!D232</f>
        <v>1</v>
      </c>
      <c r="E194" s="1582"/>
      <c r="F194" s="313"/>
      <c r="G194" s="313"/>
      <c r="H194" s="2325"/>
      <c r="I194" s="2328"/>
      <c r="J194" s="3"/>
      <c r="K194" s="3"/>
      <c r="L194" s="3"/>
      <c r="M194" s="3"/>
      <c r="N194" s="3"/>
      <c r="O194" s="3"/>
      <c r="P194" s="3"/>
      <c r="Q194" s="3"/>
      <c r="R194" s="3"/>
      <c r="S194" s="3"/>
      <c r="T194" s="3"/>
      <c r="U194" s="3"/>
      <c r="V194" s="3"/>
      <c r="W194" s="3"/>
      <c r="X194" s="3"/>
      <c r="Y194" s="3"/>
      <c r="Z194" s="3"/>
      <c r="AA194" s="3"/>
      <c r="AB194" s="3"/>
      <c r="AC194" s="3"/>
      <c r="AD194" s="3"/>
      <c r="AE194" s="3"/>
      <c r="AF194" s="3"/>
    </row>
    <row r="195" spans="1:32" ht="45" customHeight="1" thickBot="1" x14ac:dyDescent="0.25">
      <c r="A195" s="2404" t="str">
        <f>F!A247</f>
        <v>F52</v>
      </c>
      <c r="B195" s="2529" t="str">
        <f>F!B247</f>
        <v>Vegetated Buffer as % of Perimeter</v>
      </c>
      <c r="C195" s="103" t="str">
        <f>F!C247</f>
        <v>Within a zone extending 30 m laterally from the AA's edge with upland and/or other wetlands, the percentage that contains perennial vegetation cover (except lawns, row crops, heavily grazed land, conifer plantations) is:</v>
      </c>
      <c r="D195" s="555"/>
      <c r="E195" s="304"/>
      <c r="F195" s="563"/>
      <c r="G195" s="651">
        <f>MAX(F196:F200)/MAX(E196:E200)</f>
        <v>1</v>
      </c>
      <c r="H195" s="2324" t="s">
        <v>1302</v>
      </c>
      <c r="I195" s="2327" t="s">
        <v>402</v>
      </c>
    </row>
    <row r="196" spans="1:32" ht="15" customHeight="1" x14ac:dyDescent="0.2">
      <c r="A196" s="2396"/>
      <c r="B196" s="2396"/>
      <c r="C196" s="1964" t="str">
        <f>F!C248</f>
        <v>&lt;5%.</v>
      </c>
      <c r="D196" s="70">
        <f>F!D248</f>
        <v>1</v>
      </c>
      <c r="E196" s="316">
        <v>4</v>
      </c>
      <c r="F196" s="300">
        <f>D196*E196</f>
        <v>4</v>
      </c>
      <c r="G196" s="665"/>
      <c r="H196" s="2324"/>
      <c r="I196" s="2327"/>
    </row>
    <row r="197" spans="1:32" ht="15" customHeight="1" x14ac:dyDescent="0.2">
      <c r="A197" s="2396"/>
      <c r="B197" s="2396"/>
      <c r="C197" s="872" t="str">
        <f>F!C249</f>
        <v>5 to 30%.</v>
      </c>
      <c r="D197" s="1240">
        <f>F!D249</f>
        <v>0</v>
      </c>
      <c r="E197" s="316">
        <v>3</v>
      </c>
      <c r="F197" s="300">
        <f>D197*E197</f>
        <v>0</v>
      </c>
      <c r="G197" s="666"/>
      <c r="H197" s="2324"/>
      <c r="I197" s="2327"/>
    </row>
    <row r="198" spans="1:32" ht="15" customHeight="1" x14ac:dyDescent="0.2">
      <c r="A198" s="2396"/>
      <c r="B198" s="2396"/>
      <c r="C198" s="872" t="str">
        <f>F!C250</f>
        <v>30 to 60%.</v>
      </c>
      <c r="D198" s="70">
        <f>F!D250</f>
        <v>0</v>
      </c>
      <c r="E198" s="316">
        <v>2</v>
      </c>
      <c r="F198" s="300">
        <f>D198*E198</f>
        <v>0</v>
      </c>
      <c r="G198" s="666"/>
      <c r="H198" s="2324"/>
      <c r="I198" s="2327"/>
    </row>
    <row r="199" spans="1:32" ht="15" customHeight="1" x14ac:dyDescent="0.2">
      <c r="A199" s="2396"/>
      <c r="B199" s="2396"/>
      <c r="C199" s="872" t="str">
        <f>F!C251</f>
        <v>60 to 90%.</v>
      </c>
      <c r="D199" s="212">
        <f>F!D251</f>
        <v>0</v>
      </c>
      <c r="E199" s="316">
        <v>1</v>
      </c>
      <c r="F199" s="300">
        <f>D199*E199</f>
        <v>0</v>
      </c>
      <c r="G199" s="666"/>
      <c r="H199" s="2324"/>
      <c r="I199" s="2327"/>
    </row>
    <row r="200" spans="1:32" ht="15" customHeight="1" thickBot="1" x14ac:dyDescent="0.25">
      <c r="A200" s="2408"/>
      <c r="B200" s="2408"/>
      <c r="C200" s="1969" t="str">
        <f>F!C252</f>
        <v>&gt;90%, or all the area within 30 m of the AA edge is other wetlands. SKIP to F55.</v>
      </c>
      <c r="D200" s="572">
        <f>F!D252</f>
        <v>0</v>
      </c>
      <c r="E200" s="317">
        <v>0</v>
      </c>
      <c r="F200" s="301">
        <f>D200*E200</f>
        <v>0</v>
      </c>
      <c r="G200" s="667"/>
      <c r="H200" s="2325"/>
      <c r="I200" s="2328"/>
    </row>
    <row r="201" spans="1:32" ht="30" customHeight="1" thickBot="1" x14ac:dyDescent="0.25">
      <c r="A201" s="2327" t="str">
        <f>F!A253</f>
        <v>F53</v>
      </c>
      <c r="B201" s="2327" t="str">
        <f>F!B253</f>
        <v>Type of Cover in Buffer</v>
      </c>
      <c r="C201" s="368" t="str">
        <f>F!C253</f>
        <v>Within 30 m upslope of where the wetland transitions to upland, the upland land cover that is NOT perennial vegetation is mostly (mark ONE):</v>
      </c>
      <c r="D201" s="555"/>
      <c r="E201" s="299"/>
      <c r="F201" s="299"/>
      <c r="G201" s="470">
        <f>IF((BuffAllNat=1),"",MAX(F202:F203)/MAX(E202:E203))</f>
        <v>0</v>
      </c>
      <c r="H201" s="2324" t="s">
        <v>1556</v>
      </c>
      <c r="I201" s="2326" t="s">
        <v>1054</v>
      </c>
    </row>
    <row r="202" spans="1:32" ht="15" customHeight="1" x14ac:dyDescent="0.2">
      <c r="A202" s="2327"/>
      <c r="B202" s="2327"/>
      <c r="C202" s="975" t="str">
        <f>F!C254</f>
        <v>Impervious surface, e.g., paved road, parking lot, building, exposed rock.</v>
      </c>
      <c r="D202" s="474">
        <f>F!D254</f>
        <v>0</v>
      </c>
      <c r="E202" s="316">
        <v>2</v>
      </c>
      <c r="F202" s="303">
        <f>D202*E202</f>
        <v>0</v>
      </c>
      <c r="G202" s="549"/>
      <c r="H202" s="2324"/>
      <c r="I202" s="2327"/>
    </row>
    <row r="203" spans="1:32" ht="27" customHeight="1" thickBot="1" x14ac:dyDescent="0.25">
      <c r="A203" s="2327"/>
      <c r="B203" s="2327"/>
      <c r="C203" s="1243" t="str">
        <f>F!C255</f>
        <v>Bare or nearly bare pervious surface or managed vegetation, e.g., lawn, row crops, unpaved road, dike, landslide.</v>
      </c>
      <c r="D203" s="152">
        <f>F!D255</f>
        <v>0</v>
      </c>
      <c r="E203" s="458">
        <v>1</v>
      </c>
      <c r="F203" s="303">
        <f>D203*E203</f>
        <v>0</v>
      </c>
      <c r="G203" s="558"/>
      <c r="H203" s="2324"/>
      <c r="I203" s="2328"/>
    </row>
    <row r="204" spans="1:32" ht="30" customHeight="1" thickBot="1" x14ac:dyDescent="0.25">
      <c r="A204" s="2326" t="str">
        <f>F!A256</f>
        <v>F54</v>
      </c>
      <c r="B204" s="2326" t="str">
        <f>F!B256</f>
        <v xml:space="preserve">Buffer Slope </v>
      </c>
      <c r="C204" s="368" t="str">
        <f>F!C256</f>
        <v>The steepest and/or most disturbed part of the upland area that is within 30 m of the wetland and occupies &gt;10% of that upland area has a percent slope of:</v>
      </c>
      <c r="D204" s="1058"/>
      <c r="E204" s="304"/>
      <c r="F204" s="305"/>
      <c r="G204" s="455">
        <f>IF((NoCA=1),"",IF((BuffAllNat=1),"",MAX(F205:F208)/MAX(E205:E208)))</f>
        <v>0</v>
      </c>
      <c r="H204" s="2323" t="s">
        <v>588</v>
      </c>
      <c r="I204" s="2326" t="s">
        <v>403</v>
      </c>
    </row>
    <row r="205" spans="1:32" ht="18" customHeight="1" x14ac:dyDescent="0.2">
      <c r="A205" s="2327"/>
      <c r="B205" s="2327"/>
      <c r="C205" s="975" t="str">
        <f>F!C257</f>
        <v>&lt;1% (flat -- almost no noticeable slope) or all the area within 30 m of the AA edge is other wetlands.</v>
      </c>
      <c r="D205" s="70">
        <f>F!D257</f>
        <v>1</v>
      </c>
      <c r="E205" s="316">
        <v>0</v>
      </c>
      <c r="F205" s="300">
        <f>D205*E205</f>
        <v>0</v>
      </c>
      <c r="G205" s="548"/>
      <c r="H205" s="2324"/>
      <c r="I205" s="2327"/>
    </row>
    <row r="206" spans="1:32" ht="18" customHeight="1" x14ac:dyDescent="0.2">
      <c r="A206" s="2327"/>
      <c r="B206" s="2327"/>
      <c r="C206" s="872" t="str">
        <f>F!C258</f>
        <v>2-5%.</v>
      </c>
      <c r="D206" s="70">
        <f>F!D258</f>
        <v>0</v>
      </c>
      <c r="E206" s="316">
        <v>1</v>
      </c>
      <c r="F206" s="300">
        <f>D206*E206</f>
        <v>0</v>
      </c>
      <c r="G206" s="549"/>
      <c r="H206" s="2324"/>
      <c r="I206" s="2327"/>
    </row>
    <row r="207" spans="1:32" ht="18" customHeight="1" x14ac:dyDescent="0.2">
      <c r="A207" s="2327"/>
      <c r="B207" s="2327"/>
      <c r="C207" s="872" t="str">
        <f>F!C259</f>
        <v>5-30%.</v>
      </c>
      <c r="D207" s="212">
        <f>F!D259</f>
        <v>0</v>
      </c>
      <c r="E207" s="316">
        <v>2</v>
      </c>
      <c r="F207" s="300">
        <f>D207*E207</f>
        <v>0</v>
      </c>
      <c r="G207" s="549"/>
      <c r="H207" s="2324"/>
      <c r="I207" s="2327"/>
    </row>
    <row r="208" spans="1:32" ht="18" customHeight="1" thickBot="1" x14ac:dyDescent="0.25">
      <c r="A208" s="2328"/>
      <c r="B208" s="2328"/>
      <c r="C208" s="546" t="str">
        <f>F!C260</f>
        <v>&gt;30%.</v>
      </c>
      <c r="D208" s="1175">
        <f>F!D260</f>
        <v>0</v>
      </c>
      <c r="E208" s="317">
        <v>3</v>
      </c>
      <c r="F208" s="301">
        <f>D208*E208</f>
        <v>0</v>
      </c>
      <c r="G208" s="550"/>
      <c r="H208" s="2325"/>
      <c r="I208" s="2328"/>
    </row>
    <row r="209" spans="1:9" ht="21" customHeight="1" thickBot="1" x14ac:dyDescent="0.25">
      <c r="A209" s="2396" t="str">
        <f>F!A303</f>
        <v>F65</v>
      </c>
      <c r="B209" s="2394" t="str">
        <f>F!B303</f>
        <v>Domestic Wells</v>
      </c>
      <c r="C209" s="376" t="str">
        <f>F!C303</f>
        <v>The closest wells or water bodies that currently provide drinking water are:</v>
      </c>
      <c r="D209" s="304"/>
      <c r="E209" s="299"/>
      <c r="F209" s="302"/>
      <c r="G209" s="470">
        <f>MAX(F210:F212)/MAX(E210:E212)</f>
        <v>0</v>
      </c>
      <c r="H209" s="2323" t="s">
        <v>589</v>
      </c>
      <c r="I209" s="2326" t="s">
        <v>404</v>
      </c>
    </row>
    <row r="210" spans="1:9" ht="15" customHeight="1" x14ac:dyDescent="0.2">
      <c r="A210" s="2396"/>
      <c r="B210" s="2396"/>
      <c r="C210" s="832" t="str">
        <f>F!C304</f>
        <v>Within 0-100 m. of the AA.</v>
      </c>
      <c r="D210" s="474">
        <f>F!D304</f>
        <v>0</v>
      </c>
      <c r="E210" s="316">
        <v>2</v>
      </c>
      <c r="F210" s="300">
        <f>D210*E210</f>
        <v>0</v>
      </c>
      <c r="G210" s="548"/>
      <c r="H210" s="2324"/>
      <c r="I210" s="2327"/>
    </row>
    <row r="211" spans="1:9" ht="15" customHeight="1" x14ac:dyDescent="0.2">
      <c r="A211" s="2396"/>
      <c r="B211" s="2396"/>
      <c r="C211" s="872" t="str">
        <f>F!C305</f>
        <v>100-500 m. away.</v>
      </c>
      <c r="D211" s="70">
        <f>F!D305</f>
        <v>0</v>
      </c>
      <c r="E211" s="316">
        <v>1</v>
      </c>
      <c r="F211" s="300">
        <f>D211*E211</f>
        <v>0</v>
      </c>
      <c r="G211" s="549"/>
      <c r="H211" s="2324"/>
      <c r="I211" s="2327"/>
    </row>
    <row r="212" spans="1:9" ht="15" customHeight="1" thickBot="1" x14ac:dyDescent="0.25">
      <c r="A212" s="2396"/>
      <c r="B212" s="2408"/>
      <c r="C212" s="546" t="str">
        <f>F!C306</f>
        <v>&gt;500 m. away, or no information.</v>
      </c>
      <c r="D212" s="572">
        <f>F!D306</f>
        <v>1</v>
      </c>
      <c r="E212" s="458">
        <v>0</v>
      </c>
      <c r="F212" s="303">
        <f>D212*E212</f>
        <v>0</v>
      </c>
      <c r="G212" s="558"/>
      <c r="H212" s="2325"/>
      <c r="I212" s="2328"/>
    </row>
    <row r="213" spans="1:9" s="59" customFormat="1" ht="30" customHeight="1" thickBot="1" x14ac:dyDescent="0.25">
      <c r="A213" s="535" t="str">
        <f>S!A25</f>
        <v>S2</v>
      </c>
      <c r="B213" s="113" t="str">
        <f>S!B38</f>
        <v>Accelerated Inputs of Nutrients</v>
      </c>
      <c r="C213" s="1944" t="s">
        <v>978</v>
      </c>
      <c r="D213" s="1945">
        <f>S!F50</f>
        <v>0.33333333333333331</v>
      </c>
      <c r="E213" s="514"/>
      <c r="F213" s="521"/>
      <c r="G213" s="500">
        <f>D213</f>
        <v>0.33333333333333331</v>
      </c>
      <c r="H213" s="73" t="s">
        <v>963</v>
      </c>
      <c r="I213" s="103" t="s">
        <v>1011</v>
      </c>
    </row>
    <row r="214" spans="1:9" ht="21" customHeight="1" thickBot="1" x14ac:dyDescent="0.25">
      <c r="A214" s="2545"/>
      <c r="B214" s="2545"/>
      <c r="C214" s="2545"/>
      <c r="D214" s="2545"/>
      <c r="E214" s="2545"/>
      <c r="F214" s="2545"/>
      <c r="G214" s="2545"/>
      <c r="H214" s="2545"/>
      <c r="I214" s="2545"/>
    </row>
    <row r="215" spans="1:9" ht="30" customHeight="1" x14ac:dyDescent="0.2">
      <c r="A215" s="2560" t="s">
        <v>912</v>
      </c>
      <c r="B215" s="2560"/>
      <c r="C215" s="2560"/>
      <c r="D215" s="2677" t="s">
        <v>1012</v>
      </c>
      <c r="E215" s="2678"/>
      <c r="F215" s="2678"/>
      <c r="G215" s="1269">
        <f xml:space="preserve"> AVERAGE(AVERAGE(WoodyTyp4,Groundw4,TreeCanop4),AVERAGE(Elev4,Warmth4,Aspect4))</f>
        <v>0.23083333333333333</v>
      </c>
      <c r="H215" s="1422" t="s">
        <v>2074</v>
      </c>
      <c r="I215" s="1423" t="s">
        <v>2108</v>
      </c>
    </row>
    <row r="216" spans="1:9" ht="30" customHeight="1" x14ac:dyDescent="0.2">
      <c r="A216" s="2560"/>
      <c r="B216" s="2560"/>
      <c r="C216" s="2560"/>
      <c r="D216" s="2679" t="s">
        <v>1013</v>
      </c>
      <c r="E216" s="2680"/>
      <c r="F216" s="2680"/>
      <c r="G216" s="1270">
        <f xml:space="preserve"> AVERAGE(PondPct4,VwidthAbs4, FloDist4,Gcover4,ThruFlo4,Interspers4, Elev4,WetPctCA4)</f>
        <v>0.43874999999999997</v>
      </c>
      <c r="H216" s="1407" t="s">
        <v>2075</v>
      </c>
      <c r="I216" s="1424" t="s">
        <v>2109</v>
      </c>
    </row>
    <row r="217" spans="1:9" ht="21" customHeight="1" x14ac:dyDescent="0.2">
      <c r="A217" s="2560"/>
      <c r="B217" s="2560"/>
      <c r="C217" s="2560"/>
      <c r="D217" s="2679" t="s">
        <v>120</v>
      </c>
      <c r="E217" s="2680"/>
      <c r="F217" s="2680"/>
      <c r="G217" s="1270">
        <f>AVERAGE(OutDura4,Gradient4,Constric4)</f>
        <v>0.61111111111111105</v>
      </c>
      <c r="H217" s="1407" t="s">
        <v>2076</v>
      </c>
      <c r="I217" s="1424" t="s">
        <v>2110</v>
      </c>
    </row>
    <row r="218" spans="1:9" ht="21" customHeight="1" x14ac:dyDescent="0.2">
      <c r="A218" s="2560"/>
      <c r="B218" s="2560"/>
      <c r="C218" s="2560"/>
      <c r="D218" s="2679" t="s">
        <v>1138</v>
      </c>
      <c r="E218" s="2680"/>
      <c r="F218" s="2680"/>
      <c r="G218" s="1270">
        <f>AVERAGE(Acid4,SoilTex4,Wettype4,NewWet,AqPlantCov4, SoilDisturb4)</f>
        <v>0.72916666666666663</v>
      </c>
      <c r="H218" s="1407" t="s">
        <v>2077</v>
      </c>
      <c r="I218" s="1424" t="s">
        <v>2111</v>
      </c>
    </row>
    <row r="219" spans="1:9" ht="30" customHeight="1" thickBot="1" x14ac:dyDescent="0.25">
      <c r="A219" s="2560"/>
      <c r="B219" s="2560"/>
      <c r="C219" s="2560"/>
      <c r="D219" s="2681" t="s">
        <v>1014</v>
      </c>
      <c r="E219" s="2682"/>
      <c r="F219" s="2682"/>
      <c r="G219" s="1271">
        <f>(AVERAGE(SatPct4,PermWpct4, SeasWpct4) + AVERAGE(Fluctu4, UpEdgeShape4, Inclus4, Girreg4))/2</f>
        <v>0.70833333333333326</v>
      </c>
      <c r="H219" s="1425" t="s">
        <v>2078</v>
      </c>
      <c r="I219" s="1426" t="s">
        <v>2112</v>
      </c>
    </row>
    <row r="220" spans="1:9" ht="20.25" customHeight="1" thickBot="1" x14ac:dyDescent="0.25">
      <c r="A220" s="2685"/>
      <c r="B220" s="2685"/>
      <c r="C220" s="2685"/>
      <c r="D220" s="2685"/>
      <c r="E220" s="2685"/>
      <c r="F220" s="2685"/>
      <c r="G220" s="2685"/>
      <c r="H220" s="2560"/>
      <c r="I220" s="3"/>
    </row>
    <row r="221" spans="1:9" ht="30" customHeight="1" thickBot="1" x14ac:dyDescent="0.25">
      <c r="A221" s="2560"/>
      <c r="B221" s="2582"/>
      <c r="C221" s="2674" t="s">
        <v>63</v>
      </c>
      <c r="D221" s="2675"/>
      <c r="E221" s="2676"/>
      <c r="F221" s="1193" t="s">
        <v>52</v>
      </c>
      <c r="G221" s="1267">
        <f>10*(IF((OutDura4=1),1,IF((AllSat1=1),((2*Connec4 + Intercep4 + FrozDur4 + Organic4 + Redox4)/6), (3*Redox4 + 2*Connec4 + FrozDur4 + Organic4 + Intercep4)/ 8)))</f>
        <v>5.9324652777777773</v>
      </c>
      <c r="H221" s="2525" t="s">
        <v>2079</v>
      </c>
      <c r="I221" s="2526"/>
    </row>
    <row r="222" spans="1:9" ht="43.5" customHeight="1" thickBot="1" x14ac:dyDescent="0.25">
      <c r="A222" s="2560"/>
      <c r="B222" s="2582"/>
      <c r="C222" s="2674" t="s">
        <v>1906</v>
      </c>
      <c r="D222" s="2675"/>
      <c r="E222" s="2676"/>
      <c r="F222" s="1453" t="s">
        <v>2219</v>
      </c>
      <c r="G222" s="1274">
        <f>10*MAX(Aquifer4,GWsens, Inflow4a,MAX(Nsource4,NsampUp, NsampDown,Nfix4), AVERAGE(Imperv4,PopDist4, RdDist4), AVERAGE(CAnatPct4,BuffSlope4,BuffCovTyp4,CApct4,Transport4, Conduc4))</f>
        <v>10</v>
      </c>
      <c r="H222" s="2695" t="s">
        <v>2220</v>
      </c>
      <c r="I222" s="2696"/>
    </row>
    <row r="223" spans="1:9" ht="21" customHeight="1" thickBot="1" x14ac:dyDescent="0.25">
      <c r="A223" s="2685"/>
      <c r="B223" s="2685"/>
      <c r="C223" s="2685"/>
      <c r="D223" s="2685"/>
      <c r="E223" s="2685"/>
      <c r="F223" s="2685"/>
      <c r="G223" s="2685"/>
      <c r="H223" s="2685"/>
      <c r="I223" s="2685"/>
    </row>
    <row r="224" spans="1:9" ht="21" customHeight="1" thickBot="1" x14ac:dyDescent="0.25">
      <c r="H224" s="2550" t="s">
        <v>669</v>
      </c>
      <c r="I224" s="2551"/>
    </row>
    <row r="225" spans="8:9" ht="27" customHeight="1" x14ac:dyDescent="0.2">
      <c r="H225" s="2586" t="s">
        <v>719</v>
      </c>
      <c r="I225" s="2697"/>
    </row>
    <row r="226" spans="8:9" ht="57" customHeight="1" x14ac:dyDescent="0.2">
      <c r="H226" s="2537" t="s">
        <v>720</v>
      </c>
      <c r="I226" s="2538"/>
    </row>
    <row r="227" spans="8:9" ht="54.75" customHeight="1" x14ac:dyDescent="0.2">
      <c r="H227" s="2531" t="s">
        <v>721</v>
      </c>
      <c r="I227" s="2532"/>
    </row>
    <row r="228" spans="8:9" ht="27" customHeight="1" x14ac:dyDescent="0.2">
      <c r="H228" s="2531" t="s">
        <v>1707</v>
      </c>
      <c r="I228" s="2532"/>
    </row>
    <row r="229" spans="8:9" ht="27" customHeight="1" x14ac:dyDescent="0.2">
      <c r="H229" s="2531" t="s">
        <v>1708</v>
      </c>
      <c r="I229" s="2532"/>
    </row>
    <row r="230" spans="8:9" ht="42" customHeight="1" x14ac:dyDescent="0.2">
      <c r="H230" s="2701" t="s">
        <v>1366</v>
      </c>
      <c r="I230" s="2702"/>
    </row>
    <row r="231" spans="8:9" ht="37.5" customHeight="1" x14ac:dyDescent="0.2">
      <c r="H231" s="2701" t="s">
        <v>1709</v>
      </c>
      <c r="I231" s="2702"/>
    </row>
    <row r="232" spans="8:9" ht="41.25" customHeight="1" x14ac:dyDescent="0.2">
      <c r="H232" s="2531" t="s">
        <v>722</v>
      </c>
      <c r="I232" s="2532"/>
    </row>
    <row r="233" spans="8:9" ht="27" customHeight="1" x14ac:dyDescent="0.2">
      <c r="H233" s="2535" t="s">
        <v>1505</v>
      </c>
      <c r="I233" s="2536"/>
    </row>
    <row r="234" spans="8:9" ht="27" customHeight="1" x14ac:dyDescent="0.2">
      <c r="H234" s="2531" t="s">
        <v>1367</v>
      </c>
      <c r="I234" s="2532"/>
    </row>
    <row r="235" spans="8:9" ht="27" customHeight="1" x14ac:dyDescent="0.2">
      <c r="H235" s="2531" t="s">
        <v>690</v>
      </c>
      <c r="I235" s="2532"/>
    </row>
    <row r="236" spans="8:9" ht="42" customHeight="1" x14ac:dyDescent="0.2">
      <c r="H236" s="2531" t="s">
        <v>689</v>
      </c>
      <c r="I236" s="2532"/>
    </row>
    <row r="237" spans="8:9" ht="27" customHeight="1" x14ac:dyDescent="0.2">
      <c r="H237" s="2531" t="s">
        <v>723</v>
      </c>
      <c r="I237" s="2532"/>
    </row>
    <row r="238" spans="8:9" ht="27" customHeight="1" x14ac:dyDescent="0.2">
      <c r="H238" s="2537" t="s">
        <v>724</v>
      </c>
      <c r="I238" s="2538"/>
    </row>
    <row r="239" spans="8:9" ht="42" customHeight="1" x14ac:dyDescent="0.2">
      <c r="H239" s="2703" t="s">
        <v>1710</v>
      </c>
      <c r="I239" s="2704"/>
    </row>
    <row r="240" spans="8:9" ht="53.25" customHeight="1" x14ac:dyDescent="0.2">
      <c r="H240" s="2537" t="s">
        <v>1506</v>
      </c>
      <c r="I240" s="2538"/>
    </row>
    <row r="241" spans="1:10" ht="42" customHeight="1" x14ac:dyDescent="0.2">
      <c r="H241" s="2531" t="s">
        <v>725</v>
      </c>
      <c r="I241" s="2532"/>
      <c r="J241" s="2"/>
    </row>
    <row r="242" spans="1:10" ht="42" customHeight="1" x14ac:dyDescent="0.2">
      <c r="H242" s="2531" t="s">
        <v>2584</v>
      </c>
      <c r="I242" s="2532"/>
      <c r="J242" s="2"/>
    </row>
    <row r="243" spans="1:10" ht="42" customHeight="1" x14ac:dyDescent="0.2">
      <c r="H243" s="2531" t="s">
        <v>726</v>
      </c>
      <c r="I243" s="2532"/>
      <c r="J243" s="2"/>
    </row>
    <row r="244" spans="1:10" ht="27" customHeight="1" x14ac:dyDescent="0.2">
      <c r="H244" s="2537" t="s">
        <v>727</v>
      </c>
      <c r="I244" s="2538"/>
      <c r="J244" s="2"/>
    </row>
    <row r="245" spans="1:10" ht="27" customHeight="1" x14ac:dyDescent="0.2">
      <c r="H245" s="2531" t="s">
        <v>1357</v>
      </c>
      <c r="I245" s="2532"/>
      <c r="J245" s="2"/>
    </row>
    <row r="246" spans="1:10" ht="39" customHeight="1" x14ac:dyDescent="0.2">
      <c r="H246" s="2531" t="s">
        <v>728</v>
      </c>
      <c r="I246" s="2532"/>
      <c r="J246" s="2"/>
    </row>
    <row r="247" spans="1:10" s="26" customFormat="1" ht="42" customHeight="1" x14ac:dyDescent="0.2">
      <c r="A247" s="30"/>
      <c r="B247" s="6"/>
      <c r="C247" s="6"/>
      <c r="D247" s="564"/>
      <c r="E247" s="564"/>
      <c r="F247" s="564"/>
      <c r="G247" s="565"/>
      <c r="H247" s="2531" t="s">
        <v>729</v>
      </c>
      <c r="I247" s="2532"/>
    </row>
    <row r="248" spans="1:10" ht="34.5" customHeight="1" x14ac:dyDescent="0.2">
      <c r="H248" s="2531" t="s">
        <v>712</v>
      </c>
      <c r="I248" s="2532"/>
    </row>
    <row r="249" spans="1:10" ht="27" customHeight="1" x14ac:dyDescent="0.2">
      <c r="H249" s="2531" t="s">
        <v>730</v>
      </c>
      <c r="I249" s="2532"/>
    </row>
    <row r="250" spans="1:10" ht="40.5" customHeight="1" x14ac:dyDescent="0.2">
      <c r="H250" s="2531" t="s">
        <v>1415</v>
      </c>
      <c r="I250" s="2532"/>
    </row>
    <row r="251" spans="1:10" ht="27" customHeight="1" x14ac:dyDescent="0.2">
      <c r="H251" s="2537" t="s">
        <v>732</v>
      </c>
      <c r="I251" s="2538"/>
    </row>
    <row r="252" spans="1:10" ht="42" customHeight="1" x14ac:dyDescent="0.2">
      <c r="H252" s="2537" t="s">
        <v>1711</v>
      </c>
      <c r="I252" s="2538"/>
    </row>
    <row r="253" spans="1:10" ht="42" customHeight="1" x14ac:dyDescent="0.2">
      <c r="H253" s="2531" t="s">
        <v>733</v>
      </c>
      <c r="I253" s="2532"/>
    </row>
    <row r="254" spans="1:10" ht="42" customHeight="1" x14ac:dyDescent="0.2">
      <c r="H254" s="2531" t="s">
        <v>1712</v>
      </c>
      <c r="I254" s="2532"/>
    </row>
    <row r="255" spans="1:10" ht="27" customHeight="1" x14ac:dyDescent="0.2">
      <c r="H255" s="2531" t="s">
        <v>734</v>
      </c>
      <c r="I255" s="2532"/>
    </row>
    <row r="256" spans="1:10" ht="42" customHeight="1" x14ac:dyDescent="0.2">
      <c r="H256" s="2531" t="s">
        <v>697</v>
      </c>
      <c r="I256" s="2532"/>
    </row>
    <row r="257" spans="8:9" ht="42" customHeight="1" x14ac:dyDescent="0.2">
      <c r="H257" s="2705" t="s">
        <v>1713</v>
      </c>
      <c r="I257" s="2706"/>
    </row>
    <row r="258" spans="8:9" ht="27" customHeight="1" x14ac:dyDescent="0.2">
      <c r="H258" s="2531" t="s">
        <v>698</v>
      </c>
      <c r="I258" s="2532"/>
    </row>
    <row r="259" spans="8:9" ht="27" customHeight="1" x14ac:dyDescent="0.2">
      <c r="H259" s="2531" t="s">
        <v>700</v>
      </c>
      <c r="I259" s="2532"/>
    </row>
    <row r="260" spans="8:9" ht="27" customHeight="1" x14ac:dyDescent="0.2">
      <c r="H260" s="2703" t="s">
        <v>735</v>
      </c>
      <c r="I260" s="2704"/>
    </row>
    <row r="261" spans="8:9" ht="27" customHeight="1" x14ac:dyDescent="0.2">
      <c r="H261" s="2531" t="s">
        <v>715</v>
      </c>
      <c r="I261" s="2532"/>
    </row>
    <row r="262" spans="8:9" ht="27" customHeight="1" x14ac:dyDescent="0.2">
      <c r="H262" s="2531" t="s">
        <v>736</v>
      </c>
      <c r="I262" s="2532"/>
    </row>
    <row r="263" spans="8:9" ht="27" customHeight="1" x14ac:dyDescent="0.2">
      <c r="H263" s="2537" t="s">
        <v>737</v>
      </c>
      <c r="I263" s="2538"/>
    </row>
    <row r="264" spans="8:9" ht="27" customHeight="1" x14ac:dyDescent="0.2">
      <c r="H264" s="2537" t="s">
        <v>1714</v>
      </c>
      <c r="I264" s="2538"/>
    </row>
    <row r="265" spans="8:9" ht="42" customHeight="1" x14ac:dyDescent="0.2">
      <c r="H265" s="2531" t="s">
        <v>738</v>
      </c>
      <c r="I265" s="2532"/>
    </row>
    <row r="266" spans="8:9" ht="40.5" customHeight="1" x14ac:dyDescent="0.2">
      <c r="H266" s="2531" t="s">
        <v>1715</v>
      </c>
      <c r="I266" s="2532"/>
    </row>
    <row r="267" spans="8:9" ht="40.5" customHeight="1" x14ac:dyDescent="0.2">
      <c r="H267" s="2537" t="s">
        <v>739</v>
      </c>
      <c r="I267" s="2538"/>
    </row>
    <row r="268" spans="8:9" ht="27" customHeight="1" x14ac:dyDescent="0.2">
      <c r="H268" s="2531" t="s">
        <v>702</v>
      </c>
      <c r="I268" s="2532"/>
    </row>
    <row r="269" spans="8:9" ht="42" customHeight="1" x14ac:dyDescent="0.2">
      <c r="H269" s="2531" t="s">
        <v>740</v>
      </c>
      <c r="I269" s="2532"/>
    </row>
    <row r="270" spans="8:9" ht="38.25" customHeight="1" x14ac:dyDescent="0.2">
      <c r="H270" s="2537" t="s">
        <v>1130</v>
      </c>
      <c r="I270" s="2538"/>
    </row>
    <row r="271" spans="8:9" ht="42" customHeight="1" x14ac:dyDescent="0.2">
      <c r="H271" s="2531" t="s">
        <v>788</v>
      </c>
      <c r="I271" s="2532"/>
    </row>
    <row r="272" spans="8:9" ht="42" customHeight="1" x14ac:dyDescent="0.2">
      <c r="H272" s="2531" t="s">
        <v>741</v>
      </c>
      <c r="I272" s="2532"/>
    </row>
    <row r="273" spans="8:9" ht="51.75" customHeight="1" thickBot="1" x14ac:dyDescent="0.25">
      <c r="H273" s="2533" t="s">
        <v>742</v>
      </c>
      <c r="I273" s="2534"/>
    </row>
  </sheetData>
  <sheetProtection algorithmName="SHA-512" hashValue="qmQF1uVD6cLmCAHZDkv0qTebnHOTKo/I0HMQTWOXF4zcU8BApKGTiOHx+ZEu7fMHRVVXqj3JLjvMoejLS25cjg==" saltValue="QwAh4DHYQfDYctRSZBeCqA==" spinCount="100000" sheet="1" formatCells="0" formatColumns="0" formatRows="0"/>
  <customSheetViews>
    <customSheetView guid="{B8E02330-2419-4DE6-AD01-7ACC7A5D18DD}" scale="75" topLeftCell="A162">
      <selection activeCell="A2" sqref="A2:H172"/>
      <pageMargins left="0.75" right="0.75" top="1" bottom="1" header="0.5" footer="0.5"/>
      <pageSetup orientation="portrait" horizontalDpi="300" verticalDpi="300" r:id="rId1"/>
      <headerFooter alignWithMargins="0"/>
    </customSheetView>
  </customSheetViews>
  <mergeCells count="218">
    <mergeCell ref="H258:I258"/>
    <mergeCell ref="H259:I259"/>
    <mergeCell ref="H260:I260"/>
    <mergeCell ref="H261:I261"/>
    <mergeCell ref="H262:I262"/>
    <mergeCell ref="H263:I263"/>
    <mergeCell ref="H249:I249"/>
    <mergeCell ref="H250:I250"/>
    <mergeCell ref="H251:I251"/>
    <mergeCell ref="H252:I252"/>
    <mergeCell ref="H253:I253"/>
    <mergeCell ref="H254:I254"/>
    <mergeCell ref="H273:I273"/>
    <mergeCell ref="A152:A158"/>
    <mergeCell ref="A160:A164"/>
    <mergeCell ref="A165:A169"/>
    <mergeCell ref="A214:I214"/>
    <mergeCell ref="A223:I223"/>
    <mergeCell ref="H264:I264"/>
    <mergeCell ref="H265:I265"/>
    <mergeCell ref="H266:I266"/>
    <mergeCell ref="H267:I267"/>
    <mergeCell ref="H268:I268"/>
    <mergeCell ref="H269:I269"/>
    <mergeCell ref="H270:I270"/>
    <mergeCell ref="H271:I271"/>
    <mergeCell ref="H272:I272"/>
    <mergeCell ref="H255:I255"/>
    <mergeCell ref="H256:I256"/>
    <mergeCell ref="H257:I257"/>
    <mergeCell ref="H240:I240"/>
    <mergeCell ref="H241:I241"/>
    <mergeCell ref="H242:I242"/>
    <mergeCell ref="H243:I243"/>
    <mergeCell ref="H244:I244"/>
    <mergeCell ref="H245:I245"/>
    <mergeCell ref="H229:I229"/>
    <mergeCell ref="H230:I230"/>
    <mergeCell ref="H246:I246"/>
    <mergeCell ref="H247:I247"/>
    <mergeCell ref="H248:I248"/>
    <mergeCell ref="H231:I231"/>
    <mergeCell ref="H232:I232"/>
    <mergeCell ref="H233:I233"/>
    <mergeCell ref="H234:I234"/>
    <mergeCell ref="H235:I235"/>
    <mergeCell ref="H236:I236"/>
    <mergeCell ref="H237:I237"/>
    <mergeCell ref="H238:I238"/>
    <mergeCell ref="H239:I239"/>
    <mergeCell ref="H221:I221"/>
    <mergeCell ref="H222:I222"/>
    <mergeCell ref="H224:I224"/>
    <mergeCell ref="H225:I225"/>
    <mergeCell ref="H226:I226"/>
    <mergeCell ref="H227:I227"/>
    <mergeCell ref="H228:I228"/>
    <mergeCell ref="I137:I143"/>
    <mergeCell ref="A25:A31"/>
    <mergeCell ref="I146:I151"/>
    <mergeCell ref="I152:I158"/>
    <mergeCell ref="I160:I164"/>
    <mergeCell ref="I165:I169"/>
    <mergeCell ref="I170:I174"/>
    <mergeCell ref="I175:I178"/>
    <mergeCell ref="I78:I83"/>
    <mergeCell ref="I90:I96"/>
    <mergeCell ref="I97:I103"/>
    <mergeCell ref="I104:I107"/>
    <mergeCell ref="I108:I113"/>
    <mergeCell ref="I114:I117"/>
    <mergeCell ref="I118:I123"/>
    <mergeCell ref="I124:I127"/>
    <mergeCell ref="I128:I131"/>
    <mergeCell ref="I132:I136"/>
    <mergeCell ref="I17:I23"/>
    <mergeCell ref="I25:I31"/>
    <mergeCell ref="H25:H31"/>
    <mergeCell ref="H3:H6"/>
    <mergeCell ref="I33:I39"/>
    <mergeCell ref="I40:I44"/>
    <mergeCell ref="I45:I48"/>
    <mergeCell ref="I49:I52"/>
    <mergeCell ref="I53:I58"/>
    <mergeCell ref="I59:I65"/>
    <mergeCell ref="I84:I89"/>
    <mergeCell ref="I66:I71"/>
    <mergeCell ref="I72:I77"/>
    <mergeCell ref="I8:I12"/>
    <mergeCell ref="I13:I16"/>
    <mergeCell ref="H59:H65"/>
    <mergeCell ref="H132:H136"/>
    <mergeCell ref="H97:H103"/>
    <mergeCell ref="H78:H83"/>
    <mergeCell ref="A204:A208"/>
    <mergeCell ref="B209:B212"/>
    <mergeCell ref="B183:B188"/>
    <mergeCell ref="B179:B182"/>
    <mergeCell ref="H195:H200"/>
    <mergeCell ref="H201:H203"/>
    <mergeCell ref="H204:H208"/>
    <mergeCell ref="B195:B200"/>
    <mergeCell ref="A209:A212"/>
    <mergeCell ref="B204:B208"/>
    <mergeCell ref="B201:B203"/>
    <mergeCell ref="A201:A203"/>
    <mergeCell ref="I179:I182"/>
    <mergeCell ref="I183:I188"/>
    <mergeCell ref="I190:I194"/>
    <mergeCell ref="I195:I200"/>
    <mergeCell ref="I201:I203"/>
    <mergeCell ref="I204:I208"/>
    <mergeCell ref="I209:I212"/>
    <mergeCell ref="A33:A39"/>
    <mergeCell ref="A179:A182"/>
    <mergeCell ref="A195:A200"/>
    <mergeCell ref="A183:A188"/>
    <mergeCell ref="H137:H143"/>
    <mergeCell ref="A137:A143"/>
    <mergeCell ref="H152:H158"/>
    <mergeCell ref="B152:B158"/>
    <mergeCell ref="H190:H194"/>
    <mergeCell ref="B160:B164"/>
    <mergeCell ref="H165:H169"/>
    <mergeCell ref="B118:B123"/>
    <mergeCell ref="A124:A127"/>
    <mergeCell ref="B190:B194"/>
    <mergeCell ref="A190:A194"/>
    <mergeCell ref="B78:B83"/>
    <mergeCell ref="H114:H117"/>
    <mergeCell ref="A221:B222"/>
    <mergeCell ref="A59:A65"/>
    <mergeCell ref="A53:A58"/>
    <mergeCell ref="B53:B58"/>
    <mergeCell ref="A97:A103"/>
    <mergeCell ref="B97:B103"/>
    <mergeCell ref="C221:E221"/>
    <mergeCell ref="C222:E222"/>
    <mergeCell ref="D215:F215"/>
    <mergeCell ref="D216:F216"/>
    <mergeCell ref="D217:F217"/>
    <mergeCell ref="D218:F218"/>
    <mergeCell ref="D219:F219"/>
    <mergeCell ref="A78:A83"/>
    <mergeCell ref="A104:A107"/>
    <mergeCell ref="A128:A131"/>
    <mergeCell ref="A118:A123"/>
    <mergeCell ref="A215:C219"/>
    <mergeCell ref="A220:H220"/>
    <mergeCell ref="B165:B169"/>
    <mergeCell ref="H209:H212"/>
    <mergeCell ref="H170:H174"/>
    <mergeCell ref="H179:H182"/>
    <mergeCell ref="H183:H188"/>
    <mergeCell ref="B25:B31"/>
    <mergeCell ref="B124:B127"/>
    <mergeCell ref="B90:B96"/>
    <mergeCell ref="H40:H44"/>
    <mergeCell ref="H33:H39"/>
    <mergeCell ref="B45:B48"/>
    <mergeCell ref="B40:B44"/>
    <mergeCell ref="H72:H77"/>
    <mergeCell ref="B33:B39"/>
    <mergeCell ref="H118:H123"/>
    <mergeCell ref="H124:H127"/>
    <mergeCell ref="H108:H113"/>
    <mergeCell ref="H45:H48"/>
    <mergeCell ref="H84:H89"/>
    <mergeCell ref="B108:B113"/>
    <mergeCell ref="B66:B71"/>
    <mergeCell ref="A49:A52"/>
    <mergeCell ref="H128:H131"/>
    <mergeCell ref="B104:B107"/>
    <mergeCell ref="A45:A48"/>
    <mergeCell ref="B175:B178"/>
    <mergeCell ref="A175:A178"/>
    <mergeCell ref="A170:A174"/>
    <mergeCell ref="H90:H96"/>
    <mergeCell ref="B49:B52"/>
    <mergeCell ref="H104:H107"/>
    <mergeCell ref="A108:A113"/>
    <mergeCell ref="B84:B89"/>
    <mergeCell ref="H160:H164"/>
    <mergeCell ref="H146:H151"/>
    <mergeCell ref="B128:B131"/>
    <mergeCell ref="B137:B143"/>
    <mergeCell ref="H175:H178"/>
    <mergeCell ref="B170:B174"/>
    <mergeCell ref="A146:A151"/>
    <mergeCell ref="A132:A136"/>
    <mergeCell ref="B146:B151"/>
    <mergeCell ref="A84:A89"/>
    <mergeCell ref="B59:B65"/>
    <mergeCell ref="B132:B136"/>
    <mergeCell ref="A40:A44"/>
    <mergeCell ref="A114:A117"/>
    <mergeCell ref="A90:A96"/>
    <mergeCell ref="B114:B117"/>
    <mergeCell ref="H66:H71"/>
    <mergeCell ref="B72:B77"/>
    <mergeCell ref="A1:B1"/>
    <mergeCell ref="A17:A23"/>
    <mergeCell ref="A3:A6"/>
    <mergeCell ref="B3:B6"/>
    <mergeCell ref="A13:A16"/>
    <mergeCell ref="H13:H16"/>
    <mergeCell ref="H8:H12"/>
    <mergeCell ref="A8:A12"/>
    <mergeCell ref="B8:B12"/>
    <mergeCell ref="B13:B16"/>
    <mergeCell ref="E1:I1"/>
    <mergeCell ref="I3:I6"/>
    <mergeCell ref="B17:B23"/>
    <mergeCell ref="H17:H23"/>
    <mergeCell ref="A72:A77"/>
    <mergeCell ref="H49:H52"/>
    <mergeCell ref="H53:H58"/>
    <mergeCell ref="A66:A71"/>
  </mergeCells>
  <phoneticPr fontId="3" type="noConversion"/>
  <pageMargins left="0.75" right="0.75" top="1" bottom="1" header="0.5" footer="0.5"/>
  <pageSetup orientation="portrait" horizontalDpi="300" verticalDpi="300"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J188"/>
  <sheetViews>
    <sheetView topLeftCell="A35" zoomScaleNormal="100" workbookViewId="0">
      <selection activeCell="C127" sqref="C127"/>
    </sheetView>
  </sheetViews>
  <sheetFormatPr defaultColWidth="9.33203125" defaultRowHeight="16.5" x14ac:dyDescent="0.2"/>
  <cols>
    <col min="1" max="1" width="5.83203125" style="30" customWidth="1"/>
    <col min="2" max="2" width="18.83203125" style="7" customWidth="1"/>
    <col min="3" max="3" width="75.83203125" style="6" customWidth="1"/>
    <col min="4" max="6" width="7.83203125" style="117" customWidth="1"/>
    <col min="7" max="7" width="10.1640625" style="116" customWidth="1"/>
    <col min="8" max="8" width="64.83203125" style="21" customWidth="1"/>
    <col min="9" max="9" width="11.83203125" style="7" customWidth="1"/>
    <col min="10" max="10" width="9.33203125" style="106"/>
    <col min="11" max="16384" width="9.33203125" style="6"/>
  </cols>
  <sheetData>
    <row r="1" spans="1:10" s="2065" customFormat="1" ht="99.75" customHeight="1" thickBot="1" x14ac:dyDescent="0.25">
      <c r="A1" s="2546" t="s">
        <v>1066</v>
      </c>
      <c r="B1" s="2725"/>
      <c r="C1" s="2058" t="s">
        <v>1448</v>
      </c>
      <c r="D1" s="2059" t="s">
        <v>1067</v>
      </c>
      <c r="E1" s="2634"/>
      <c r="F1" s="2635"/>
      <c r="G1" s="2635"/>
      <c r="H1" s="2635"/>
      <c r="I1" s="2635"/>
    </row>
    <row r="2" spans="1:10" s="106" customFormat="1" ht="36" customHeight="1" thickBot="1" x14ac:dyDescent="0.25">
      <c r="A2" s="1158" t="s">
        <v>88</v>
      </c>
      <c r="B2" s="1158" t="s">
        <v>1424</v>
      </c>
      <c r="C2" s="1196" t="s">
        <v>1165</v>
      </c>
      <c r="D2" s="1158" t="s">
        <v>45</v>
      </c>
      <c r="E2" s="1249" t="s">
        <v>1189</v>
      </c>
      <c r="F2" s="1250" t="s">
        <v>2580</v>
      </c>
      <c r="G2" s="1251" t="s">
        <v>2555</v>
      </c>
      <c r="H2" s="1158" t="s">
        <v>1118</v>
      </c>
      <c r="I2" s="1232" t="s">
        <v>2424</v>
      </c>
    </row>
    <row r="3" spans="1:10" ht="90" customHeight="1" thickBot="1" x14ac:dyDescent="0.25">
      <c r="A3" s="1574" t="str">
        <f>OF!A133</f>
        <v>OF27</v>
      </c>
      <c r="B3" s="1576" t="str">
        <f>OF!B133</f>
        <v>Growing Degree Days</v>
      </c>
      <c r="C3" s="1975" t="str">
        <f>OF!C133</f>
        <v>In Google Earth, open the KMZ file that accompanies this calculator, called NB-PEI_GrowingDegreeDays. Place your cursor over the AA and left-click. From the pop-up, enter the GRIDCODE in the next column.</v>
      </c>
      <c r="D3" s="2066">
        <f>OF!D133</f>
        <v>2135</v>
      </c>
      <c r="E3" s="1585"/>
      <c r="F3" s="307"/>
      <c r="G3" s="466">
        <f>IF((GrowD&lt;1),"",1-((GrowD-1305)/1328))</f>
        <v>0.375</v>
      </c>
      <c r="H3" s="1568" t="s">
        <v>1449</v>
      </c>
      <c r="I3" s="1567" t="s">
        <v>1019</v>
      </c>
    </row>
    <row r="4" spans="1:10" s="7" customFormat="1" ht="21" customHeight="1" thickBot="1" x14ac:dyDescent="0.25">
      <c r="A4" s="2323" t="str">
        <f>F!A4</f>
        <v>F1</v>
      </c>
      <c r="B4" s="2323" t="str">
        <f>F!B4</f>
        <v>Wetland Type</v>
      </c>
      <c r="C4" s="4" t="str">
        <f>F!C4</f>
        <v>Follow the key below and mark the ONE row that best describes MOST of the vegetated part of the AA:</v>
      </c>
      <c r="D4" s="501"/>
      <c r="E4" s="304"/>
      <c r="F4" s="305"/>
      <c r="G4" s="581">
        <f>MAX(F6:F10)/MAX(E6:E10)</f>
        <v>0.25</v>
      </c>
      <c r="H4" s="2697" t="s">
        <v>2276</v>
      </c>
      <c r="I4" s="2323" t="s">
        <v>505</v>
      </c>
      <c r="J4" s="123"/>
    </row>
    <row r="5" spans="1:10" s="7" customFormat="1" ht="57" customHeight="1" thickBot="1" x14ac:dyDescent="0.25">
      <c r="A5" s="2324"/>
      <c r="B5" s="2324"/>
      <c r="C5" s="4"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5" s="880"/>
      <c r="E5" s="319"/>
      <c r="F5" s="313"/>
      <c r="G5" s="840"/>
      <c r="H5" s="2723"/>
      <c r="I5" s="2324"/>
      <c r="J5" s="123"/>
    </row>
    <row r="6" spans="1:10" s="7" customFormat="1" ht="72" customHeight="1" x14ac:dyDescent="0.2">
      <c r="A6" s="2324"/>
      <c r="B6" s="2324"/>
      <c r="C6" s="1409"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6" s="205">
        <f>F!D6</f>
        <v>0</v>
      </c>
      <c r="E6" s="300">
        <v>4</v>
      </c>
      <c r="F6" s="300">
        <f>D6*E6</f>
        <v>0</v>
      </c>
      <c r="G6" s="666"/>
      <c r="H6" s="2723"/>
      <c r="I6" s="2324"/>
      <c r="J6" s="123"/>
    </row>
    <row r="7" spans="1:10" s="7" customFormat="1" ht="57" customHeight="1" thickBot="1" x14ac:dyDescent="0.25">
      <c r="A7" s="2324"/>
      <c r="B7" s="2324"/>
      <c r="C7" s="1549"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7" s="205">
        <f>F!D7</f>
        <v>0</v>
      </c>
      <c r="E7" s="300">
        <v>3</v>
      </c>
      <c r="F7" s="300">
        <f>D7*E7</f>
        <v>0</v>
      </c>
      <c r="G7" s="840"/>
      <c r="H7" s="2723"/>
      <c r="I7" s="2324"/>
      <c r="J7" s="123"/>
    </row>
    <row r="8" spans="1:10" s="7" customFormat="1" ht="27" customHeight="1" thickBot="1" x14ac:dyDescent="0.25">
      <c r="A8" s="2324"/>
      <c r="B8" s="2324"/>
      <c r="C8" s="4" t="str">
        <f>F!C8</f>
        <v>B. Moss and/or lichen cover less than 25% of the ground. Soil is mineral or decomposed organic (muck). Choose between B1 and B2 and mark the choice with a 1 in their adjoining column:</v>
      </c>
      <c r="D8" s="316"/>
      <c r="E8" s="300"/>
      <c r="F8" s="300"/>
      <c r="G8" s="666"/>
      <c r="H8" s="2723"/>
      <c r="I8" s="2324"/>
      <c r="J8" s="123"/>
    </row>
    <row r="9" spans="1:10" s="7" customFormat="1" ht="27" customHeight="1" x14ac:dyDescent="0.2">
      <c r="A9" s="2324"/>
      <c r="B9" s="2324"/>
      <c r="C9" s="1409" t="str">
        <f>F!C9</f>
        <v>B1. Trees and shrubs taller than 1 m comprise more than 25% of the vegetated cover. Surface water is mostly absent or inundates the vegetation only seasonally (e.g., vernal pools or floodplain).</v>
      </c>
      <c r="D9" s="205">
        <f>F!D9</f>
        <v>0</v>
      </c>
      <c r="E9" s="300">
        <v>2</v>
      </c>
      <c r="F9" s="300"/>
      <c r="G9" s="665"/>
      <c r="H9" s="2723"/>
      <c r="I9" s="2324"/>
      <c r="J9" s="123"/>
    </row>
    <row r="10" spans="1:10" s="7" customFormat="1" ht="42" customHeight="1" thickBot="1" x14ac:dyDescent="0.25">
      <c r="A10" s="2324"/>
      <c r="B10" s="2325"/>
      <c r="C10" s="1470"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10" s="206">
        <f>F!D10</f>
        <v>1</v>
      </c>
      <c r="E10" s="301">
        <v>1</v>
      </c>
      <c r="F10" s="301">
        <f>D10*E10</f>
        <v>1</v>
      </c>
      <c r="G10" s="1495"/>
      <c r="H10" s="2723"/>
      <c r="I10" s="2324"/>
      <c r="J10" s="123"/>
    </row>
    <row r="11" spans="1:10" ht="60" customHeight="1" thickBot="1" x14ac:dyDescent="0.25">
      <c r="A11" s="73" t="str">
        <f>F!A17</f>
        <v>F3</v>
      </c>
      <c r="B11" s="73" t="str">
        <f>F!B17</f>
        <v>Woody Height &amp; Form Diversity</v>
      </c>
      <c r="C11" s="1475" t="str">
        <f>F!C17</f>
        <v>Following EACH row below, indicate with a number code the percentage of the living vegetation in the AA which is occupied by that feature (6 if &gt;95%, 5 if 75-95%, 4 if 50-75%, 3 if 25-50%, 2 if 5-25%, 1 if &lt;5%, 0 if none). If the vegetated part of the AA is largely herbaceous (non-woody) vegetation, these percentages should not sum to 100%.</v>
      </c>
      <c r="D11" s="1493">
        <f>IF((SUM(F!D18:'F'!D21)=0),"",(6-MAX(F!D19, F!D21, F!D23))/6)</f>
        <v>0.83333333333333337</v>
      </c>
      <c r="E11" s="314"/>
      <c r="F11" s="314"/>
      <c r="G11" s="1494">
        <f>IF((D11=""),"",D11)</f>
        <v>0.83333333333333337</v>
      </c>
      <c r="H11" s="124" t="s">
        <v>2339</v>
      </c>
      <c r="I11" s="4" t="s">
        <v>1147</v>
      </c>
    </row>
    <row r="12" spans="1:10" ht="48" customHeight="1" thickBot="1" x14ac:dyDescent="0.25">
      <c r="A12" s="2371" t="str">
        <f>F!A28</f>
        <v>F5</v>
      </c>
      <c r="B12" s="2404" t="str">
        <f>F!B28</f>
        <v>Woody Diameter Classes</v>
      </c>
      <c r="C12" s="481" t="str">
        <f>F!C28</f>
        <v>Mark ALL the types that comprise &gt;5% of the woody canopy cover in the AA or &gt;5% of the wooded areas (if any) along its upland edge (perimeter).  The edge should include only the trees whose canopies extend into the AA.</v>
      </c>
      <c r="D12" s="306"/>
      <c r="E12" s="299"/>
      <c r="F12" s="302"/>
      <c r="G12" s="466" t="str">
        <f>IF((MAX(F!D18:D21)&lt;2),"", ((SUM(D13:D20)/8)+(SUM(F13:F20)/12))/2)</f>
        <v/>
      </c>
      <c r="H12" s="2404" t="s">
        <v>1827</v>
      </c>
      <c r="I12" s="2323" t="s">
        <v>502</v>
      </c>
    </row>
    <row r="13" spans="1:10" ht="15" customHeight="1" x14ac:dyDescent="0.2">
      <c r="A13" s="2371"/>
      <c r="B13" s="2404"/>
      <c r="C13" s="27" t="str">
        <f>F!C29</f>
        <v>coniferous, 1-9 cm diameter and &gt;1 m tall.</v>
      </c>
      <c r="D13" s="213">
        <f>F!D29</f>
        <v>0</v>
      </c>
      <c r="E13" s="300">
        <v>2</v>
      </c>
      <c r="F13" s="300">
        <f>D13*E13</f>
        <v>0</v>
      </c>
      <c r="G13" s="548"/>
      <c r="H13" s="2404"/>
      <c r="I13" s="2324"/>
    </row>
    <row r="14" spans="1:10" ht="15" customHeight="1" x14ac:dyDescent="0.2">
      <c r="A14" s="2371"/>
      <c r="B14" s="2404"/>
      <c r="C14" s="5" t="str">
        <f>F!C30</f>
        <v>broad-leaved deciduous 1-9 cm diameter and &gt;1 m tall.</v>
      </c>
      <c r="D14" s="205">
        <f>F!D30</f>
        <v>0</v>
      </c>
      <c r="E14" s="300">
        <v>1</v>
      </c>
      <c r="F14" s="300">
        <f t="shared" ref="F14:F20" si="0">D14*E14</f>
        <v>0</v>
      </c>
      <c r="G14" s="549"/>
      <c r="H14" s="2404"/>
      <c r="I14" s="2324"/>
    </row>
    <row r="15" spans="1:10" ht="15" customHeight="1" x14ac:dyDescent="0.2">
      <c r="A15" s="2371"/>
      <c r="B15" s="2404"/>
      <c r="C15" s="5" t="str">
        <f>F!C31</f>
        <v>coniferous, 10-19 cm diameter.</v>
      </c>
      <c r="D15" s="205">
        <f>F!D31</f>
        <v>0</v>
      </c>
      <c r="E15" s="300">
        <v>2</v>
      </c>
      <c r="F15" s="300">
        <f t="shared" si="0"/>
        <v>0</v>
      </c>
      <c r="G15" s="549"/>
      <c r="H15" s="2404"/>
      <c r="I15" s="2324"/>
    </row>
    <row r="16" spans="1:10" ht="15" customHeight="1" x14ac:dyDescent="0.2">
      <c r="A16" s="2371"/>
      <c r="B16" s="2404"/>
      <c r="C16" s="5" t="str">
        <f>F!C32</f>
        <v>broad-leaved deciduous 10-19 cm diameter.</v>
      </c>
      <c r="D16" s="205">
        <f>F!D32</f>
        <v>0</v>
      </c>
      <c r="E16" s="300">
        <v>1</v>
      </c>
      <c r="F16" s="300">
        <f t="shared" si="0"/>
        <v>0</v>
      </c>
      <c r="G16" s="549"/>
      <c r="H16" s="2404"/>
      <c r="I16" s="2324"/>
    </row>
    <row r="17" spans="1:9" ht="15" customHeight="1" x14ac:dyDescent="0.2">
      <c r="A17" s="2371"/>
      <c r="B17" s="2404"/>
      <c r="C17" s="5" t="str">
        <f>F!C33</f>
        <v>coniferous, 20-40 cm diameter.</v>
      </c>
      <c r="D17" s="205">
        <f>F!D33</f>
        <v>0</v>
      </c>
      <c r="E17" s="300">
        <v>2</v>
      </c>
      <c r="F17" s="300">
        <f t="shared" si="0"/>
        <v>0</v>
      </c>
      <c r="G17" s="549"/>
      <c r="H17" s="2404"/>
      <c r="I17" s="2324"/>
    </row>
    <row r="18" spans="1:9" ht="15" customHeight="1" x14ac:dyDescent="0.2">
      <c r="A18" s="2371"/>
      <c r="B18" s="2404"/>
      <c r="C18" s="5" t="str">
        <f>F!C34</f>
        <v>broad-leaved deciduous 20-40 cm diameter.</v>
      </c>
      <c r="D18" s="205">
        <f>F!D34</f>
        <v>0</v>
      </c>
      <c r="E18" s="300">
        <v>1</v>
      </c>
      <c r="F18" s="300">
        <f t="shared" si="0"/>
        <v>0</v>
      </c>
      <c r="G18" s="549"/>
      <c r="H18" s="2404"/>
      <c r="I18" s="2324"/>
    </row>
    <row r="19" spans="1:9" ht="15" customHeight="1" x14ac:dyDescent="0.2">
      <c r="A19" s="2371"/>
      <c r="B19" s="2404"/>
      <c r="C19" s="5" t="str">
        <f>F!C35</f>
        <v>coniferous, &gt;40 cm diameter.</v>
      </c>
      <c r="D19" s="205">
        <f>F!D35</f>
        <v>0</v>
      </c>
      <c r="E19" s="300">
        <v>2</v>
      </c>
      <c r="F19" s="300">
        <f t="shared" si="0"/>
        <v>0</v>
      </c>
      <c r="G19" s="549"/>
      <c r="H19" s="2404"/>
      <c r="I19" s="2324"/>
    </row>
    <row r="20" spans="1:9" ht="15" customHeight="1" thickBot="1" x14ac:dyDescent="0.25">
      <c r="A20" s="2490"/>
      <c r="B20" s="2530"/>
      <c r="C20" s="153" t="str">
        <f>F!C36</f>
        <v>broad-leaved deciduous &gt;40 cm diameter.</v>
      </c>
      <c r="D20" s="206">
        <f>F!D36</f>
        <v>0</v>
      </c>
      <c r="E20" s="301">
        <v>1</v>
      </c>
      <c r="F20" s="301">
        <f t="shared" si="0"/>
        <v>0</v>
      </c>
      <c r="G20" s="550"/>
      <c r="H20" s="2530"/>
      <c r="I20" s="2325"/>
    </row>
    <row r="21" spans="1:9" ht="30" customHeight="1" thickBot="1" x14ac:dyDescent="0.25">
      <c r="A21" s="2399" t="str">
        <f>F!A57</f>
        <v>F10</v>
      </c>
      <c r="B21" s="2324" t="str">
        <f>F!B57</f>
        <v>Sphagnum Moss Extent</v>
      </c>
      <c r="C21" s="481" t="str">
        <f>F!C57</f>
        <v>The cover of Sphagnum moss (or any moss that forms a dense cushion many centimeters thick), including the moss obscured by taller sedges and other plants rooted in it, is:</v>
      </c>
      <c r="D21" s="306"/>
      <c r="E21" s="318"/>
      <c r="F21" s="548"/>
      <c r="G21" s="466">
        <f>MAX(F22:F26)/MAX(E22:E26)</f>
        <v>0.2</v>
      </c>
      <c r="H21" s="2324" t="s">
        <v>1509</v>
      </c>
      <c r="I21" s="2323" t="s">
        <v>499</v>
      </c>
    </row>
    <row r="22" spans="1:9" ht="15" customHeight="1" x14ac:dyDescent="0.2">
      <c r="A22" s="2399"/>
      <c r="B22" s="2324"/>
      <c r="C22" s="27" t="str">
        <f>F!C58</f>
        <v xml:space="preserve">&lt;5% of the vegetated part of the AA. </v>
      </c>
      <c r="D22" s="237">
        <f>F!D58</f>
        <v>1</v>
      </c>
      <c r="E22" s="316">
        <v>1</v>
      </c>
      <c r="F22" s="300">
        <f>D22*E22</f>
        <v>1</v>
      </c>
      <c r="G22" s="548"/>
      <c r="H22" s="2324"/>
      <c r="I22" s="2324"/>
    </row>
    <row r="23" spans="1:9" ht="15" customHeight="1" x14ac:dyDescent="0.2">
      <c r="A23" s="2399"/>
      <c r="B23" s="2324"/>
      <c r="C23" s="5" t="str">
        <f>F!C59</f>
        <v>5-25% of the vegetated part of the AA.</v>
      </c>
      <c r="D23" s="238">
        <f>F!D59</f>
        <v>0</v>
      </c>
      <c r="E23" s="316">
        <v>2</v>
      </c>
      <c r="F23" s="300">
        <f>D23*E23</f>
        <v>0</v>
      </c>
      <c r="G23" s="549"/>
      <c r="H23" s="2324"/>
      <c r="I23" s="2324"/>
    </row>
    <row r="24" spans="1:9" ht="15" customHeight="1" x14ac:dyDescent="0.2">
      <c r="A24" s="2399"/>
      <c r="B24" s="2324"/>
      <c r="C24" s="5" t="str">
        <f>F!C60</f>
        <v>25-50% of the vegetated part of the AA.</v>
      </c>
      <c r="D24" s="238">
        <f>F!D60</f>
        <v>0</v>
      </c>
      <c r="E24" s="316">
        <v>3</v>
      </c>
      <c r="F24" s="300">
        <f>D24*E24</f>
        <v>0</v>
      </c>
      <c r="G24" s="549"/>
      <c r="H24" s="2324"/>
      <c r="I24" s="2324"/>
    </row>
    <row r="25" spans="1:9" ht="15" customHeight="1" x14ac:dyDescent="0.2">
      <c r="A25" s="2399"/>
      <c r="B25" s="2324"/>
      <c r="C25" s="5" t="str">
        <f>F!C61</f>
        <v>50-95% of the vegetated part of the AA.</v>
      </c>
      <c r="D25" s="238">
        <f>F!D61</f>
        <v>0</v>
      </c>
      <c r="E25" s="316">
        <v>4</v>
      </c>
      <c r="F25" s="300">
        <f>D25*E25</f>
        <v>0</v>
      </c>
      <c r="G25" s="549"/>
      <c r="H25" s="2324"/>
      <c r="I25" s="2324"/>
    </row>
    <row r="26" spans="1:9" ht="15" customHeight="1" thickBot="1" x14ac:dyDescent="0.25">
      <c r="A26" s="2553"/>
      <c r="B26" s="2325"/>
      <c r="C26" s="153" t="str">
        <f>F!C62</f>
        <v>&gt;95% of the vegetated part of the AA.</v>
      </c>
      <c r="D26" s="239">
        <f>F!D62</f>
        <v>0</v>
      </c>
      <c r="E26" s="317">
        <v>5</v>
      </c>
      <c r="F26" s="301">
        <f>D26*E26</f>
        <v>0</v>
      </c>
      <c r="G26" s="550"/>
      <c r="H26" s="2325"/>
      <c r="I26" s="2325"/>
    </row>
    <row r="27" spans="1:9" ht="45" customHeight="1" thickBot="1" x14ac:dyDescent="0.25">
      <c r="A27" s="2586" t="str">
        <f>F!A77</f>
        <v>F14</v>
      </c>
      <c r="B27" s="2323" t="str">
        <f>F!B77</f>
        <v>Soil Texture</v>
      </c>
      <c r="C27" s="365" t="str">
        <f>F!C77</f>
        <v xml:space="preserve">In parts of the AA that lack persistent water, the texture of soil in the uppermost layer is mostly:  [To determine this, use a trowel to check in at least 3 widely spaced locations, and use the soil texture key (in Appendix A of the Manual).] </v>
      </c>
      <c r="D27" s="306"/>
      <c r="E27" s="304"/>
      <c r="F27" s="305"/>
      <c r="G27" s="465">
        <f>MAX(F28:F32)/MAX(E28:E32)</f>
        <v>0.2</v>
      </c>
      <c r="H27" s="2323" t="s">
        <v>1507</v>
      </c>
      <c r="I27" s="2323" t="s">
        <v>503</v>
      </c>
    </row>
    <row r="28" spans="1:9" ht="27" customHeight="1" x14ac:dyDescent="0.2">
      <c r="A28" s="2399"/>
      <c r="B28" s="2324"/>
      <c r="C28" s="27" t="str">
        <f>F!C78</f>
        <v>Loamy: soils that may contain a little fine grit and do not make a "ribbon" longer than 2 cm when moistened, rolled, squeezed, and extended between thumb and forefinger.</v>
      </c>
      <c r="D28" s="213">
        <f>F!D78</f>
        <v>0</v>
      </c>
      <c r="E28" s="300">
        <v>2</v>
      </c>
      <c r="F28" s="300">
        <f>D28*E28</f>
        <v>0</v>
      </c>
      <c r="G28" s="548"/>
      <c r="H28" s="2324"/>
      <c r="I28" s="2324"/>
    </row>
    <row r="29" spans="1:9" ht="27" customHeight="1" x14ac:dyDescent="0.2">
      <c r="A29" s="2399"/>
      <c r="B29" s="2324"/>
      <c r="C29" s="5" t="str">
        <f>F!C79</f>
        <v>Fines: includes silt, clay, silt, soils that make a ribbon longer than 2 cm when moistened, rolled, squeezed, and extended between thumb and forefinger.</v>
      </c>
      <c r="D29" s="205">
        <f>F!D79</f>
        <v>1</v>
      </c>
      <c r="E29" s="300">
        <v>1</v>
      </c>
      <c r="F29" s="300">
        <f>D29*E29</f>
        <v>1</v>
      </c>
      <c r="G29" s="549"/>
      <c r="H29" s="2324"/>
      <c r="I29" s="2324"/>
    </row>
    <row r="30" spans="1:9" ht="15" customHeight="1" x14ac:dyDescent="0.2">
      <c r="A30" s="2399"/>
      <c r="B30" s="2324"/>
      <c r="C30" s="5" t="str">
        <f>F!C80</f>
        <v>Deep Peat, to 40 cm depth or greater.</v>
      </c>
      <c r="D30" s="205">
        <f>F!D80</f>
        <v>0</v>
      </c>
      <c r="E30" s="300">
        <v>4</v>
      </c>
      <c r="F30" s="300">
        <f>D30*E30</f>
        <v>0</v>
      </c>
      <c r="G30" s="549"/>
      <c r="H30" s="2324"/>
      <c r="I30" s="2324"/>
    </row>
    <row r="31" spans="1:9" ht="15" customHeight="1" x14ac:dyDescent="0.2">
      <c r="A31" s="2399"/>
      <c r="B31" s="2324"/>
      <c r="C31" s="5" t="str">
        <f>F!C81</f>
        <v xml:space="preserve">Shallow Peat or organic &lt;40 cm deep. </v>
      </c>
      <c r="D31" s="205">
        <f>F!D81</f>
        <v>0</v>
      </c>
      <c r="E31" s="300">
        <v>5</v>
      </c>
      <c r="F31" s="300">
        <f>D31*E31</f>
        <v>0</v>
      </c>
      <c r="G31" s="558"/>
      <c r="H31" s="2324"/>
      <c r="I31" s="2324"/>
    </row>
    <row r="32" spans="1:9" ht="27" customHeight="1" thickBot="1" x14ac:dyDescent="0.25">
      <c r="A32" s="2553"/>
      <c r="B32" s="2325"/>
      <c r="C32" s="153" t="str">
        <f>F!C82</f>
        <v>Coarse: includes sand, loamy sand, gravel, cobble, soils that do not make a ribbon when moistened, rolled, squeezed, and extended between thumb and forefinger.</v>
      </c>
      <c r="D32" s="206">
        <f>F!D82</f>
        <v>0</v>
      </c>
      <c r="E32" s="301">
        <v>0</v>
      </c>
      <c r="F32" s="301">
        <f>D32*E32</f>
        <v>0</v>
      </c>
      <c r="G32" s="550"/>
      <c r="H32" s="2325"/>
      <c r="I32" s="2325"/>
    </row>
    <row r="33" spans="1:9" ht="27" customHeight="1" thickBot="1" x14ac:dyDescent="0.25">
      <c r="A33" s="2586" t="str">
        <f>F!A100</f>
        <v>F18</v>
      </c>
      <c r="B33" s="2323" t="str">
        <f>F!B100</f>
        <v xml:space="preserve">Sedge Cover </v>
      </c>
      <c r="C33" s="365" t="str">
        <f>F!C100</f>
        <v>Sedges (Carex spp.) and cottongrass (Eriophorum spp.) occupy:</v>
      </c>
      <c r="D33" s="501"/>
      <c r="E33" s="304"/>
      <c r="F33" s="305"/>
      <c r="G33" s="465">
        <f>IF((NoHerbCov=1),"",IF((AllForbCov=1),"",MAX(F34:F37)/MAX(E34:E37)))</f>
        <v>1</v>
      </c>
      <c r="H33" s="2323" t="s">
        <v>1716</v>
      </c>
      <c r="I33" s="2323" t="s">
        <v>1020</v>
      </c>
    </row>
    <row r="34" spans="1:9" ht="18" customHeight="1" x14ac:dyDescent="0.2">
      <c r="A34" s="2399"/>
      <c r="B34" s="2324"/>
      <c r="C34" s="477" t="str">
        <f>F!C101</f>
        <v>&lt;5% of the vegetated area, or none.</v>
      </c>
      <c r="D34" s="295">
        <f>F!D101</f>
        <v>1</v>
      </c>
      <c r="E34" s="300">
        <v>3</v>
      </c>
      <c r="F34" s="300">
        <f>D34*E34</f>
        <v>3</v>
      </c>
      <c r="G34" s="325"/>
      <c r="H34" s="2324"/>
      <c r="I34" s="2324"/>
    </row>
    <row r="35" spans="1:9" ht="18" customHeight="1" x14ac:dyDescent="0.2">
      <c r="A35" s="2399"/>
      <c r="B35" s="2324"/>
      <c r="C35" s="366" t="str">
        <f>F!C102</f>
        <v>5-50% of the vegetated area.</v>
      </c>
      <c r="D35" s="211">
        <f>F!D102</f>
        <v>0</v>
      </c>
      <c r="E35" s="300">
        <v>2</v>
      </c>
      <c r="F35" s="300">
        <f>D35*E35</f>
        <v>0</v>
      </c>
      <c r="G35" s="325"/>
      <c r="H35" s="2324"/>
      <c r="I35" s="2324"/>
    </row>
    <row r="36" spans="1:9" ht="18" customHeight="1" x14ac:dyDescent="0.2">
      <c r="A36" s="2399"/>
      <c r="B36" s="2324"/>
      <c r="C36" s="366" t="str">
        <f>F!C103</f>
        <v>50-95% of the vegetated area.</v>
      </c>
      <c r="D36" s="211">
        <f>F!D103</f>
        <v>0</v>
      </c>
      <c r="E36" s="300">
        <v>1</v>
      </c>
      <c r="F36" s="300">
        <f>D36*E36</f>
        <v>0</v>
      </c>
      <c r="G36" s="325"/>
      <c r="H36" s="2324"/>
      <c r="I36" s="2324"/>
    </row>
    <row r="37" spans="1:9" ht="18" customHeight="1" thickBot="1" x14ac:dyDescent="0.25">
      <c r="A37" s="2553"/>
      <c r="B37" s="2325"/>
      <c r="C37" s="153" t="str">
        <f>F!C104</f>
        <v>&gt;95% of the vegetated area.</v>
      </c>
      <c r="D37" s="206">
        <f>F!D104</f>
        <v>0</v>
      </c>
      <c r="E37" s="301">
        <v>0</v>
      </c>
      <c r="F37" s="301">
        <f>D37*E37</f>
        <v>0</v>
      </c>
      <c r="G37" s="329"/>
      <c r="H37" s="2325"/>
      <c r="I37" s="2325"/>
    </row>
    <row r="38" spans="1:9" ht="45" customHeight="1" thickBot="1" x14ac:dyDescent="0.25">
      <c r="A38" s="2399" t="str">
        <f>F!A128</f>
        <v>F25</v>
      </c>
      <c r="B38" s="2324" t="str">
        <f>F!B128</f>
        <v>% of AA with Persistent Surface Water</v>
      </c>
      <c r="C38" s="481"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38" s="306"/>
      <c r="E38" s="299"/>
      <c r="F38" s="302"/>
      <c r="G38" s="466">
        <f>IF((AllSat1&gt;0),"", MAX(F39:F43)/MAX(E39:E43))</f>
        <v>0.6</v>
      </c>
      <c r="H38" s="2324" t="s">
        <v>1828</v>
      </c>
      <c r="I38" s="2323" t="s">
        <v>495</v>
      </c>
    </row>
    <row r="39" spans="1:9" ht="27" customHeight="1" x14ac:dyDescent="0.2">
      <c r="A39" s="2399"/>
      <c r="B39" s="2324"/>
      <c r="C39" s="366" t="str">
        <f>F!C129</f>
        <v>None. The AA dries up completely (no water in channels either) or never has surface water during most years.  SKIP to F27.</v>
      </c>
      <c r="D39" s="211">
        <f>F!D129</f>
        <v>0</v>
      </c>
      <c r="E39" s="299">
        <v>5</v>
      </c>
      <c r="F39" s="300">
        <f>D39*E39</f>
        <v>0</v>
      </c>
      <c r="G39" s="549"/>
      <c r="H39" s="2324"/>
      <c r="I39" s="2324"/>
    </row>
    <row r="40" spans="1:9" ht="18" customHeight="1" x14ac:dyDescent="0.2">
      <c r="A40" s="2399"/>
      <c r="B40" s="2324"/>
      <c r="C40" s="366" t="str">
        <f>F!C130</f>
        <v>1-20% of the AA.</v>
      </c>
      <c r="D40" s="211">
        <f>F!D130</f>
        <v>0</v>
      </c>
      <c r="E40" s="556">
        <v>4</v>
      </c>
      <c r="F40" s="300">
        <f>D40*E40</f>
        <v>0</v>
      </c>
      <c r="G40" s="549"/>
      <c r="H40" s="2324"/>
      <c r="I40" s="2324"/>
    </row>
    <row r="41" spans="1:9" ht="18" customHeight="1" x14ac:dyDescent="0.2">
      <c r="A41" s="2399"/>
      <c r="B41" s="2324"/>
      <c r="C41" s="366" t="str">
        <f>F!C131</f>
        <v>20-50% of the AA.</v>
      </c>
      <c r="D41" s="211">
        <f>F!D131</f>
        <v>1</v>
      </c>
      <c r="E41" s="556">
        <v>3</v>
      </c>
      <c r="F41" s="300">
        <f>D41*E41</f>
        <v>3</v>
      </c>
      <c r="G41" s="549"/>
      <c r="H41" s="2324"/>
      <c r="I41" s="2324"/>
    </row>
    <row r="42" spans="1:9" ht="18" customHeight="1" x14ac:dyDescent="0.2">
      <c r="A42" s="2399"/>
      <c r="B42" s="2324"/>
      <c r="C42" s="366" t="str">
        <f>F!C132</f>
        <v>50-95% of the AA.</v>
      </c>
      <c r="D42" s="211">
        <f>F!D132</f>
        <v>0</v>
      </c>
      <c r="E42" s="556">
        <v>2</v>
      </c>
      <c r="F42" s="300">
        <f>D42*E42</f>
        <v>0</v>
      </c>
      <c r="G42" s="549"/>
      <c r="H42" s="2324"/>
      <c r="I42" s="2324"/>
    </row>
    <row r="43" spans="1:9" ht="18" customHeight="1" thickBot="1" x14ac:dyDescent="0.25">
      <c r="A43" s="2553"/>
      <c r="B43" s="2325"/>
      <c r="C43" s="153" t="str">
        <f>F!C133</f>
        <v>&gt;95% of the AA. True for many fringe wetlands.</v>
      </c>
      <c r="D43" s="206">
        <f>F!D133</f>
        <v>0</v>
      </c>
      <c r="E43" s="559">
        <v>1</v>
      </c>
      <c r="F43" s="301">
        <f>D43*E43</f>
        <v>0</v>
      </c>
      <c r="G43" s="550"/>
      <c r="H43" s="2325"/>
      <c r="I43" s="2325"/>
    </row>
    <row r="44" spans="1:9" ht="30" customHeight="1" thickBot="1" x14ac:dyDescent="0.25">
      <c r="A44" s="2586" t="str">
        <f>F!A140</f>
        <v>F27</v>
      </c>
      <c r="B44" s="2323" t="str">
        <f>F!B140</f>
        <v>% of AA that is Flooded Only Seasonally</v>
      </c>
      <c r="C44" s="365" t="str">
        <f>F!C140</f>
        <v>The percentage of the AA's area that is between the annual high water and the annual low water (surface water) is:</v>
      </c>
      <c r="D44" s="501"/>
      <c r="E44" s="304"/>
      <c r="F44" s="305"/>
      <c r="G44" s="465">
        <f>IF((AllSat1&gt;0),"", MAX(F45:F49)/MAX(E45:E49))</f>
        <v>0.75</v>
      </c>
      <c r="H44" s="2323" t="s">
        <v>1829</v>
      </c>
      <c r="I44" s="2323" t="s">
        <v>494</v>
      </c>
    </row>
    <row r="45" spans="1:9" ht="15" customHeight="1" x14ac:dyDescent="0.2">
      <c r="A45" s="2399"/>
      <c r="B45" s="2324"/>
      <c r="C45" s="477" t="str">
        <f>F!C141</f>
        <v>None, or &lt;0.01 hectare and &lt;1% of the AA.  SKIP to F29.</v>
      </c>
      <c r="D45" s="295">
        <f>F!D141</f>
        <v>0</v>
      </c>
      <c r="E45" s="556">
        <v>0</v>
      </c>
      <c r="F45" s="300">
        <f>D45*E45</f>
        <v>0</v>
      </c>
      <c r="G45" s="548"/>
      <c r="H45" s="2324"/>
      <c r="I45" s="2324"/>
    </row>
    <row r="46" spans="1:9" ht="15" customHeight="1" x14ac:dyDescent="0.2">
      <c r="A46" s="2399"/>
      <c r="B46" s="2324"/>
      <c r="C46" s="366" t="str">
        <f>F!C142</f>
        <v>1-20% of the AA, or &lt;1% but &gt;0.01 ha.</v>
      </c>
      <c r="D46" s="211">
        <f>F!D142</f>
        <v>0</v>
      </c>
      <c r="E46" s="556">
        <v>1</v>
      </c>
      <c r="F46" s="300">
        <f>D46*E46</f>
        <v>0</v>
      </c>
      <c r="G46" s="549"/>
      <c r="H46" s="2324"/>
      <c r="I46" s="2324"/>
    </row>
    <row r="47" spans="1:9" ht="15" customHeight="1" x14ac:dyDescent="0.2">
      <c r="A47" s="2399"/>
      <c r="B47" s="2324"/>
      <c r="C47" s="366" t="str">
        <f>F!C143</f>
        <v>20-50% of the AA.</v>
      </c>
      <c r="D47" s="211">
        <f>F!D143</f>
        <v>0</v>
      </c>
      <c r="E47" s="556">
        <v>2</v>
      </c>
      <c r="F47" s="300">
        <f>D47*E47</f>
        <v>0</v>
      </c>
      <c r="G47" s="549"/>
      <c r="H47" s="2324"/>
      <c r="I47" s="2324"/>
    </row>
    <row r="48" spans="1:9" ht="15" customHeight="1" x14ac:dyDescent="0.2">
      <c r="A48" s="2399"/>
      <c r="B48" s="2324"/>
      <c r="C48" s="366" t="str">
        <f>F!C144</f>
        <v>50-95% of the AA.</v>
      </c>
      <c r="D48" s="211">
        <f>F!D144</f>
        <v>1</v>
      </c>
      <c r="E48" s="556">
        <v>3</v>
      </c>
      <c r="F48" s="300">
        <f>D48*E48</f>
        <v>3</v>
      </c>
      <c r="G48" s="549"/>
      <c r="H48" s="2324"/>
      <c r="I48" s="2324"/>
    </row>
    <row r="49" spans="1:10" ht="15" customHeight="1" thickBot="1" x14ac:dyDescent="0.25">
      <c r="A49" s="2553"/>
      <c r="B49" s="2325"/>
      <c r="C49" s="153" t="str">
        <f>F!C145</f>
        <v xml:space="preserve">&gt;95% of the AA. </v>
      </c>
      <c r="D49" s="206">
        <f>F!D145</f>
        <v>0</v>
      </c>
      <c r="E49" s="559">
        <v>4</v>
      </c>
      <c r="F49" s="301">
        <f>D49*E49</f>
        <v>0</v>
      </c>
      <c r="G49" s="550"/>
      <c r="H49" s="2325"/>
      <c r="I49" s="2325"/>
    </row>
    <row r="50" spans="1:10" s="2" customFormat="1" ht="30" customHeight="1" thickBot="1" x14ac:dyDescent="0.25">
      <c r="A50" s="2369" t="str">
        <f>F!A146</f>
        <v>F28</v>
      </c>
      <c r="B50" s="2404" t="str">
        <f>F!B146</f>
        <v>Annual Water Fluctuation Range</v>
      </c>
      <c r="C50" s="376" t="str">
        <f>F!C146</f>
        <v>The annual fluctuation in surface water level within most of the parts of the AA that contain surface water at least temporarily is:</v>
      </c>
      <c r="D50" s="306"/>
      <c r="E50" s="299"/>
      <c r="F50" s="302"/>
      <c r="G50" s="466">
        <f>IF((AllSat1&gt;0),"", IF((NoSeasonal=1),"",MAX(F51:F55)/MAX(E51:E55)))</f>
        <v>0</v>
      </c>
      <c r="H50" s="2324" t="s">
        <v>1830</v>
      </c>
      <c r="I50" s="2323" t="s">
        <v>506</v>
      </c>
      <c r="J50" s="151"/>
    </row>
    <row r="51" spans="1:10" ht="15" customHeight="1" x14ac:dyDescent="0.2">
      <c r="A51" s="2369"/>
      <c r="B51" s="2396"/>
      <c r="C51" s="369" t="str">
        <f>F!C147</f>
        <v>&lt;10 cm change (stable or nearly so).</v>
      </c>
      <c r="D51" s="212">
        <f>F!D147</f>
        <v>0</v>
      </c>
      <c r="E51" s="300">
        <v>5</v>
      </c>
      <c r="F51" s="300">
        <f>D51*E51</f>
        <v>0</v>
      </c>
      <c r="G51" s="548"/>
      <c r="H51" s="2324"/>
      <c r="I51" s="2324"/>
    </row>
    <row r="52" spans="1:10" ht="15" customHeight="1" x14ac:dyDescent="0.2">
      <c r="A52" s="2369"/>
      <c r="B52" s="2396"/>
      <c r="C52" s="471" t="str">
        <f>F!C148</f>
        <v>10 cm - 50 cm change.</v>
      </c>
      <c r="D52" s="70">
        <f>F!D148</f>
        <v>0</v>
      </c>
      <c r="E52" s="300">
        <v>3</v>
      </c>
      <c r="F52" s="300">
        <f>D52*E52</f>
        <v>0</v>
      </c>
      <c r="G52" s="549"/>
      <c r="H52" s="2324"/>
      <c r="I52" s="2324"/>
    </row>
    <row r="53" spans="1:10" ht="15" customHeight="1" x14ac:dyDescent="0.2">
      <c r="A53" s="2369"/>
      <c r="B53" s="2396"/>
      <c r="C53" s="471" t="str">
        <f>F!C149</f>
        <v>0.5 - 1 m change.</v>
      </c>
      <c r="D53" s="70">
        <f>F!D149</f>
        <v>0</v>
      </c>
      <c r="E53" s="300">
        <v>2</v>
      </c>
      <c r="F53" s="300">
        <f>D53*E53</f>
        <v>0</v>
      </c>
      <c r="G53" s="549"/>
      <c r="H53" s="2324"/>
      <c r="I53" s="2324"/>
    </row>
    <row r="54" spans="1:10" ht="15" customHeight="1" x14ac:dyDescent="0.2">
      <c r="A54" s="2369"/>
      <c r="B54" s="2396"/>
      <c r="C54" s="872" t="str">
        <f>F!C150</f>
        <v>1-2 m change.</v>
      </c>
      <c r="D54" s="70">
        <f>F!D150</f>
        <v>0</v>
      </c>
      <c r="E54" s="303">
        <v>1</v>
      </c>
      <c r="F54" s="303">
        <f>D54*E54</f>
        <v>0</v>
      </c>
      <c r="G54" s="558"/>
      <c r="H54" s="2324"/>
      <c r="I54" s="2324"/>
    </row>
    <row r="55" spans="1:10" ht="15" customHeight="1" thickBot="1" x14ac:dyDescent="0.25">
      <c r="A55" s="2370"/>
      <c r="B55" s="2408"/>
      <c r="C55" s="872" t="str">
        <f>F!C151</f>
        <v>&gt;2 m change.</v>
      </c>
      <c r="D55" s="70">
        <f>F!D151</f>
        <v>1</v>
      </c>
      <c r="E55" s="301">
        <v>0</v>
      </c>
      <c r="F55" s="301">
        <f>D55*E55</f>
        <v>0</v>
      </c>
      <c r="G55" s="550"/>
      <c r="H55" s="2325"/>
      <c r="I55" s="2325"/>
    </row>
    <row r="56" spans="1:10" ht="36" customHeight="1" thickBot="1" x14ac:dyDescent="0.25">
      <c r="A56" s="2586" t="str">
        <f>F!A153</f>
        <v>F29</v>
      </c>
      <c r="B56" s="2529" t="str">
        <f>F!B153</f>
        <v>Predominant Depth Class</v>
      </c>
      <c r="C56" s="365" t="str">
        <f>F!C153</f>
        <v>During most of the time when surface water is present during the growing season, its depth, averaged over the entire inundated part of the AA, is:</v>
      </c>
      <c r="D56" s="501"/>
      <c r="E56" s="304"/>
      <c r="F56" s="305"/>
      <c r="G56" s="465">
        <f>IF((AllSat1&gt;0),"",IF((TooSmall=1),"",MAX(F57:F61)/MAX(E57:E61)))</f>
        <v>1</v>
      </c>
      <c r="H56" s="2323" t="s">
        <v>1831</v>
      </c>
      <c r="I56" s="2323" t="s">
        <v>497</v>
      </c>
    </row>
    <row r="57" spans="1:10" ht="18" customHeight="1" x14ac:dyDescent="0.2">
      <c r="A57" s="2399"/>
      <c r="B57" s="2404"/>
      <c r="C57" s="27" t="str">
        <f>F!C154</f>
        <v>&lt;10 cm deep (but &gt;0).</v>
      </c>
      <c r="D57" s="213">
        <f>F!D154</f>
        <v>0</v>
      </c>
      <c r="E57" s="300">
        <v>1</v>
      </c>
      <c r="F57" s="300">
        <f>D57*E57</f>
        <v>0</v>
      </c>
      <c r="G57" s="548"/>
      <c r="H57" s="2324"/>
      <c r="I57" s="2324"/>
    </row>
    <row r="58" spans="1:10" ht="18" customHeight="1" x14ac:dyDescent="0.2">
      <c r="A58" s="2399"/>
      <c r="B58" s="2404"/>
      <c r="C58" s="5" t="str">
        <f>F!C155</f>
        <v>10 - 50 cm deep.</v>
      </c>
      <c r="D58" s="205">
        <f>F!D155</f>
        <v>0</v>
      </c>
      <c r="E58" s="300">
        <v>2</v>
      </c>
      <c r="F58" s="300">
        <f>D58*E58</f>
        <v>0</v>
      </c>
      <c r="G58" s="549"/>
      <c r="H58" s="2324"/>
      <c r="I58" s="2324"/>
    </row>
    <row r="59" spans="1:10" ht="18" customHeight="1" x14ac:dyDescent="0.2">
      <c r="A59" s="2399"/>
      <c r="B59" s="2404"/>
      <c r="C59" s="5" t="str">
        <f>F!C156</f>
        <v>0.5 - 1 m deep.</v>
      </c>
      <c r="D59" s="205">
        <f>F!D156</f>
        <v>1</v>
      </c>
      <c r="E59" s="300">
        <v>3</v>
      </c>
      <c r="F59" s="300">
        <f>D59*E59</f>
        <v>3</v>
      </c>
      <c r="G59" s="549"/>
      <c r="H59" s="2324"/>
      <c r="I59" s="2324"/>
    </row>
    <row r="60" spans="1:10" ht="18" customHeight="1" x14ac:dyDescent="0.2">
      <c r="A60" s="2399"/>
      <c r="B60" s="2404"/>
      <c r="C60" s="5" t="str">
        <f>F!C157</f>
        <v>1 - 2 m deep.</v>
      </c>
      <c r="D60" s="205">
        <f>F!D157</f>
        <v>0</v>
      </c>
      <c r="E60" s="300">
        <v>2</v>
      </c>
      <c r="F60" s="300">
        <f>D60*E60</f>
        <v>0</v>
      </c>
      <c r="G60" s="549"/>
      <c r="H60" s="2324"/>
      <c r="I60" s="2324"/>
    </row>
    <row r="61" spans="1:10" ht="24" customHeight="1" thickBot="1" x14ac:dyDescent="0.25">
      <c r="A61" s="2553"/>
      <c r="B61" s="2530"/>
      <c r="C61" s="153" t="str">
        <f>F!C158</f>
        <v>&gt;2 m deep. True for many fringe wetlands.</v>
      </c>
      <c r="D61" s="206">
        <f>F!D158</f>
        <v>0</v>
      </c>
      <c r="E61" s="301">
        <v>1</v>
      </c>
      <c r="F61" s="301">
        <f>D61*E61</f>
        <v>0</v>
      </c>
      <c r="G61" s="550"/>
      <c r="H61" s="2325"/>
      <c r="I61" s="2325"/>
    </row>
    <row r="62" spans="1:10" s="2" customFormat="1" ht="45" customHeight="1" thickBot="1" x14ac:dyDescent="0.25">
      <c r="A62" s="2587" t="str">
        <f>F!A163</f>
        <v>F31</v>
      </c>
      <c r="B62" s="2671" t="str">
        <f>F!B163</f>
        <v>% of Water That Is Ponded (not Flowing)</v>
      </c>
      <c r="C62" s="368" t="str">
        <f>F!C163</f>
        <v>During most times when surface water is present, the percentage that is (1) ponded (stagnant, or flows so slowly that fine sediment is not held in suspension) AND (2) is likely to be deeper than 0.5 m in some places, is:</v>
      </c>
      <c r="D62" s="501"/>
      <c r="E62" s="304"/>
      <c r="F62" s="563"/>
      <c r="G62" s="465">
        <f>IF((AllSat1&gt;0),"", MAX(F63:F67)/MAX(E63:E67))</f>
        <v>0.33333333333333331</v>
      </c>
      <c r="H62" s="2713" t="s">
        <v>1182</v>
      </c>
      <c r="I62" s="2323" t="s">
        <v>496</v>
      </c>
      <c r="J62" s="151"/>
    </row>
    <row r="63" spans="1:10" s="2" customFormat="1" ht="27" customHeight="1" x14ac:dyDescent="0.2">
      <c r="A63" s="2369"/>
      <c r="B63" s="2327"/>
      <c r="C63" s="369" t="str">
        <f>F!C164</f>
        <v>&lt;5% of the water, or it occupies &lt;100 sq.m cumulatively. Nearly all the surface water is flowing. SKIP to F34.</v>
      </c>
      <c r="D63" s="566">
        <f>F!D164</f>
        <v>1</v>
      </c>
      <c r="E63" s="300">
        <v>1</v>
      </c>
      <c r="F63" s="300">
        <f>D63*E63</f>
        <v>1</v>
      </c>
      <c r="G63" s="549"/>
      <c r="H63" s="2714"/>
      <c r="I63" s="2324"/>
      <c r="J63" s="151"/>
    </row>
    <row r="64" spans="1:10" s="2" customFormat="1" ht="21" customHeight="1" x14ac:dyDescent="0.2">
      <c r="A64" s="2369"/>
      <c r="B64" s="2327"/>
      <c r="C64" s="471" t="str">
        <f>F!C165</f>
        <v>5-30% of the water.</v>
      </c>
      <c r="D64" s="567">
        <f>F!D165</f>
        <v>0</v>
      </c>
      <c r="E64" s="300">
        <v>3</v>
      </c>
      <c r="F64" s="300">
        <f>D64*E64</f>
        <v>0</v>
      </c>
      <c r="G64" s="549"/>
      <c r="H64" s="2714"/>
      <c r="I64" s="2324"/>
      <c r="J64" s="151"/>
    </row>
    <row r="65" spans="1:10" s="2" customFormat="1" ht="21" customHeight="1" x14ac:dyDescent="0.2">
      <c r="A65" s="2369"/>
      <c r="B65" s="2327"/>
      <c r="C65" s="471" t="str">
        <f>F!C166</f>
        <v>30-70% of the water.</v>
      </c>
      <c r="D65" s="567">
        <f>F!D166</f>
        <v>0</v>
      </c>
      <c r="E65" s="300">
        <v>3</v>
      </c>
      <c r="F65" s="300">
        <f>D65*E65</f>
        <v>0</v>
      </c>
      <c r="G65" s="549"/>
      <c r="H65" s="2714"/>
      <c r="I65" s="2324"/>
      <c r="J65" s="151"/>
    </row>
    <row r="66" spans="1:10" s="2" customFormat="1" ht="21" customHeight="1" x14ac:dyDescent="0.2">
      <c r="A66" s="2369"/>
      <c r="B66" s="2327"/>
      <c r="C66" s="471" t="str">
        <f>F!C167</f>
        <v>70-95% of the water.</v>
      </c>
      <c r="D66" s="567">
        <f>F!D167</f>
        <v>0</v>
      </c>
      <c r="E66" s="303">
        <v>2</v>
      </c>
      <c r="F66" s="300">
        <f>D66*E66</f>
        <v>0</v>
      </c>
      <c r="G66" s="549"/>
      <c r="H66" s="2714"/>
      <c r="I66" s="2324"/>
      <c r="J66" s="151"/>
    </row>
    <row r="67" spans="1:10" s="2" customFormat="1" ht="33" customHeight="1" thickBot="1" x14ac:dyDescent="0.25">
      <c r="A67" s="2370"/>
      <c r="B67" s="2328"/>
      <c r="C67" s="370" t="str">
        <f>F!C168</f>
        <v>&gt;95% of the water.</v>
      </c>
      <c r="D67" s="904">
        <f>F!D168</f>
        <v>0</v>
      </c>
      <c r="E67" s="301">
        <v>1</v>
      </c>
      <c r="F67" s="301">
        <f>D67*E67</f>
        <v>0</v>
      </c>
      <c r="G67" s="550"/>
      <c r="H67" s="2715"/>
      <c r="I67" s="2325"/>
      <c r="J67" s="151"/>
    </row>
    <row r="68" spans="1:10" s="7" customFormat="1" ht="33" customHeight="1" thickBot="1" x14ac:dyDescent="0.25">
      <c r="A68" s="2726" t="str">
        <f>F!A170</f>
        <v>F33</v>
      </c>
      <c r="B68" s="2326" t="str">
        <f>F!B170</f>
        <v xml:space="preserve">% of Ponded Water that is Open </v>
      </c>
      <c r="C68" s="103" t="str">
        <f>F!C170</f>
        <v>In ducks-eye aerial view, the percentage of the ponded water that is open (lacking emergent vegetation during most of the growing season, and unhidden by a forest or shrub canopy) is:</v>
      </c>
      <c r="D68" s="544"/>
      <c r="E68" s="299"/>
      <c r="F68" s="299"/>
      <c r="G68" s="466" t="str">
        <f>IF((AllSat1&gt;0),"",IF((TooSmall=1),"",IF((NoPonded=1),"",MAX(F69:F74)/MAX(E69:E74))))</f>
        <v/>
      </c>
      <c r="H68" s="2324" t="s">
        <v>1832</v>
      </c>
      <c r="I68" s="2323" t="s">
        <v>409</v>
      </c>
      <c r="J68" s="123"/>
    </row>
    <row r="69" spans="1:10" s="7" customFormat="1" ht="30" customHeight="1" x14ac:dyDescent="0.2">
      <c r="A69" s="2660"/>
      <c r="B69" s="2327"/>
      <c r="C69" s="418" t="str">
        <f>F!C171</f>
        <v>None, or &lt;1% of the AA and largest pool occupies &lt;0.01 hectares. Enter "1" and SKIP to F41 (Floating Algae &amp; Duckweed).</v>
      </c>
      <c r="D69" s="474">
        <f>F!D171</f>
        <v>0</v>
      </c>
      <c r="E69" s="300">
        <v>1</v>
      </c>
      <c r="F69" s="300">
        <f t="shared" ref="F69:F74" si="1">D69*E69</f>
        <v>0</v>
      </c>
      <c r="G69" s="549"/>
      <c r="H69" s="2324"/>
      <c r="I69" s="2324"/>
      <c r="J69" s="123"/>
    </row>
    <row r="70" spans="1:10" s="7" customFormat="1" ht="21" customHeight="1" x14ac:dyDescent="0.2">
      <c r="A70" s="2660"/>
      <c r="B70" s="2327"/>
      <c r="C70" s="375" t="str">
        <f>F!C172</f>
        <v>1-4% of the ponded water. Enter "1" and SKIP to F41 (Floating Algae &amp; Duckweed).</v>
      </c>
      <c r="D70" s="474">
        <f>F!D172</f>
        <v>0</v>
      </c>
      <c r="E70" s="300">
        <v>2</v>
      </c>
      <c r="F70" s="300">
        <f t="shared" si="1"/>
        <v>0</v>
      </c>
      <c r="G70" s="549"/>
      <c r="H70" s="2324"/>
      <c r="I70" s="2324"/>
      <c r="J70" s="123"/>
    </row>
    <row r="71" spans="1:10" s="7" customFormat="1" ht="21" customHeight="1" x14ac:dyDescent="0.2">
      <c r="A71" s="2660"/>
      <c r="B71" s="2327"/>
      <c r="C71" s="375" t="str">
        <f>F!C173</f>
        <v>5-30% of the ponded water.</v>
      </c>
      <c r="D71" s="474">
        <f>F!D173</f>
        <v>0</v>
      </c>
      <c r="E71" s="300">
        <v>4</v>
      </c>
      <c r="F71" s="300">
        <f t="shared" si="1"/>
        <v>0</v>
      </c>
      <c r="G71" s="549"/>
      <c r="H71" s="2324"/>
      <c r="I71" s="2324"/>
      <c r="J71" s="123"/>
    </row>
    <row r="72" spans="1:10" s="7" customFormat="1" ht="21" customHeight="1" x14ac:dyDescent="0.2">
      <c r="A72" s="2660"/>
      <c r="B72" s="2327"/>
      <c r="C72" s="375" t="str">
        <f>F!C174</f>
        <v>30-70% of the ponded water.</v>
      </c>
      <c r="D72" s="474">
        <f>F!D174</f>
        <v>0</v>
      </c>
      <c r="E72" s="300">
        <v>3</v>
      </c>
      <c r="F72" s="300">
        <f t="shared" si="1"/>
        <v>0</v>
      </c>
      <c r="G72" s="549"/>
      <c r="H72" s="2324"/>
      <c r="I72" s="2324"/>
      <c r="J72" s="123"/>
    </row>
    <row r="73" spans="1:10" s="7" customFormat="1" ht="21" customHeight="1" x14ac:dyDescent="0.2">
      <c r="A73" s="2660"/>
      <c r="B73" s="2327"/>
      <c r="C73" s="375" t="str">
        <f>F!C175</f>
        <v>70-99% of the ponded water.</v>
      </c>
      <c r="D73" s="474">
        <f>F!D175</f>
        <v>0</v>
      </c>
      <c r="E73" s="300">
        <v>2</v>
      </c>
      <c r="F73" s="300">
        <f t="shared" si="1"/>
        <v>0</v>
      </c>
      <c r="G73" s="549"/>
      <c r="H73" s="2324"/>
      <c r="I73" s="2324"/>
      <c r="J73" s="123"/>
    </row>
    <row r="74" spans="1:10" s="7" customFormat="1" ht="30.75" customHeight="1" thickBot="1" x14ac:dyDescent="0.25">
      <c r="A74" s="2661"/>
      <c r="B74" s="2328"/>
      <c r="C74" s="375" t="str">
        <f>F!C176</f>
        <v xml:space="preserve">100% of the ponded water. </v>
      </c>
      <c r="D74" s="474">
        <f>F!D176</f>
        <v>0</v>
      </c>
      <c r="E74" s="303">
        <v>0</v>
      </c>
      <c r="F74" s="303">
        <f t="shared" si="1"/>
        <v>0</v>
      </c>
      <c r="G74" s="558"/>
      <c r="H74" s="2325"/>
      <c r="I74" s="2325"/>
      <c r="J74" s="123"/>
    </row>
    <row r="75" spans="1:10" ht="30" customHeight="1" thickBot="1" x14ac:dyDescent="0.25">
      <c r="A75" s="2399" t="str">
        <f>F!A177</f>
        <v>F34</v>
      </c>
      <c r="B75" s="2669" t="str">
        <f>F!B177</f>
        <v>Width of Vegetated Zone within Wetland</v>
      </c>
      <c r="C75" s="4" t="str">
        <f>F!C177</f>
        <v>At the time during the growing season when the AA's water level is lowest, the average width of vegetated area in the AA that separates adjoining uplands from open water within the AA is:</v>
      </c>
      <c r="D75" s="501"/>
      <c r="E75" s="304"/>
      <c r="F75" s="305"/>
      <c r="G75" s="581">
        <f>IF((AllSat1&gt;0),"",IF((TooSmall=1),"",IF((NoOpenPonded=1),"",MAX(F76:F81)/MAX(E76:E81))))</f>
        <v>1</v>
      </c>
      <c r="H75" s="2324" t="s">
        <v>1833</v>
      </c>
      <c r="I75" s="2323" t="s">
        <v>498</v>
      </c>
    </row>
    <row r="76" spans="1:10" ht="15" customHeight="1" x14ac:dyDescent="0.2">
      <c r="A76" s="2399"/>
      <c r="B76" s="2663"/>
      <c r="C76" s="936" t="str">
        <f>F!C178</f>
        <v>&lt;1 m.</v>
      </c>
      <c r="D76" s="213">
        <f>F!D178</f>
        <v>0</v>
      </c>
      <c r="E76" s="316">
        <v>0</v>
      </c>
      <c r="F76" s="300">
        <f t="shared" ref="F76:F81" si="2">D76*E76</f>
        <v>0</v>
      </c>
      <c r="G76" s="665"/>
      <c r="H76" s="2324"/>
      <c r="I76" s="2324"/>
    </row>
    <row r="77" spans="1:10" ht="15" customHeight="1" x14ac:dyDescent="0.2">
      <c r="A77" s="2399"/>
      <c r="B77" s="2663"/>
      <c r="C77" s="868" t="str">
        <f>F!C179</f>
        <v>1 - 9 m.</v>
      </c>
      <c r="D77" s="205">
        <f>F!D179</f>
        <v>0</v>
      </c>
      <c r="E77" s="316">
        <v>1</v>
      </c>
      <c r="F77" s="300">
        <f t="shared" si="2"/>
        <v>0</v>
      </c>
      <c r="G77" s="666"/>
      <c r="H77" s="2324"/>
      <c r="I77" s="2324"/>
    </row>
    <row r="78" spans="1:10" ht="15" customHeight="1" x14ac:dyDescent="0.2">
      <c r="A78" s="2399"/>
      <c r="B78" s="2663"/>
      <c r="C78" s="868" t="str">
        <f>F!C180</f>
        <v>10 - 29 m.</v>
      </c>
      <c r="D78" s="205">
        <f>F!D180</f>
        <v>0</v>
      </c>
      <c r="E78" s="316">
        <v>2</v>
      </c>
      <c r="F78" s="300">
        <f t="shared" si="2"/>
        <v>0</v>
      </c>
      <c r="G78" s="666"/>
      <c r="H78" s="2324"/>
      <c r="I78" s="2324"/>
    </row>
    <row r="79" spans="1:10" ht="15" customHeight="1" x14ac:dyDescent="0.2">
      <c r="A79" s="2399"/>
      <c r="B79" s="2663"/>
      <c r="C79" s="868" t="str">
        <f>F!C181</f>
        <v>30 - 49 m.</v>
      </c>
      <c r="D79" s="205">
        <f>F!D181</f>
        <v>0</v>
      </c>
      <c r="E79" s="316">
        <v>3</v>
      </c>
      <c r="F79" s="300">
        <f t="shared" si="2"/>
        <v>0</v>
      </c>
      <c r="G79" s="666"/>
      <c r="H79" s="2324"/>
      <c r="I79" s="2324"/>
    </row>
    <row r="80" spans="1:10" ht="15" customHeight="1" x14ac:dyDescent="0.2">
      <c r="A80" s="2399"/>
      <c r="B80" s="2663"/>
      <c r="C80" s="868" t="str">
        <f>F!C182</f>
        <v>50 - 100 m.</v>
      </c>
      <c r="D80" s="205">
        <f>F!D182</f>
        <v>0</v>
      </c>
      <c r="E80" s="316">
        <v>4</v>
      </c>
      <c r="F80" s="300">
        <f t="shared" si="2"/>
        <v>0</v>
      </c>
      <c r="G80" s="666"/>
      <c r="H80" s="2324"/>
      <c r="I80" s="2324"/>
    </row>
    <row r="81" spans="1:9" ht="15" customHeight="1" thickBot="1" x14ac:dyDescent="0.25">
      <c r="A81" s="2553"/>
      <c r="B81" s="2664"/>
      <c r="C81" s="937" t="str">
        <f>F!C183</f>
        <v>&gt; 100 m, or open water is absent at that time.</v>
      </c>
      <c r="D81" s="206">
        <f>F!D183</f>
        <v>1</v>
      </c>
      <c r="E81" s="316">
        <v>6</v>
      </c>
      <c r="F81" s="301">
        <f t="shared" si="2"/>
        <v>6</v>
      </c>
      <c r="G81" s="667"/>
      <c r="H81" s="2325"/>
      <c r="I81" s="2325"/>
    </row>
    <row r="82" spans="1:9" ht="60" customHeight="1" thickBot="1" x14ac:dyDescent="0.25">
      <c r="A82" s="2586" t="str">
        <f>F!A206</f>
        <v>F42</v>
      </c>
      <c r="B82" s="2529" t="str">
        <f>F!B206</f>
        <v>Channel Connection &amp; Outflow Duration</v>
      </c>
      <c r="C82" s="4"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82" s="501"/>
      <c r="E82" s="304"/>
      <c r="F82" s="305"/>
      <c r="G82" s="581">
        <f>IF((AllSat1=1),"",MAX(F83:F87)/MAX(E83:E87))</f>
        <v>0.6</v>
      </c>
      <c r="H82" s="2323" t="s">
        <v>1834</v>
      </c>
      <c r="I82" s="2323" t="s">
        <v>500</v>
      </c>
    </row>
    <row r="83" spans="1:9" ht="16.899999999999999" customHeight="1" x14ac:dyDescent="0.2">
      <c r="A83" s="2399"/>
      <c r="B83" s="2404"/>
      <c r="C83" s="936" t="str">
        <f>F!C207</f>
        <v>Persistent (surface water flows out for &gt;9 months/year).</v>
      </c>
      <c r="D83" s="213">
        <f>F!D207</f>
        <v>0</v>
      </c>
      <c r="E83" s="300">
        <v>3</v>
      </c>
      <c r="F83" s="300">
        <f>D83*E83</f>
        <v>0</v>
      </c>
      <c r="G83" s="665"/>
      <c r="H83" s="2324"/>
      <c r="I83" s="2324"/>
    </row>
    <row r="84" spans="1:9" ht="15" customHeight="1" x14ac:dyDescent="0.2">
      <c r="A84" s="2399"/>
      <c r="B84" s="2404"/>
      <c r="C84" s="868" t="str">
        <f>F!C208</f>
        <v>Seasonal (surface water flows out for 14 days to 9 months/year, not necessarily consecutive).</v>
      </c>
      <c r="D84" s="205">
        <f>F!D208</f>
        <v>1</v>
      </c>
      <c r="E84" s="300">
        <v>6</v>
      </c>
      <c r="F84" s="300">
        <f>D84*E84</f>
        <v>6</v>
      </c>
      <c r="G84" s="666"/>
      <c r="H84" s="2324"/>
      <c r="I84" s="2324"/>
    </row>
    <row r="85" spans="1:9" ht="15" customHeight="1" x14ac:dyDescent="0.2">
      <c r="A85" s="2399"/>
      <c r="B85" s="2404"/>
      <c r="C85" s="868" t="str">
        <f>F!C209</f>
        <v>Temporary (surface water flows out for &lt;14 days, not necessarily consecutive).</v>
      </c>
      <c r="D85" s="205">
        <f>F!D209</f>
        <v>0</v>
      </c>
      <c r="E85" s="300">
        <v>8</v>
      </c>
      <c r="F85" s="300">
        <f>D85*E85</f>
        <v>0</v>
      </c>
      <c r="G85" s="666"/>
      <c r="H85" s="2324"/>
      <c r="I85" s="2324"/>
    </row>
    <row r="86" spans="1:9" ht="27" customHeight="1" x14ac:dyDescent="0.2">
      <c r="A86" s="2399"/>
      <c r="B86" s="2404"/>
      <c r="C86" s="868" t="str">
        <f>F!C210</f>
        <v>None -- but maps show a stream network downslope from the AA and within a distance that is less than the AA's length. SKIP to F47 (pH Measurement).</v>
      </c>
      <c r="D86" s="205">
        <f>F!D210</f>
        <v>0</v>
      </c>
      <c r="E86" s="316">
        <v>10</v>
      </c>
      <c r="F86" s="300">
        <f>D86*E86</f>
        <v>0</v>
      </c>
      <c r="G86" s="840"/>
      <c r="H86" s="2324"/>
      <c r="I86" s="2324"/>
    </row>
    <row r="87" spans="1:9" ht="27" customHeight="1" thickBot="1" x14ac:dyDescent="0.25">
      <c r="A87" s="2553"/>
      <c r="B87" s="2530"/>
      <c r="C87" s="937" t="str">
        <f>F!C211</f>
        <v>No surface water flows out of the wetland except possibly during extreme events (&lt;once per 10 years). Or, water flows only into a wetland, ditch, or lake that lacks an outlet. SKIP to F47 (pH Measurement).</v>
      </c>
      <c r="D87" s="206">
        <f>F!D211</f>
        <v>0</v>
      </c>
      <c r="E87" s="317">
        <v>10</v>
      </c>
      <c r="F87" s="301">
        <f>D87*E87</f>
        <v>0</v>
      </c>
      <c r="G87" s="667"/>
      <c r="H87" s="2325"/>
      <c r="I87" s="2325"/>
    </row>
    <row r="88" spans="1:9" ht="33" customHeight="1" thickBot="1" x14ac:dyDescent="0.25">
      <c r="A88" s="2586" t="str">
        <f>F!A212</f>
        <v>F43</v>
      </c>
      <c r="B88" s="2323" t="str">
        <f>F!B212</f>
        <v xml:space="preserve">Outflow Confinement </v>
      </c>
      <c r="C88" s="365" t="str">
        <f>F!C212</f>
        <v>During major runoff events, in the places where surface water exits the AA or connected waters nearby, the water:</v>
      </c>
      <c r="D88" s="501"/>
      <c r="E88" s="304"/>
      <c r="F88" s="305"/>
      <c r="G88" s="465">
        <f>IF((OutNone + OutNone1&gt;0),"",MAX(F89:F91)/MAX(E89:E91))</f>
        <v>0.66666666666666663</v>
      </c>
      <c r="H88" s="2323" t="s">
        <v>1835</v>
      </c>
      <c r="I88" s="2323" t="s">
        <v>501</v>
      </c>
    </row>
    <row r="89" spans="1:9" ht="45" customHeight="1" x14ac:dyDescent="0.2">
      <c r="A89" s="2399"/>
      <c r="B89" s="2324"/>
      <c r="C89" s="27" t="str">
        <f>F!C213</f>
        <v>Mostly passes through a pipe, culvert, narrowly breached dike, berm, beaver dam, or other partial obstruction (other than natural topography) that does not appear to drain the wetland artificially during most of the growing season.</v>
      </c>
      <c r="D89" s="213">
        <f>F!D213</f>
        <v>0</v>
      </c>
      <c r="E89" s="300">
        <v>3</v>
      </c>
      <c r="F89" s="300">
        <f>D89*E89</f>
        <v>0</v>
      </c>
      <c r="G89" s="548"/>
      <c r="H89" s="2324"/>
      <c r="I89" s="2324"/>
    </row>
    <row r="90" spans="1:9" ht="18" customHeight="1" x14ac:dyDescent="0.2">
      <c r="A90" s="2399"/>
      <c r="B90" s="2324"/>
      <c r="C90" s="5" t="str">
        <f>F!C214</f>
        <v>Leaves through natural exits (channels or diffuse outflow), not mainly through artificial or temporary features.</v>
      </c>
      <c r="D90" s="205">
        <f>F!D214</f>
        <v>1</v>
      </c>
      <c r="E90" s="300">
        <v>2</v>
      </c>
      <c r="F90" s="300">
        <f>D90*E90</f>
        <v>2</v>
      </c>
      <c r="G90" s="561"/>
      <c r="H90" s="2324"/>
      <c r="I90" s="2324"/>
    </row>
    <row r="91" spans="1:9" ht="36" customHeight="1" thickBot="1" x14ac:dyDescent="0.25">
      <c r="A91" s="2553"/>
      <c r="B91" s="2325"/>
      <c r="C91" s="153" t="str">
        <f>F!C215</f>
        <v>Is exported more quickly than usual due to ditches or pipes within the AA or connected to its outlet, or within 10 m of the AA's edge, which drain the wetland artificially, or water is pumped out of the AA.</v>
      </c>
      <c r="D91" s="206">
        <f>F!D215</f>
        <v>0</v>
      </c>
      <c r="E91" s="301">
        <v>0</v>
      </c>
      <c r="F91" s="301">
        <f>D91*E91</f>
        <v>0</v>
      </c>
      <c r="G91" s="550"/>
      <c r="H91" s="2325"/>
      <c r="I91" s="2325"/>
    </row>
    <row r="92" spans="1:9" ht="21" customHeight="1" thickBot="1" x14ac:dyDescent="0.25">
      <c r="A92" s="2399" t="str">
        <f>F!A237</f>
        <v>F50</v>
      </c>
      <c r="B92" s="2324" t="str">
        <f>F!B237</f>
        <v>Groundwater Strength of Evidence</v>
      </c>
      <c r="C92" s="481" t="str">
        <f>F!C237</f>
        <v>Select first applicable choice:</v>
      </c>
      <c r="D92" s="306"/>
      <c r="E92" s="299"/>
      <c r="F92" s="593"/>
      <c r="G92" s="594">
        <f>MAX(F93:F95)/MAX(E93:E95)</f>
        <v>1</v>
      </c>
      <c r="H92" s="2404" t="s">
        <v>1450</v>
      </c>
      <c r="I92" s="2323" t="s">
        <v>493</v>
      </c>
    </row>
    <row r="93" spans="1:9" ht="42" customHeight="1" x14ac:dyDescent="0.2">
      <c r="A93" s="2399"/>
      <c r="B93" s="2324"/>
      <c r="C93" s="477"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93" s="295">
        <f>F!D238</f>
        <v>0</v>
      </c>
      <c r="E93" s="300">
        <v>0</v>
      </c>
      <c r="F93" s="300">
        <f>D93*E93</f>
        <v>0</v>
      </c>
      <c r="G93" s="548"/>
      <c r="H93" s="2396"/>
      <c r="I93" s="2324"/>
    </row>
    <row r="94" spans="1:9" ht="27" customHeight="1" x14ac:dyDescent="0.2">
      <c r="A94" s="2399"/>
      <c r="B94" s="2324"/>
      <c r="C94" s="366" t="str">
        <f>F!C239</f>
        <v>Most of the AA has a slope of &gt;5%, or is very close to the base of a natural slope longer than 100 and much steeper than the slope of the AA,  AND the pH of surface water, if known, is &gt;5.5.</v>
      </c>
      <c r="D94" s="211">
        <f>F!D239</f>
        <v>0</v>
      </c>
      <c r="E94" s="300">
        <v>1</v>
      </c>
      <c r="F94" s="300">
        <f>D94*E94</f>
        <v>0</v>
      </c>
      <c r="G94" s="549"/>
      <c r="H94" s="2396"/>
      <c r="I94" s="2324"/>
    </row>
    <row r="95" spans="1:9" ht="27" customHeight="1" thickBot="1" x14ac:dyDescent="0.25">
      <c r="A95" s="2553"/>
      <c r="B95" s="2325"/>
      <c r="C95" s="153" t="str">
        <f>F!C240</f>
        <v>Neither of above is true, although some groundwater may discharge to or flow through the AA. Or groundwater influx is unknown.</v>
      </c>
      <c r="D95" s="206">
        <f>F!D240</f>
        <v>1</v>
      </c>
      <c r="E95" s="301">
        <v>2</v>
      </c>
      <c r="F95" s="301">
        <f>D95*E95</f>
        <v>2</v>
      </c>
      <c r="G95" s="550"/>
      <c r="H95" s="2408"/>
      <c r="I95" s="2325"/>
    </row>
    <row r="96" spans="1:9" ht="21" customHeight="1" thickBot="1" x14ac:dyDescent="0.25">
      <c r="A96" s="2529" t="str">
        <f>F!A241</f>
        <v>F51</v>
      </c>
      <c r="B96" s="2529" t="str">
        <f>F!B241</f>
        <v>Internal Gradient</v>
      </c>
      <c r="C96" s="365" t="str">
        <f>F!C241</f>
        <v>The gradient along most of the flow path within the AA is:</v>
      </c>
      <c r="D96" s="543"/>
      <c r="E96" s="304"/>
      <c r="F96" s="305"/>
      <c r="G96" s="465">
        <f>MAX(F97:F100)/MAX(E97:E100)</f>
        <v>1</v>
      </c>
      <c r="H96" s="2529" t="s">
        <v>593</v>
      </c>
      <c r="I96" s="2323" t="s">
        <v>1665</v>
      </c>
    </row>
    <row r="97" spans="1:9" ht="15" customHeight="1" x14ac:dyDescent="0.2">
      <c r="A97" s="2404"/>
      <c r="B97" s="2404"/>
      <c r="C97" s="27" t="str">
        <f>F!C242</f>
        <v>&lt;2% or the AA has no surface water outlet (not even seasonally).</v>
      </c>
      <c r="D97" s="205">
        <f>F!D242</f>
        <v>1</v>
      </c>
      <c r="E97" s="316">
        <v>4</v>
      </c>
      <c r="F97" s="300">
        <f>D97*E97</f>
        <v>4</v>
      </c>
      <c r="G97" s="548"/>
      <c r="H97" s="2404"/>
      <c r="I97" s="2324"/>
    </row>
    <row r="98" spans="1:9" ht="15" customHeight="1" x14ac:dyDescent="0.2">
      <c r="A98" s="2404"/>
      <c r="B98" s="2404"/>
      <c r="C98" s="1169" t="str">
        <f>F!C243</f>
        <v>2-5%.</v>
      </c>
      <c r="D98" s="205">
        <f>F!D243</f>
        <v>0</v>
      </c>
      <c r="E98" s="316">
        <v>2</v>
      </c>
      <c r="F98" s="300">
        <f>D98*E98</f>
        <v>0</v>
      </c>
      <c r="G98" s="549"/>
      <c r="H98" s="2404"/>
      <c r="I98" s="2324"/>
    </row>
    <row r="99" spans="1:9" ht="15" customHeight="1" x14ac:dyDescent="0.2">
      <c r="A99" s="2404"/>
      <c r="B99" s="2404"/>
      <c r="C99" s="1169" t="str">
        <f>F!C244</f>
        <v>6-10%.</v>
      </c>
      <c r="D99" s="205">
        <f>F!D244</f>
        <v>0</v>
      </c>
      <c r="E99" s="316">
        <v>1</v>
      </c>
      <c r="F99" s="300">
        <f>D99*E99</f>
        <v>0</v>
      </c>
      <c r="G99" s="549"/>
      <c r="H99" s="2404"/>
      <c r="I99" s="2324"/>
    </row>
    <row r="100" spans="1:9" ht="15" customHeight="1" thickBot="1" x14ac:dyDescent="0.25">
      <c r="A100" s="2530"/>
      <c r="B100" s="2530"/>
      <c r="C100" s="153" t="str">
        <f>F!C245</f>
        <v>&gt;10%.</v>
      </c>
      <c r="D100" s="206">
        <f>F!D245</f>
        <v>0</v>
      </c>
      <c r="E100" s="317">
        <v>0</v>
      </c>
      <c r="F100" s="301">
        <f>D100*E100</f>
        <v>0</v>
      </c>
      <c r="G100" s="550"/>
      <c r="H100" s="2408"/>
      <c r="I100" s="2325"/>
    </row>
    <row r="101" spans="1:9" ht="30" customHeight="1" thickBot="1" x14ac:dyDescent="0.25">
      <c r="A101" s="2724" t="str">
        <f>F!A262</f>
        <v>F56</v>
      </c>
      <c r="B101" s="2713" t="str">
        <f>F!B262</f>
        <v>New or Expanded Wetland</v>
      </c>
      <c r="C101" s="1252" t="str">
        <f>F!C262</f>
        <v>Human actions within or adjacent to the AA have persistently expanded a naturally occurring wetland or created a wetland where there previously was none (e.g., by excavation, impoundment):</v>
      </c>
      <c r="D101" s="880"/>
      <c r="E101" s="299"/>
      <c r="F101" s="302"/>
      <c r="G101" s="466">
        <f>IF((D107=1),"",MAX(F102:F106)/MAX(E102:E106))</f>
        <v>1</v>
      </c>
      <c r="H101" s="2714" t="s">
        <v>1451</v>
      </c>
      <c r="I101" s="2323" t="s">
        <v>504</v>
      </c>
    </row>
    <row r="102" spans="1:9" ht="18" customHeight="1" x14ac:dyDescent="0.2">
      <c r="A102" s="2724"/>
      <c r="B102" s="2714"/>
      <c r="C102" s="1253" t="str">
        <f>F!C263</f>
        <v>No.</v>
      </c>
      <c r="D102" s="930">
        <f>F!D263</f>
        <v>1</v>
      </c>
      <c r="E102" s="458">
        <v>5</v>
      </c>
      <c r="F102" s="300">
        <f>D102*E102</f>
        <v>5</v>
      </c>
      <c r="G102" s="548"/>
      <c r="H102" s="2714"/>
      <c r="I102" s="2324"/>
    </row>
    <row r="103" spans="1:9" ht="18" customHeight="1" x14ac:dyDescent="0.2">
      <c r="A103" s="2724"/>
      <c r="B103" s="2714"/>
      <c r="C103" s="1254" t="str">
        <f>F!C264</f>
        <v xml:space="preserve">Yes, and created or expanded 20 - 100 years ago. </v>
      </c>
      <c r="D103" s="930">
        <f>F!D264</f>
        <v>0</v>
      </c>
      <c r="E103" s="458">
        <v>2</v>
      </c>
      <c r="F103" s="300">
        <f>D103*E103</f>
        <v>0</v>
      </c>
      <c r="G103" s="549"/>
      <c r="H103" s="2714"/>
      <c r="I103" s="2324"/>
    </row>
    <row r="104" spans="1:9" ht="18" customHeight="1" x14ac:dyDescent="0.2">
      <c r="A104" s="2724"/>
      <c r="B104" s="2714"/>
      <c r="C104" s="1254" t="str">
        <f>F!C265</f>
        <v>Yes, and created or expanded 3-20 years ago.</v>
      </c>
      <c r="D104" s="930">
        <f>F!D265</f>
        <v>0</v>
      </c>
      <c r="E104" s="458">
        <v>1</v>
      </c>
      <c r="F104" s="300">
        <f>D104*E104</f>
        <v>0</v>
      </c>
      <c r="G104" s="549"/>
      <c r="H104" s="2714"/>
      <c r="I104" s="2324"/>
    </row>
    <row r="105" spans="1:9" ht="18" customHeight="1" x14ac:dyDescent="0.2">
      <c r="A105" s="2724"/>
      <c r="B105" s="2714"/>
      <c r="C105" s="1254" t="str">
        <f>F!C266</f>
        <v>Yes, and created or expanded within last 3 years.</v>
      </c>
      <c r="D105" s="930">
        <f>F!D266</f>
        <v>0</v>
      </c>
      <c r="E105" s="458">
        <v>0</v>
      </c>
      <c r="F105" s="300">
        <f>D105*E105</f>
        <v>0</v>
      </c>
      <c r="G105" s="549"/>
      <c r="H105" s="2714"/>
      <c r="I105" s="2324"/>
    </row>
    <row r="106" spans="1:9" ht="18" customHeight="1" x14ac:dyDescent="0.2">
      <c r="A106" s="2724"/>
      <c r="B106" s="2714"/>
      <c r="C106" s="1254" t="str">
        <f>F!C267</f>
        <v>Yes, but time of origin or expansion unknown.</v>
      </c>
      <c r="D106" s="930">
        <f>F!D267</f>
        <v>0</v>
      </c>
      <c r="E106" s="458">
        <v>1</v>
      </c>
      <c r="F106" s="300">
        <f>D106*E106</f>
        <v>0</v>
      </c>
      <c r="G106" s="549"/>
      <c r="H106" s="2714"/>
      <c r="I106" s="2324"/>
    </row>
    <row r="107" spans="1:9" ht="25.5" customHeight="1" thickBot="1" x14ac:dyDescent="0.25">
      <c r="A107" s="2724"/>
      <c r="B107" s="2714"/>
      <c r="C107" s="1255" t="str">
        <f>F!C268</f>
        <v>Unknown if new or expanded within 20 years or not.</v>
      </c>
      <c r="D107" s="931">
        <f>F!D268</f>
        <v>0</v>
      </c>
      <c r="E107" s="458"/>
      <c r="F107" s="303"/>
      <c r="G107" s="558"/>
      <c r="H107" s="2714"/>
      <c r="I107" s="2325"/>
    </row>
    <row r="108" spans="1:9" ht="45" customHeight="1" thickBot="1" x14ac:dyDescent="0.25">
      <c r="A108" s="2713" t="str">
        <f>F!A269</f>
        <v>F57</v>
      </c>
      <c r="B108" s="2713" t="str">
        <f>F!B269</f>
        <v>Burn History</v>
      </c>
      <c r="C108" s="1256" t="str">
        <f>F!C269</f>
        <v>More than 1% of the AA's previously vegetated area:</v>
      </c>
      <c r="D108" s="315"/>
      <c r="E108" s="304"/>
      <c r="F108" s="304"/>
      <c r="G108" s="465">
        <f>MAX(F109:F112)/MAX(E109:E112)</f>
        <v>0.66666666666666663</v>
      </c>
      <c r="H108" s="2713" t="s">
        <v>1620</v>
      </c>
      <c r="I108" s="2323" t="s">
        <v>1557</v>
      </c>
    </row>
    <row r="109" spans="1:9" ht="27" customHeight="1" x14ac:dyDescent="0.2">
      <c r="A109" s="2714"/>
      <c r="B109" s="2714"/>
      <c r="C109" s="1257" t="str">
        <f>F!C270</f>
        <v>Burned within past 5 years.</v>
      </c>
      <c r="D109" s="216">
        <f>F!D270</f>
        <v>0</v>
      </c>
      <c r="E109" s="300">
        <v>0</v>
      </c>
      <c r="F109" s="300">
        <f>D109*E109</f>
        <v>0</v>
      </c>
      <c r="G109" s="549"/>
      <c r="H109" s="2714"/>
      <c r="I109" s="2324"/>
    </row>
    <row r="110" spans="1:9" ht="27" customHeight="1" x14ac:dyDescent="0.2">
      <c r="A110" s="2714"/>
      <c r="B110" s="2714"/>
      <c r="C110" s="1258" t="str">
        <f>F!C271</f>
        <v>Burned 6-10 years ago.</v>
      </c>
      <c r="D110" s="216">
        <f>F!D271</f>
        <v>0</v>
      </c>
      <c r="E110" s="300">
        <v>1</v>
      </c>
      <c r="F110" s="300">
        <f>D110*E110</f>
        <v>0</v>
      </c>
      <c r="G110" s="549"/>
      <c r="H110" s="2714"/>
      <c r="I110" s="2324"/>
    </row>
    <row r="111" spans="1:9" ht="27" customHeight="1" x14ac:dyDescent="0.2">
      <c r="A111" s="2714"/>
      <c r="B111" s="2714"/>
      <c r="C111" s="1258" t="str">
        <f>F!C272</f>
        <v>Burned 11-30 years ago.</v>
      </c>
      <c r="D111" s="216">
        <f>F!D272</f>
        <v>0</v>
      </c>
      <c r="E111" s="300">
        <v>3</v>
      </c>
      <c r="F111" s="300">
        <f>D111*E111</f>
        <v>0</v>
      </c>
      <c r="G111" s="549"/>
      <c r="H111" s="2714"/>
      <c r="I111" s="2324"/>
    </row>
    <row r="112" spans="1:9" ht="27" customHeight="1" thickBot="1" x14ac:dyDescent="0.25">
      <c r="A112" s="2715"/>
      <c r="B112" s="2715"/>
      <c r="C112" s="1259" t="str">
        <f>F!C273</f>
        <v>Burned &gt;30 years ago, or no evidence of a burn and no data.</v>
      </c>
      <c r="D112" s="240">
        <f>F!D273</f>
        <v>1</v>
      </c>
      <c r="E112" s="301">
        <v>2</v>
      </c>
      <c r="F112" s="301">
        <f>D112*E112</f>
        <v>2</v>
      </c>
      <c r="G112" s="550"/>
      <c r="H112" s="2715"/>
      <c r="I112" s="2325"/>
    </row>
    <row r="113" spans="1:9" ht="132" customHeight="1" thickBot="1" x14ac:dyDescent="0.25">
      <c r="A113" s="416" t="str">
        <f>S!A69</f>
        <v>S5</v>
      </c>
      <c r="B113" s="416" t="str">
        <f>S!B69</f>
        <v>Soil or Sediment Alteration Within the Assessment Area</v>
      </c>
      <c r="C113" s="1260" t="s">
        <v>978</v>
      </c>
      <c r="D113" s="1946">
        <f>S!F86</f>
        <v>0.83333333333333337</v>
      </c>
      <c r="E113" s="312"/>
      <c r="F113" s="312"/>
      <c r="G113" s="465">
        <f>1-D113</f>
        <v>0.16666666666666663</v>
      </c>
      <c r="H113" s="149" t="s">
        <v>1720</v>
      </c>
      <c r="I113" s="73" t="s">
        <v>1018</v>
      </c>
    </row>
    <row r="114" spans="1:9" ht="21" customHeight="1" thickBot="1" x14ac:dyDescent="0.25">
      <c r="A114" s="2545"/>
      <c r="B114" s="2545"/>
      <c r="C114" s="2545"/>
      <c r="D114" s="2545"/>
      <c r="E114" s="2545"/>
      <c r="F114" s="2545"/>
      <c r="G114" s="2545"/>
      <c r="H114" s="2545"/>
    </row>
    <row r="115" spans="1:9" ht="30" customHeight="1" x14ac:dyDescent="0.2">
      <c r="A115" s="2560"/>
      <c r="B115" s="2560"/>
      <c r="C115" s="2560"/>
      <c r="D115" s="2711" t="s">
        <v>1139</v>
      </c>
      <c r="E115" s="2712"/>
      <c r="F115" s="2712"/>
      <c r="G115" s="1269">
        <f xml:space="preserve"> AVERAGE(Wettype5,MossCov5,Burn5,SoilDisturb5, SoilTex5, AVERAGE(DecidTree5,Warmth5,VwidthAbs5,NewWet5))</f>
        <v>0.38090277777777776</v>
      </c>
      <c r="H115" s="1432" t="s">
        <v>2294</v>
      </c>
      <c r="I115" s="1433" t="s">
        <v>2113</v>
      </c>
    </row>
    <row r="116" spans="1:9" ht="21" customHeight="1" x14ac:dyDescent="0.2">
      <c r="A116" s="2560"/>
      <c r="B116" s="2560"/>
      <c r="C116" s="2560"/>
      <c r="D116" s="2638" t="s">
        <v>1158</v>
      </c>
      <c r="E116" s="2639"/>
      <c r="F116" s="2639"/>
      <c r="G116" s="1270">
        <f>AVERAGE(Depth5,AVERAGE(Warmth5,MossCov5,Wettype5,Constric5))</f>
        <v>0.68645833333333339</v>
      </c>
      <c r="H116" s="1439" t="s">
        <v>2181</v>
      </c>
      <c r="I116" s="1424" t="s">
        <v>2114</v>
      </c>
    </row>
    <row r="117" spans="1:9" ht="21" customHeight="1" x14ac:dyDescent="0.2">
      <c r="A117" s="2560"/>
      <c r="B117" s="2560"/>
      <c r="C117" s="2560"/>
      <c r="D117" s="2716" t="s">
        <v>2038</v>
      </c>
      <c r="E117" s="2717"/>
      <c r="F117" s="2717"/>
      <c r="G117" s="1270">
        <f xml:space="preserve"> AVERAGE(OutDura5,Constric5,AqPlantCov5,Gradient5,ISOwet5)</f>
        <v>0.65</v>
      </c>
      <c r="H117" s="1439" t="s">
        <v>2180</v>
      </c>
      <c r="I117" s="1424" t="s">
        <v>2115</v>
      </c>
    </row>
    <row r="118" spans="1:9" ht="21" customHeight="1" thickBot="1" x14ac:dyDescent="0.25">
      <c r="A118" s="2560"/>
      <c r="B118" s="2560"/>
      <c r="C118" s="2560"/>
      <c r="D118" s="2718" t="s">
        <v>1126</v>
      </c>
      <c r="E118" s="2719"/>
      <c r="F118" s="2719"/>
      <c r="G118" s="1271">
        <f>AVERAGE(MossCov5,Sedge5,SeasWpct5,Fluctu5,TreeForm5,SoilDisturb5,GroundW5,PermWpct5)</f>
        <v>0.53095238095238095</v>
      </c>
      <c r="H118" s="1425" t="s">
        <v>2351</v>
      </c>
      <c r="I118" s="1426" t="s">
        <v>2116</v>
      </c>
    </row>
    <row r="119" spans="1:9" ht="21" customHeight="1" thickBot="1" x14ac:dyDescent="0.25">
      <c r="A119" s="2685"/>
      <c r="B119" s="2685"/>
      <c r="C119" s="2720"/>
      <c r="D119" s="2720"/>
      <c r="E119" s="2720"/>
      <c r="F119" s="2720"/>
      <c r="G119" s="2720"/>
      <c r="H119" s="2560"/>
      <c r="I119" s="1431"/>
    </row>
    <row r="120" spans="1:9" ht="30" customHeight="1" thickBot="1" x14ac:dyDescent="0.25">
      <c r="A120" s="2685"/>
      <c r="B120" s="2685"/>
      <c r="C120" s="2557" t="s">
        <v>22</v>
      </c>
      <c r="D120" s="2558"/>
      <c r="E120" s="2559"/>
      <c r="F120" s="1193" t="s">
        <v>52</v>
      </c>
      <c r="G120" s="1272">
        <f>10*((2*MAX(HistAccum5, PhysAccum5) + Productiv + 3*MethLimit5) /6)</f>
        <v>5.9655257936507944</v>
      </c>
      <c r="H120" s="2525" t="s">
        <v>952</v>
      </c>
      <c r="I120" s="2526"/>
    </row>
    <row r="121" spans="1:9" ht="30" customHeight="1" thickBot="1" x14ac:dyDescent="0.25">
      <c r="A121" s="2685"/>
      <c r="B121" s="2685"/>
      <c r="C121" s="2557" t="s">
        <v>1907</v>
      </c>
      <c r="D121" s="2558"/>
      <c r="E121" s="2559"/>
      <c r="F121" s="1453" t="s">
        <v>2219</v>
      </c>
      <c r="G121" s="1273"/>
      <c r="H121" s="2721" t="s">
        <v>594</v>
      </c>
      <c r="I121" s="2722"/>
    </row>
    <row r="122" spans="1:9" ht="21" customHeight="1" thickBot="1" x14ac:dyDescent="0.25">
      <c r="A122" s="6"/>
      <c r="B122" s="6"/>
      <c r="D122" s="1935"/>
      <c r="E122" s="6"/>
      <c r="F122" s="6"/>
      <c r="G122" s="6"/>
      <c r="H122" s="6"/>
      <c r="I122" s="478"/>
    </row>
    <row r="123" spans="1:9" ht="21" customHeight="1" thickBot="1" x14ac:dyDescent="0.25">
      <c r="A123" s="6"/>
      <c r="B123" s="6"/>
      <c r="D123" s="1935"/>
      <c r="E123" s="6"/>
      <c r="F123" s="6"/>
      <c r="G123" s="6"/>
      <c r="H123" s="2707" t="s">
        <v>669</v>
      </c>
      <c r="I123" s="2708"/>
    </row>
    <row r="124" spans="1:9" ht="27" customHeight="1" x14ac:dyDescent="0.2">
      <c r="A124" s="6"/>
      <c r="B124" s="6"/>
      <c r="D124" s="1935"/>
      <c r="E124" s="6"/>
      <c r="F124" s="6"/>
      <c r="G124" s="6"/>
      <c r="H124" s="2709" t="s">
        <v>743</v>
      </c>
      <c r="I124" s="2710"/>
    </row>
    <row r="125" spans="1:9" ht="27" customHeight="1" x14ac:dyDescent="0.2">
      <c r="A125" s="6"/>
      <c r="B125" s="6"/>
      <c r="D125" s="1935"/>
      <c r="E125" s="6"/>
      <c r="F125" s="6"/>
      <c r="G125" s="6"/>
      <c r="H125" s="2537" t="s">
        <v>1188</v>
      </c>
      <c r="I125" s="2538"/>
    </row>
    <row r="126" spans="1:9" ht="27" customHeight="1" x14ac:dyDescent="0.2">
      <c r="A126" s="6"/>
      <c r="B126" s="6"/>
      <c r="D126" s="1935"/>
      <c r="E126" s="6"/>
      <c r="F126" s="6"/>
      <c r="G126" s="6"/>
      <c r="H126" s="2531" t="s">
        <v>744</v>
      </c>
      <c r="I126" s="2532"/>
    </row>
    <row r="127" spans="1:9" ht="27" customHeight="1" x14ac:dyDescent="0.2">
      <c r="A127" s="6"/>
      <c r="B127" s="6"/>
      <c r="D127" s="1935"/>
      <c r="E127" s="6"/>
      <c r="F127" s="6"/>
      <c r="G127" s="6"/>
      <c r="H127" s="2531" t="s">
        <v>1717</v>
      </c>
      <c r="I127" s="2532"/>
    </row>
    <row r="128" spans="1:9" ht="27" customHeight="1" x14ac:dyDescent="0.2">
      <c r="A128" s="6"/>
      <c r="B128" s="6"/>
      <c r="D128" s="1935"/>
      <c r="E128" s="6"/>
      <c r="F128" s="6"/>
      <c r="G128" s="6"/>
      <c r="H128" s="2531" t="s">
        <v>745</v>
      </c>
      <c r="I128" s="2532"/>
    </row>
    <row r="129" spans="1:9" ht="27" customHeight="1" x14ac:dyDescent="0.2">
      <c r="A129" s="6"/>
      <c r="B129" s="6"/>
      <c r="D129" s="1935"/>
      <c r="E129" s="6"/>
      <c r="F129" s="6"/>
      <c r="G129" s="6"/>
      <c r="H129" s="2531" t="s">
        <v>746</v>
      </c>
      <c r="I129" s="2532"/>
    </row>
    <row r="130" spans="1:9" ht="27" customHeight="1" x14ac:dyDescent="0.2">
      <c r="A130" s="6"/>
      <c r="B130" s="6"/>
      <c r="D130" s="1935"/>
      <c r="E130" s="6"/>
      <c r="F130" s="6"/>
      <c r="G130" s="6"/>
      <c r="H130" s="2531" t="s">
        <v>747</v>
      </c>
      <c r="I130" s="2532"/>
    </row>
    <row r="131" spans="1:9" ht="42" customHeight="1" x14ac:dyDescent="0.2">
      <c r="A131" s="6"/>
      <c r="B131" s="6"/>
      <c r="D131" s="1935"/>
      <c r="E131" s="6"/>
      <c r="F131" s="6"/>
      <c r="G131" s="6"/>
      <c r="H131" s="2537" t="s">
        <v>748</v>
      </c>
      <c r="I131" s="2538"/>
    </row>
    <row r="132" spans="1:9" ht="57" customHeight="1" x14ac:dyDescent="0.2">
      <c r="A132" s="6"/>
      <c r="B132" s="6"/>
      <c r="D132" s="1935"/>
      <c r="E132" s="6"/>
      <c r="F132" s="6"/>
      <c r="G132" s="6"/>
      <c r="H132" s="2531" t="s">
        <v>749</v>
      </c>
      <c r="I132" s="2532"/>
    </row>
    <row r="133" spans="1:9" ht="42" customHeight="1" x14ac:dyDescent="0.2">
      <c r="A133" s="6"/>
      <c r="B133" s="6"/>
      <c r="D133" s="1935"/>
      <c r="E133" s="6"/>
      <c r="F133" s="6"/>
      <c r="G133" s="6"/>
      <c r="H133" s="2531" t="s">
        <v>750</v>
      </c>
      <c r="I133" s="2532"/>
    </row>
    <row r="134" spans="1:9" ht="42" customHeight="1" x14ac:dyDescent="0.2">
      <c r="A134" s="6"/>
      <c r="B134" s="6"/>
      <c r="D134" s="1935"/>
      <c r="E134" s="6"/>
      <c r="F134" s="6"/>
      <c r="G134" s="6"/>
      <c r="H134" s="2701" t="s">
        <v>1508</v>
      </c>
      <c r="I134" s="2702"/>
    </row>
    <row r="135" spans="1:9" ht="27" customHeight="1" x14ac:dyDescent="0.2">
      <c r="A135" s="6"/>
      <c r="B135" s="6"/>
      <c r="D135" s="1935"/>
      <c r="E135" s="6"/>
      <c r="F135" s="6"/>
      <c r="G135" s="6"/>
      <c r="H135" s="2531" t="s">
        <v>751</v>
      </c>
      <c r="I135" s="2532"/>
    </row>
    <row r="136" spans="1:9" ht="57" customHeight="1" x14ac:dyDescent="0.2">
      <c r="A136" s="6"/>
      <c r="B136" s="6"/>
      <c r="D136" s="1935"/>
      <c r="E136" s="6"/>
      <c r="F136" s="6"/>
      <c r="G136" s="6"/>
      <c r="H136" s="2531" t="s">
        <v>752</v>
      </c>
      <c r="I136" s="2532"/>
    </row>
    <row r="137" spans="1:9" ht="27" customHeight="1" x14ac:dyDescent="0.2">
      <c r="A137" s="6"/>
      <c r="B137" s="6"/>
      <c r="D137" s="1935"/>
      <c r="E137" s="6"/>
      <c r="F137" s="6"/>
      <c r="G137" s="6"/>
      <c r="H137" s="2531" t="s">
        <v>753</v>
      </c>
      <c r="I137" s="2532"/>
    </row>
    <row r="138" spans="1:9" ht="27" customHeight="1" x14ac:dyDescent="0.2">
      <c r="A138" s="6"/>
      <c r="B138" s="6"/>
      <c r="D138" s="1935"/>
      <c r="E138" s="6"/>
      <c r="F138" s="6"/>
      <c r="G138" s="6"/>
      <c r="H138" s="2531" t="s">
        <v>754</v>
      </c>
      <c r="I138" s="2532"/>
    </row>
    <row r="139" spans="1:9" ht="27" customHeight="1" x14ac:dyDescent="0.2">
      <c r="A139" s="6"/>
      <c r="B139" s="6"/>
      <c r="D139" s="1935"/>
      <c r="E139" s="6"/>
      <c r="F139" s="6"/>
      <c r="G139" s="6"/>
      <c r="H139" s="2531" t="s">
        <v>755</v>
      </c>
      <c r="I139" s="2532"/>
    </row>
    <row r="140" spans="1:9" ht="42" customHeight="1" x14ac:dyDescent="0.2">
      <c r="A140" s="6"/>
      <c r="B140" s="6"/>
      <c r="D140" s="1935"/>
      <c r="E140" s="6"/>
      <c r="F140" s="6"/>
      <c r="G140" s="6"/>
      <c r="H140" s="2537" t="s">
        <v>756</v>
      </c>
      <c r="I140" s="2538"/>
    </row>
    <row r="141" spans="1:9" ht="42" customHeight="1" x14ac:dyDescent="0.2">
      <c r="A141" s="6"/>
      <c r="B141" s="6"/>
      <c r="D141" s="1935"/>
      <c r="E141" s="6"/>
      <c r="F141" s="6"/>
      <c r="G141" s="6"/>
      <c r="H141" s="2531" t="s">
        <v>757</v>
      </c>
      <c r="I141" s="2532"/>
    </row>
    <row r="142" spans="1:9" ht="27" customHeight="1" x14ac:dyDescent="0.2">
      <c r="A142" s="6"/>
      <c r="B142" s="6"/>
      <c r="D142" s="1935"/>
      <c r="E142" s="6"/>
      <c r="F142" s="6"/>
      <c r="G142" s="6"/>
      <c r="H142" s="2531" t="s">
        <v>1096</v>
      </c>
      <c r="I142" s="2532"/>
    </row>
    <row r="143" spans="1:9" ht="42" customHeight="1" x14ac:dyDescent="0.2">
      <c r="A143" s="6"/>
      <c r="B143" s="6"/>
      <c r="D143" s="1935"/>
      <c r="E143" s="6"/>
      <c r="F143" s="6"/>
      <c r="G143" s="6"/>
      <c r="H143" s="2531" t="s">
        <v>759</v>
      </c>
      <c r="I143" s="2532"/>
    </row>
    <row r="144" spans="1:9" ht="42" customHeight="1" x14ac:dyDescent="0.2">
      <c r="A144" s="6"/>
      <c r="B144" s="6"/>
      <c r="D144" s="1935"/>
      <c r="E144" s="6"/>
      <c r="F144" s="6"/>
      <c r="G144" s="6"/>
      <c r="H144" s="2537" t="s">
        <v>760</v>
      </c>
      <c r="I144" s="2538"/>
    </row>
    <row r="145" spans="1:9" ht="27" customHeight="1" x14ac:dyDescent="0.2">
      <c r="A145" s="6"/>
      <c r="B145" s="6"/>
      <c r="D145" s="1935"/>
      <c r="E145" s="6"/>
      <c r="F145" s="6"/>
      <c r="G145" s="6"/>
      <c r="H145" s="2531" t="s">
        <v>761</v>
      </c>
      <c r="I145" s="2532"/>
    </row>
    <row r="146" spans="1:9" ht="42" customHeight="1" x14ac:dyDescent="0.2">
      <c r="A146" s="6"/>
      <c r="B146" s="6"/>
      <c r="D146" s="1935"/>
      <c r="E146" s="6"/>
      <c r="F146" s="6"/>
      <c r="G146" s="6"/>
      <c r="H146" s="2531" t="s">
        <v>762</v>
      </c>
      <c r="I146" s="2532"/>
    </row>
    <row r="147" spans="1:9" ht="54" customHeight="1" x14ac:dyDescent="0.2">
      <c r="A147" s="6"/>
      <c r="B147" s="6"/>
      <c r="D147" s="1935"/>
      <c r="E147" s="6"/>
      <c r="F147" s="6"/>
      <c r="G147" s="6"/>
      <c r="H147" s="2531" t="s">
        <v>763</v>
      </c>
      <c r="I147" s="2532"/>
    </row>
    <row r="148" spans="1:9" ht="27" customHeight="1" x14ac:dyDescent="0.2">
      <c r="A148" s="6"/>
      <c r="B148" s="6"/>
      <c r="D148" s="1935"/>
      <c r="E148" s="6"/>
      <c r="F148" s="6"/>
      <c r="G148" s="6"/>
      <c r="H148" s="2531" t="s">
        <v>1718</v>
      </c>
      <c r="I148" s="2532"/>
    </row>
    <row r="149" spans="1:9" ht="27" customHeight="1" x14ac:dyDescent="0.2">
      <c r="A149" s="6"/>
      <c r="B149" s="6"/>
      <c r="D149" s="1935"/>
      <c r="E149" s="6"/>
      <c r="F149" s="6"/>
      <c r="G149" s="6"/>
      <c r="H149" s="2531" t="s">
        <v>764</v>
      </c>
      <c r="I149" s="2532"/>
    </row>
    <row r="150" spans="1:9" ht="42" customHeight="1" x14ac:dyDescent="0.2">
      <c r="A150" s="6"/>
      <c r="B150" s="6"/>
      <c r="D150" s="1935"/>
      <c r="E150" s="6"/>
      <c r="F150" s="6"/>
      <c r="G150" s="6"/>
      <c r="H150" s="2531" t="s">
        <v>765</v>
      </c>
      <c r="I150" s="2532"/>
    </row>
    <row r="151" spans="1:9" ht="42" customHeight="1" x14ac:dyDescent="0.2">
      <c r="A151" s="6"/>
      <c r="B151" s="6"/>
      <c r="D151" s="1935"/>
      <c r="E151" s="6"/>
      <c r="F151" s="6"/>
      <c r="G151" s="6"/>
      <c r="H151" s="2537" t="s">
        <v>766</v>
      </c>
      <c r="I151" s="2538"/>
    </row>
    <row r="152" spans="1:9" ht="27" customHeight="1" x14ac:dyDescent="0.2">
      <c r="A152" s="6"/>
      <c r="B152" s="6"/>
      <c r="D152" s="1935"/>
      <c r="E152" s="6"/>
      <c r="F152" s="6"/>
      <c r="G152" s="6"/>
      <c r="H152" s="2537" t="s">
        <v>767</v>
      </c>
      <c r="I152" s="2538"/>
    </row>
    <row r="153" spans="1:9" ht="27" customHeight="1" x14ac:dyDescent="0.2">
      <c r="A153" s="6"/>
      <c r="B153" s="6"/>
      <c r="D153" s="1935"/>
      <c r="E153" s="6"/>
      <c r="F153" s="6"/>
      <c r="G153" s="6"/>
      <c r="H153" s="2535" t="s">
        <v>1511</v>
      </c>
      <c r="I153" s="2536"/>
    </row>
    <row r="154" spans="1:9" ht="42" customHeight="1" x14ac:dyDescent="0.2">
      <c r="A154" s="6"/>
      <c r="B154" s="6"/>
      <c r="D154" s="1935"/>
      <c r="E154" s="6"/>
      <c r="F154" s="6"/>
      <c r="G154" s="6"/>
      <c r="H154" s="2537" t="s">
        <v>768</v>
      </c>
      <c r="I154" s="2538"/>
    </row>
    <row r="155" spans="1:9" ht="42" customHeight="1" x14ac:dyDescent="0.2">
      <c r="A155" s="6"/>
      <c r="B155" s="6"/>
      <c r="D155" s="1935"/>
      <c r="E155" s="6"/>
      <c r="F155" s="6"/>
      <c r="G155" s="6"/>
      <c r="H155" s="2531" t="s">
        <v>769</v>
      </c>
      <c r="I155" s="2532"/>
    </row>
    <row r="156" spans="1:9" ht="27" customHeight="1" x14ac:dyDescent="0.2">
      <c r="A156" s="6"/>
      <c r="B156" s="6"/>
      <c r="D156" s="1935"/>
      <c r="E156" s="6"/>
      <c r="F156" s="6"/>
      <c r="G156" s="6"/>
      <c r="H156" s="2531" t="s">
        <v>770</v>
      </c>
      <c r="I156" s="2532"/>
    </row>
    <row r="157" spans="1:9" ht="42" customHeight="1" x14ac:dyDescent="0.2">
      <c r="A157" s="6"/>
      <c r="B157" s="6"/>
      <c r="D157" s="1935"/>
      <c r="E157" s="6"/>
      <c r="F157" s="6"/>
      <c r="G157" s="6"/>
      <c r="H157" s="2535" t="s">
        <v>1510</v>
      </c>
      <c r="I157" s="2536"/>
    </row>
    <row r="158" spans="1:9" ht="42" customHeight="1" x14ac:dyDescent="0.2">
      <c r="A158" s="6"/>
      <c r="B158" s="6"/>
      <c r="D158" s="1935"/>
      <c r="E158" s="6"/>
      <c r="F158" s="6"/>
      <c r="G158" s="6"/>
      <c r="H158" s="2531" t="s">
        <v>771</v>
      </c>
      <c r="I158" s="2532"/>
    </row>
    <row r="159" spans="1:9" ht="84" customHeight="1" x14ac:dyDescent="0.2">
      <c r="A159" s="6"/>
      <c r="B159" s="6"/>
      <c r="D159" s="1935"/>
      <c r="E159" s="6"/>
      <c r="F159" s="6"/>
      <c r="G159" s="6"/>
      <c r="H159" s="2531" t="s">
        <v>1223</v>
      </c>
      <c r="I159" s="2532"/>
    </row>
    <row r="160" spans="1:9" ht="27" customHeight="1" x14ac:dyDescent="0.2">
      <c r="A160" s="6"/>
      <c r="B160" s="6"/>
      <c r="D160" s="1935"/>
      <c r="E160" s="6"/>
      <c r="F160" s="6"/>
      <c r="G160" s="6"/>
      <c r="H160" s="2531" t="s">
        <v>772</v>
      </c>
      <c r="I160" s="2532"/>
    </row>
    <row r="161" spans="1:9" ht="27" customHeight="1" x14ac:dyDescent="0.2">
      <c r="A161" s="6"/>
      <c r="B161" s="6"/>
      <c r="D161" s="1935"/>
      <c r="E161" s="6"/>
      <c r="F161" s="6"/>
      <c r="G161" s="6"/>
      <c r="H161" s="2531" t="s">
        <v>773</v>
      </c>
      <c r="I161" s="2532"/>
    </row>
    <row r="162" spans="1:9" ht="27" customHeight="1" x14ac:dyDescent="0.2">
      <c r="A162" s="6"/>
      <c r="B162" s="6"/>
      <c r="D162" s="1935"/>
      <c r="E162" s="6"/>
      <c r="F162" s="6"/>
      <c r="G162" s="6"/>
      <c r="H162" s="2531" t="s">
        <v>1453</v>
      </c>
      <c r="I162" s="2532"/>
    </row>
    <row r="163" spans="1:9" ht="27" customHeight="1" x14ac:dyDescent="0.2">
      <c r="A163" s="6"/>
      <c r="B163" s="6"/>
      <c r="D163" s="1935"/>
      <c r="E163" s="6"/>
      <c r="F163" s="6"/>
      <c r="G163" s="6"/>
      <c r="H163" s="2537" t="s">
        <v>774</v>
      </c>
      <c r="I163" s="2538"/>
    </row>
    <row r="164" spans="1:9" ht="27" customHeight="1" x14ac:dyDescent="0.2">
      <c r="A164" s="6"/>
      <c r="B164" s="6"/>
      <c r="D164" s="1935"/>
      <c r="E164" s="6"/>
      <c r="F164" s="6"/>
      <c r="G164" s="6"/>
      <c r="H164" s="2531" t="s">
        <v>775</v>
      </c>
      <c r="I164" s="2532"/>
    </row>
    <row r="165" spans="1:9" ht="27" customHeight="1" x14ac:dyDescent="0.2">
      <c r="A165" s="6"/>
      <c r="B165" s="6"/>
      <c r="D165" s="1935"/>
      <c r="E165" s="6"/>
      <c r="F165" s="6"/>
      <c r="G165" s="6"/>
      <c r="H165" s="2531" t="s">
        <v>776</v>
      </c>
      <c r="I165" s="2532"/>
    </row>
    <row r="166" spans="1:9" ht="42" customHeight="1" x14ac:dyDescent="0.2">
      <c r="A166" s="6"/>
      <c r="B166" s="6"/>
      <c r="D166" s="1935"/>
      <c r="E166" s="6"/>
      <c r="F166" s="6"/>
      <c r="G166" s="6"/>
      <c r="H166" s="2531" t="s">
        <v>777</v>
      </c>
      <c r="I166" s="2532"/>
    </row>
    <row r="167" spans="1:9" ht="27" customHeight="1" x14ac:dyDescent="0.2">
      <c r="A167" s="6"/>
      <c r="B167" s="6"/>
      <c r="D167" s="1935"/>
      <c r="E167" s="6"/>
      <c r="F167" s="6"/>
      <c r="G167" s="6"/>
      <c r="H167" s="2531" t="s">
        <v>778</v>
      </c>
      <c r="I167" s="2532"/>
    </row>
    <row r="168" spans="1:9" ht="27" customHeight="1" x14ac:dyDescent="0.2">
      <c r="A168" s="6"/>
      <c r="B168" s="6"/>
      <c r="D168" s="1935"/>
      <c r="E168" s="6"/>
      <c r="F168" s="6"/>
      <c r="G168" s="6"/>
      <c r="H168" s="2531" t="s">
        <v>779</v>
      </c>
      <c r="I168" s="2532"/>
    </row>
    <row r="169" spans="1:9" ht="27" customHeight="1" x14ac:dyDescent="0.2">
      <c r="A169" s="6"/>
      <c r="B169" s="6"/>
      <c r="D169" s="1935"/>
      <c r="E169" s="6"/>
      <c r="F169" s="6"/>
      <c r="G169" s="6"/>
      <c r="H169" s="2531" t="s">
        <v>780</v>
      </c>
      <c r="I169" s="2532"/>
    </row>
    <row r="170" spans="1:9" ht="42" customHeight="1" x14ac:dyDescent="0.2">
      <c r="A170" s="6"/>
      <c r="B170" s="6"/>
      <c r="D170" s="1935"/>
      <c r="E170" s="6"/>
      <c r="F170" s="6"/>
      <c r="G170" s="6"/>
      <c r="H170" s="2537" t="s">
        <v>781</v>
      </c>
      <c r="I170" s="2538"/>
    </row>
    <row r="171" spans="1:9" ht="84" customHeight="1" x14ac:dyDescent="0.2">
      <c r="A171" s="6"/>
      <c r="B171" s="6"/>
      <c r="D171" s="1935"/>
      <c r="E171" s="6"/>
      <c r="F171" s="6"/>
      <c r="G171" s="6"/>
      <c r="H171" s="2537" t="s">
        <v>782</v>
      </c>
      <c r="I171" s="2538"/>
    </row>
    <row r="172" spans="1:9" ht="27" customHeight="1" x14ac:dyDescent="0.2">
      <c r="A172" s="6"/>
      <c r="B172" s="6"/>
      <c r="D172" s="1935"/>
      <c r="E172" s="6"/>
      <c r="F172" s="6"/>
      <c r="G172" s="6"/>
      <c r="H172" s="2537" t="s">
        <v>783</v>
      </c>
      <c r="I172" s="2538"/>
    </row>
    <row r="173" spans="1:9" ht="27" customHeight="1" x14ac:dyDescent="0.2">
      <c r="A173" s="6"/>
      <c r="B173" s="6"/>
      <c r="D173" s="1935"/>
      <c r="E173" s="6"/>
      <c r="F173" s="6"/>
      <c r="G173" s="6"/>
      <c r="H173" s="2531" t="s">
        <v>784</v>
      </c>
      <c r="I173" s="2532"/>
    </row>
    <row r="174" spans="1:9" ht="27" customHeight="1" x14ac:dyDescent="0.2">
      <c r="A174" s="6"/>
      <c r="B174" s="6"/>
      <c r="D174" s="1935"/>
      <c r="E174" s="6"/>
      <c r="F174" s="6"/>
      <c r="G174" s="6"/>
      <c r="H174" s="2531" t="s">
        <v>785</v>
      </c>
      <c r="I174" s="2532"/>
    </row>
    <row r="175" spans="1:9" ht="27" customHeight="1" x14ac:dyDescent="0.2">
      <c r="A175" s="6"/>
      <c r="B175" s="6"/>
      <c r="D175" s="1935"/>
      <c r="E175" s="6"/>
      <c r="F175" s="6"/>
      <c r="G175" s="6"/>
      <c r="H175" s="2531" t="s">
        <v>786</v>
      </c>
      <c r="I175" s="2532"/>
    </row>
    <row r="176" spans="1:9" ht="27" customHeight="1" x14ac:dyDescent="0.2">
      <c r="A176" s="6"/>
      <c r="B176" s="6"/>
      <c r="D176" s="1935"/>
      <c r="E176" s="6"/>
      <c r="F176" s="6"/>
      <c r="G176" s="6"/>
      <c r="H176" s="2531" t="s">
        <v>787</v>
      </c>
      <c r="I176" s="2532"/>
    </row>
    <row r="177" spans="1:9" ht="27" customHeight="1" x14ac:dyDescent="0.2">
      <c r="A177" s="6"/>
      <c r="B177" s="6"/>
      <c r="D177" s="1935"/>
      <c r="E177" s="6"/>
      <c r="F177" s="6"/>
      <c r="G177" s="6"/>
      <c r="H177" s="2531" t="s">
        <v>1719</v>
      </c>
      <c r="I177" s="2532"/>
    </row>
    <row r="178" spans="1:9" ht="42" customHeight="1" x14ac:dyDescent="0.2">
      <c r="A178" s="6"/>
      <c r="B178" s="6"/>
      <c r="D178" s="1935"/>
      <c r="E178" s="6"/>
      <c r="F178" s="6"/>
      <c r="G178" s="6"/>
      <c r="H178" s="2531" t="s">
        <v>788</v>
      </c>
      <c r="I178" s="2532"/>
    </row>
    <row r="179" spans="1:9" ht="27" customHeight="1" x14ac:dyDescent="0.2">
      <c r="A179" s="6"/>
      <c r="B179" s="6"/>
      <c r="D179" s="1935"/>
      <c r="E179" s="6"/>
      <c r="F179" s="6"/>
      <c r="G179" s="6"/>
      <c r="H179" s="2531" t="s">
        <v>789</v>
      </c>
      <c r="I179" s="2532"/>
    </row>
    <row r="180" spans="1:9" ht="42" customHeight="1" x14ac:dyDescent="0.2">
      <c r="A180" s="6"/>
      <c r="B180" s="6"/>
      <c r="D180" s="1935"/>
      <c r="E180" s="6"/>
      <c r="F180" s="6"/>
      <c r="G180" s="6"/>
      <c r="H180" s="2531" t="s">
        <v>790</v>
      </c>
      <c r="I180" s="2532"/>
    </row>
    <row r="181" spans="1:9" ht="27" customHeight="1" thickBot="1" x14ac:dyDescent="0.25">
      <c r="A181" s="6"/>
      <c r="B181" s="6"/>
      <c r="D181" s="1935"/>
      <c r="E181" s="6"/>
      <c r="F181" s="6"/>
      <c r="G181" s="6"/>
      <c r="H181" s="2533" t="s">
        <v>791</v>
      </c>
      <c r="I181" s="2534"/>
    </row>
    <row r="182" spans="1:9" ht="27" customHeight="1" x14ac:dyDescent="0.2">
      <c r="A182" s="6"/>
      <c r="B182" s="6"/>
      <c r="D182" s="1935"/>
      <c r="E182" s="6"/>
      <c r="F182" s="6"/>
      <c r="G182" s="6"/>
      <c r="H182" s="1095"/>
      <c r="I182" s="6"/>
    </row>
    <row r="183" spans="1:9" ht="27" customHeight="1" x14ac:dyDescent="0.2">
      <c r="A183" s="6"/>
      <c r="B183" s="6"/>
      <c r="D183" s="1935"/>
      <c r="E183" s="6"/>
      <c r="F183" s="6"/>
      <c r="G183" s="6"/>
      <c r="H183" s="1095"/>
      <c r="I183" s="6"/>
    </row>
    <row r="184" spans="1:9" ht="27" customHeight="1" x14ac:dyDescent="0.2">
      <c r="A184" s="6"/>
      <c r="B184" s="6"/>
      <c r="D184" s="1935"/>
      <c r="E184" s="6"/>
      <c r="F184" s="6"/>
      <c r="G184" s="6"/>
      <c r="H184" s="1072"/>
      <c r="I184" s="6"/>
    </row>
    <row r="185" spans="1:9" ht="27" customHeight="1" x14ac:dyDescent="0.2">
      <c r="A185" s="6"/>
      <c r="B185" s="6"/>
      <c r="D185" s="1935"/>
      <c r="E185" s="6"/>
      <c r="F185" s="6"/>
      <c r="G185" s="6"/>
      <c r="I185" s="6"/>
    </row>
    <row r="186" spans="1:9" ht="27" customHeight="1" x14ac:dyDescent="0.2">
      <c r="A186" s="6"/>
      <c r="B186" s="6"/>
      <c r="D186" s="1935"/>
      <c r="E186" s="6"/>
      <c r="F186" s="6"/>
      <c r="G186" s="6"/>
      <c r="I186" s="6"/>
    </row>
    <row r="187" spans="1:9" x14ac:dyDescent="0.2">
      <c r="A187" s="6"/>
      <c r="B187" s="6"/>
      <c r="D187" s="1935"/>
      <c r="E187" s="6"/>
      <c r="F187" s="6"/>
      <c r="G187" s="6"/>
      <c r="I187" s="6"/>
    </row>
    <row r="188" spans="1:9" ht="26.45" customHeight="1" x14ac:dyDescent="0.2">
      <c r="I188" s="6"/>
    </row>
  </sheetData>
  <sheetProtection algorithmName="SHA-512" hashValue="lWNYeCFu7mrRfrTLq96iWbrEoThq40O0kYqNGmQ8q3iqLHv4qLdgdXr3nKVTMWbNPKb+4QMeA4NtDaUMkXFLbg==" saltValue="1+DIh7jo8yY4B8ki6vo+Cg==" spinCount="100000" sheet="1" formatCells="0" formatColumns="0" formatRows="0"/>
  <customSheetViews>
    <customSheetView guid="{B8E02330-2419-4DE6-AD01-7ACC7A5D18DD}" scale="75" topLeftCell="A88">
      <selection activeCell="C98" sqref="C98"/>
      <pageMargins left="0.75" right="0.75" top="1" bottom="1" header="0.5" footer="0.5"/>
      <pageSetup orientation="portrait" r:id="rId1"/>
      <headerFooter alignWithMargins="0"/>
    </customSheetView>
  </customSheetViews>
  <mergeCells count="145">
    <mergeCell ref="H21:H26"/>
    <mergeCell ref="H92:H95"/>
    <mergeCell ref="E1:I1"/>
    <mergeCell ref="B68:B74"/>
    <mergeCell ref="A1:B1"/>
    <mergeCell ref="B21:B26"/>
    <mergeCell ref="I4:I10"/>
    <mergeCell ref="I12:I20"/>
    <mergeCell ref="I21:I26"/>
    <mergeCell ref="I27:I32"/>
    <mergeCell ref="I33:I37"/>
    <mergeCell ref="I62:I67"/>
    <mergeCell ref="I38:I43"/>
    <mergeCell ref="A12:A20"/>
    <mergeCell ref="A33:A37"/>
    <mergeCell ref="A21:A26"/>
    <mergeCell ref="A4:A10"/>
    <mergeCell ref="H27:H32"/>
    <mergeCell ref="A68:A74"/>
    <mergeCell ref="I50:I55"/>
    <mergeCell ref="B12:B20"/>
    <mergeCell ref="B4:B10"/>
    <mergeCell ref="A62:A67"/>
    <mergeCell ref="H44:H49"/>
    <mergeCell ref="H38:H43"/>
    <mergeCell ref="H88:H91"/>
    <mergeCell ref="H82:H87"/>
    <mergeCell ref="H50:H55"/>
    <mergeCell ref="H68:H74"/>
    <mergeCell ref="H75:H81"/>
    <mergeCell ref="B88:B91"/>
    <mergeCell ref="H56:H61"/>
    <mergeCell ref="B50:B55"/>
    <mergeCell ref="B56:B61"/>
    <mergeCell ref="H12:H20"/>
    <mergeCell ref="H4:H10"/>
    <mergeCell ref="A108:A112"/>
    <mergeCell ref="A44:A49"/>
    <mergeCell ref="A88:A91"/>
    <mergeCell ref="A92:A95"/>
    <mergeCell ref="B82:B87"/>
    <mergeCell ref="A82:A87"/>
    <mergeCell ref="B38:B43"/>
    <mergeCell ref="A56:A61"/>
    <mergeCell ref="B75:B81"/>
    <mergeCell ref="B44:B49"/>
    <mergeCell ref="A75:A81"/>
    <mergeCell ref="A50:A55"/>
    <mergeCell ref="A38:A43"/>
    <mergeCell ref="A96:A100"/>
    <mergeCell ref="H62:H67"/>
    <mergeCell ref="A101:A107"/>
    <mergeCell ref="B101:B107"/>
    <mergeCell ref="B33:B37"/>
    <mergeCell ref="B96:B100"/>
    <mergeCell ref="H96:H100"/>
    <mergeCell ref="B62:B67"/>
    <mergeCell ref="B92:B95"/>
    <mergeCell ref="A119:B121"/>
    <mergeCell ref="D115:F115"/>
    <mergeCell ref="A115:C118"/>
    <mergeCell ref="A27:A32"/>
    <mergeCell ref="B27:B32"/>
    <mergeCell ref="B108:B112"/>
    <mergeCell ref="C121:E121"/>
    <mergeCell ref="H101:H107"/>
    <mergeCell ref="D117:F117"/>
    <mergeCell ref="D118:F118"/>
    <mergeCell ref="C120:E120"/>
    <mergeCell ref="D116:F116"/>
    <mergeCell ref="H108:H112"/>
    <mergeCell ref="C119:H119"/>
    <mergeCell ref="H120:I120"/>
    <mergeCell ref="H121:I121"/>
    <mergeCell ref="A114:H114"/>
    <mergeCell ref="H33:H37"/>
    <mergeCell ref="I82:I87"/>
    <mergeCell ref="I88:I91"/>
    <mergeCell ref="I92:I95"/>
    <mergeCell ref="I101:I107"/>
    <mergeCell ref="I108:I112"/>
    <mergeCell ref="I44:I49"/>
    <mergeCell ref="I56:I61"/>
    <mergeCell ref="I68:I74"/>
    <mergeCell ref="I75:I81"/>
    <mergeCell ref="H128:I128"/>
    <mergeCell ref="I96:I100"/>
    <mergeCell ref="H129:I129"/>
    <mergeCell ref="H130:I130"/>
    <mergeCell ref="H131:I131"/>
    <mergeCell ref="H132:I132"/>
    <mergeCell ref="H123:I123"/>
    <mergeCell ref="H124:I124"/>
    <mergeCell ref="H125:I125"/>
    <mergeCell ref="H126:I126"/>
    <mergeCell ref="H127:I127"/>
    <mergeCell ref="H138:I138"/>
    <mergeCell ref="H139:I139"/>
    <mergeCell ref="H140:I140"/>
    <mergeCell ref="H141:I141"/>
    <mergeCell ref="H142:I142"/>
    <mergeCell ref="H133:I133"/>
    <mergeCell ref="H134:I134"/>
    <mergeCell ref="H135:I135"/>
    <mergeCell ref="H136:I136"/>
    <mergeCell ref="H137:I137"/>
    <mergeCell ref="H148:I148"/>
    <mergeCell ref="H149:I149"/>
    <mergeCell ref="H150:I150"/>
    <mergeCell ref="H151:I151"/>
    <mergeCell ref="H152:I152"/>
    <mergeCell ref="H143:I143"/>
    <mergeCell ref="H144:I144"/>
    <mergeCell ref="H145:I145"/>
    <mergeCell ref="H146:I146"/>
    <mergeCell ref="H147:I147"/>
    <mergeCell ref="H158:I158"/>
    <mergeCell ref="H159:I159"/>
    <mergeCell ref="H160:I160"/>
    <mergeCell ref="H161:I161"/>
    <mergeCell ref="H162:I162"/>
    <mergeCell ref="H153:I153"/>
    <mergeCell ref="H154:I154"/>
    <mergeCell ref="H155:I155"/>
    <mergeCell ref="H156:I156"/>
    <mergeCell ref="H157:I157"/>
    <mergeCell ref="H168:I168"/>
    <mergeCell ref="H169:I169"/>
    <mergeCell ref="H170:I170"/>
    <mergeCell ref="H171:I171"/>
    <mergeCell ref="H172:I172"/>
    <mergeCell ref="H163:I163"/>
    <mergeCell ref="H164:I164"/>
    <mergeCell ref="H165:I165"/>
    <mergeCell ref="H166:I166"/>
    <mergeCell ref="H167:I167"/>
    <mergeCell ref="H178:I178"/>
    <mergeCell ref="H179:I179"/>
    <mergeCell ref="H180:I180"/>
    <mergeCell ref="H181:I181"/>
    <mergeCell ref="H173:I173"/>
    <mergeCell ref="H174:I174"/>
    <mergeCell ref="H175:I175"/>
    <mergeCell ref="H176:I176"/>
    <mergeCell ref="H177:I177"/>
  </mergeCells>
  <phoneticPr fontId="3" type="noConversion"/>
  <pageMargins left="0.75" right="0.75" top="1" bottom="1" header="0.5" footer="0.5"/>
  <pageSetup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3"/>
  <dimension ref="A1:J144"/>
  <sheetViews>
    <sheetView zoomScaleNormal="100" workbookViewId="0">
      <selection sqref="A1:B1"/>
    </sheetView>
  </sheetViews>
  <sheetFormatPr defaultColWidth="9.33203125" defaultRowHeight="16.5" x14ac:dyDescent="0.2"/>
  <cols>
    <col min="1" max="1" width="5.83203125" style="30" customWidth="1"/>
    <col min="2" max="2" width="18.83203125" style="6" customWidth="1"/>
    <col min="3" max="3" width="75.83203125" style="6" customWidth="1"/>
    <col min="4" max="6" width="7.83203125" style="117" customWidth="1"/>
    <col min="7" max="7" width="9.6640625" style="116" customWidth="1"/>
    <col min="8" max="8" width="64.83203125" style="7" customWidth="1"/>
    <col min="9" max="9" width="9.83203125" style="7" customWidth="1"/>
    <col min="10" max="10" width="9.33203125" style="106"/>
    <col min="11" max="16384" width="9.33203125" style="6"/>
  </cols>
  <sheetData>
    <row r="1" spans="1:10" s="2065" customFormat="1" ht="69" customHeight="1" thickBot="1" x14ac:dyDescent="0.25">
      <c r="A1" s="2584" t="s">
        <v>2431</v>
      </c>
      <c r="B1" s="2585"/>
      <c r="C1" s="2075" t="s">
        <v>2268</v>
      </c>
      <c r="D1" s="2074" t="s">
        <v>1068</v>
      </c>
      <c r="E1" s="2634"/>
      <c r="F1" s="2635"/>
      <c r="G1" s="2635"/>
      <c r="H1" s="2635"/>
      <c r="I1" s="2635"/>
      <c r="J1" s="378"/>
    </row>
    <row r="2" spans="1:10" s="106" customFormat="1" ht="36" customHeight="1" thickBot="1" x14ac:dyDescent="0.25">
      <c r="A2" s="1158" t="s">
        <v>88</v>
      </c>
      <c r="B2" s="1158" t="s">
        <v>1193</v>
      </c>
      <c r="C2" s="1196" t="s">
        <v>1165</v>
      </c>
      <c r="D2" s="1158" t="s">
        <v>45</v>
      </c>
      <c r="E2" s="1249" t="s">
        <v>1189</v>
      </c>
      <c r="F2" s="1250" t="s">
        <v>1190</v>
      </c>
      <c r="G2" s="1251" t="s">
        <v>2555</v>
      </c>
      <c r="H2" s="1158" t="s">
        <v>1118</v>
      </c>
      <c r="I2" s="1232" t="s">
        <v>2424</v>
      </c>
    </row>
    <row r="3" spans="1:10" ht="21" customHeight="1" thickBot="1" x14ac:dyDescent="0.25">
      <c r="A3" s="2741" t="str">
        <f>OF!A126</f>
        <v>OF26</v>
      </c>
      <c r="B3" s="2746" t="str">
        <f>OF!B126</f>
        <v>Internal Flow Distance (Path Length)</v>
      </c>
      <c r="C3" s="596" t="str">
        <f>OF!C126</f>
        <v xml:space="preserve">The horizontal flow distance from the wetland's inlet to outlet is: </v>
      </c>
      <c r="D3" s="299"/>
      <c r="E3" s="318"/>
      <c r="F3" s="302"/>
      <c r="G3" s="466">
        <f>MAX(F4:F9)/MAX(E4:E9)</f>
        <v>1</v>
      </c>
      <c r="H3" s="2323" t="s">
        <v>1005</v>
      </c>
      <c r="I3" s="2323" t="s">
        <v>1022</v>
      </c>
    </row>
    <row r="4" spans="1:10" ht="15" customHeight="1" x14ac:dyDescent="0.2">
      <c r="A4" s="2742"/>
      <c r="B4" s="2747"/>
      <c r="C4" s="1886" t="str">
        <f>OF!C127</f>
        <v>&lt;10 m.</v>
      </c>
      <c r="D4" s="215">
        <f>OF!D127</f>
        <v>0</v>
      </c>
      <c r="E4" s="316">
        <v>1</v>
      </c>
      <c r="F4" s="300">
        <f t="shared" ref="F4:F9" si="0">D4*E4</f>
        <v>0</v>
      </c>
      <c r="G4" s="549"/>
      <c r="H4" s="2324"/>
      <c r="I4" s="2324"/>
    </row>
    <row r="5" spans="1:10" ht="15" customHeight="1" x14ac:dyDescent="0.2">
      <c r="A5" s="2742"/>
      <c r="B5" s="2747"/>
      <c r="C5" s="1886" t="str">
        <f>OF!C128</f>
        <v>10 - 50 m.</v>
      </c>
      <c r="D5" s="215">
        <f>OF!D128</f>
        <v>0</v>
      </c>
      <c r="E5" s="316">
        <v>2</v>
      </c>
      <c r="F5" s="300">
        <f t="shared" si="0"/>
        <v>0</v>
      </c>
      <c r="G5" s="549"/>
      <c r="H5" s="2324"/>
      <c r="I5" s="2324"/>
    </row>
    <row r="6" spans="1:10" ht="15" customHeight="1" x14ac:dyDescent="0.2">
      <c r="A6" s="2742"/>
      <c r="B6" s="2747"/>
      <c r="C6" s="1886" t="str">
        <f>OF!C129</f>
        <v>50 - 100 m.</v>
      </c>
      <c r="D6" s="215">
        <f>OF!D129</f>
        <v>0</v>
      </c>
      <c r="E6" s="316">
        <v>3</v>
      </c>
      <c r="F6" s="300">
        <f t="shared" si="0"/>
        <v>0</v>
      </c>
      <c r="G6" s="549"/>
      <c r="H6" s="2324"/>
      <c r="I6" s="2324"/>
    </row>
    <row r="7" spans="1:10" ht="15" customHeight="1" x14ac:dyDescent="0.2">
      <c r="A7" s="2742"/>
      <c r="B7" s="2747"/>
      <c r="C7" s="1886" t="str">
        <f>OF!C130</f>
        <v>100 - 1000 m.</v>
      </c>
      <c r="D7" s="215">
        <f>OF!D130</f>
        <v>0</v>
      </c>
      <c r="E7" s="316">
        <v>4</v>
      </c>
      <c r="F7" s="300">
        <f t="shared" si="0"/>
        <v>0</v>
      </c>
      <c r="G7" s="549"/>
      <c r="H7" s="2324"/>
      <c r="I7" s="2324"/>
    </row>
    <row r="8" spans="1:10" ht="15" customHeight="1" x14ac:dyDescent="0.2">
      <c r="A8" s="2742"/>
      <c r="B8" s="2747"/>
      <c r="C8" s="1886" t="str">
        <f>OF!C131</f>
        <v>1- 2 km.</v>
      </c>
      <c r="D8" s="215">
        <f>OF!D131</f>
        <v>0</v>
      </c>
      <c r="E8" s="316">
        <v>5</v>
      </c>
      <c r="F8" s="300">
        <f t="shared" si="0"/>
        <v>0</v>
      </c>
      <c r="G8" s="549"/>
      <c r="H8" s="2324"/>
      <c r="I8" s="2324"/>
    </row>
    <row r="9" spans="1:10" ht="15" customHeight="1" thickBot="1" x14ac:dyDescent="0.25">
      <c r="A9" s="2743"/>
      <c r="B9" s="2748"/>
      <c r="C9" s="1887" t="str">
        <f>OF!C132</f>
        <v>&gt;2 km, or wetland lacks an inlet and outlet.</v>
      </c>
      <c r="D9" s="241">
        <f>OF!D132</f>
        <v>1</v>
      </c>
      <c r="E9" s="317">
        <v>7</v>
      </c>
      <c r="F9" s="301">
        <f t="shared" si="0"/>
        <v>7</v>
      </c>
      <c r="G9" s="550"/>
      <c r="H9" s="2325"/>
      <c r="I9" s="2325"/>
    </row>
    <row r="10" spans="1:10" ht="114" customHeight="1" thickBot="1" x14ac:dyDescent="0.25">
      <c r="A10" s="1584" t="str">
        <f>OF!A133</f>
        <v>OF27</v>
      </c>
      <c r="B10" s="113" t="str">
        <f>OF!B133</f>
        <v>Growing Degree Days</v>
      </c>
      <c r="C10" s="1584" t="str">
        <f>OF!C133</f>
        <v>In Google Earth, open the KMZ file that accompanies this calculator, called NB-PEI_GrowingDegreeDays. Place your cursor over the AA and left-click. From the pop-up, enter the GRIDCODE in the next column.</v>
      </c>
      <c r="D10" s="2066">
        <f>OF!D133</f>
        <v>2135</v>
      </c>
      <c r="E10" s="1585"/>
      <c r="F10" s="521"/>
      <c r="G10" s="502">
        <f>IF((GrowD&lt;1),"",(GrowD-1305)/1328)</f>
        <v>0.625</v>
      </c>
      <c r="H10" s="73" t="s">
        <v>1454</v>
      </c>
      <c r="I10" s="1567" t="s">
        <v>1021</v>
      </c>
    </row>
    <row r="11" spans="1:10" ht="21" customHeight="1" thickBot="1" x14ac:dyDescent="0.25">
      <c r="A11" s="2745" t="str">
        <f>F!A4</f>
        <v>F1</v>
      </c>
      <c r="B11" s="2323" t="str">
        <f>F!B4</f>
        <v>Wetland Type</v>
      </c>
      <c r="C11" s="4" t="str">
        <f>F!C4</f>
        <v>Follow the key below and mark the ONE row that best describes MOST of the vegetated part of the AA:</v>
      </c>
      <c r="D11" s="318"/>
      <c r="E11" s="299"/>
      <c r="F11" s="299"/>
      <c r="G11" s="466">
        <f>MAX(F12:F17)/MAX(E12:E17)</f>
        <v>0.75</v>
      </c>
      <c r="H11" s="2324" t="s">
        <v>1778</v>
      </c>
      <c r="I11" s="2323" t="s">
        <v>1023</v>
      </c>
    </row>
    <row r="12" spans="1:10" ht="57" customHeight="1" thickBot="1" x14ac:dyDescent="0.25">
      <c r="A12" s="2745"/>
      <c r="B12" s="2324"/>
      <c r="C12" s="4"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12" s="316"/>
      <c r="E12" s="300"/>
      <c r="F12" s="300"/>
      <c r="G12" s="558"/>
      <c r="H12" s="2324"/>
      <c r="I12" s="2324"/>
    </row>
    <row r="13" spans="1:10" ht="76.5" x14ac:dyDescent="0.2">
      <c r="A13" s="2745"/>
      <c r="B13" s="2324"/>
      <c r="C13" s="27"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13" s="205">
        <f>F!D6</f>
        <v>0</v>
      </c>
      <c r="E13" s="300">
        <v>1</v>
      </c>
      <c r="F13" s="300">
        <f>D13*E13</f>
        <v>0</v>
      </c>
      <c r="G13" s="558"/>
      <c r="H13" s="2324"/>
      <c r="I13" s="2324"/>
    </row>
    <row r="14" spans="1:10" ht="57" customHeight="1" thickBot="1" x14ac:dyDescent="0.25">
      <c r="A14" s="2745"/>
      <c r="B14" s="2324"/>
      <c r="C14" s="366"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14" s="205">
        <f>F!D7</f>
        <v>0</v>
      </c>
      <c r="E14" s="300">
        <v>4</v>
      </c>
      <c r="F14" s="300">
        <f>D14*E14</f>
        <v>0</v>
      </c>
      <c r="G14" s="558"/>
      <c r="H14" s="2324"/>
      <c r="I14" s="2324"/>
    </row>
    <row r="15" spans="1:10" ht="30" customHeight="1" thickBot="1" x14ac:dyDescent="0.25">
      <c r="A15" s="2745"/>
      <c r="B15" s="2324"/>
      <c r="C15" s="4" t="str">
        <f>F!C8</f>
        <v>B. Moss and/or lichen cover less than 25% of the ground. Soil is mineral or decomposed organic (muck). Choose between B1 and B2 and mark the choice with a 1 in their adjoining column:</v>
      </c>
      <c r="D15" s="316"/>
      <c r="E15" s="300"/>
      <c r="F15" s="300"/>
      <c r="G15" s="558"/>
      <c r="H15" s="2324"/>
      <c r="I15" s="2324"/>
    </row>
    <row r="16" spans="1:10" ht="27" customHeight="1" x14ac:dyDescent="0.2">
      <c r="A16" s="2745"/>
      <c r="B16" s="2324"/>
      <c r="C16" s="27" t="str">
        <f>F!C9</f>
        <v>B1. Trees and shrubs taller than 1 m comprise more than 25% of the vegetated cover. Surface water is mostly absent or inundates the vegetation only seasonally (e.g., vernal pools or floodplain).</v>
      </c>
      <c r="D16" s="205">
        <f>F!D9</f>
        <v>0</v>
      </c>
      <c r="E16" s="300">
        <v>2</v>
      </c>
      <c r="F16" s="300">
        <f>D16*E16</f>
        <v>0</v>
      </c>
      <c r="G16" s="558"/>
      <c r="H16" s="2324"/>
      <c r="I16" s="2324"/>
    </row>
    <row r="17" spans="1:9" ht="42" customHeight="1" thickBot="1" x14ac:dyDescent="0.25">
      <c r="A17" s="2745"/>
      <c r="B17" s="2325"/>
      <c r="C17" s="366"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17" s="205">
        <f>F!D10</f>
        <v>1</v>
      </c>
      <c r="E17" s="303">
        <v>3</v>
      </c>
      <c r="F17" s="303">
        <f>D17*E17</f>
        <v>3</v>
      </c>
      <c r="G17" s="558"/>
      <c r="H17" s="2324"/>
      <c r="I17" s="2325"/>
    </row>
    <row r="18" spans="1:9" ht="30" customHeight="1" thickBot="1" x14ac:dyDescent="0.25">
      <c r="A18" s="2529" t="str">
        <f>F!A51</f>
        <v>F9</v>
      </c>
      <c r="B18" s="2529" t="str">
        <f>F!B51</f>
        <v>N Fixers</v>
      </c>
      <c r="C18" s="4" t="str">
        <f>F!C51</f>
        <v>The percentage of the AA's vegetated cover that contains nitrogen-fixing plants (e.g., alder, sweetgale, clover, lupine, alfalfa, other legumes) is:</v>
      </c>
      <c r="D18" s="304"/>
      <c r="E18" s="304"/>
      <c r="F18" s="305"/>
      <c r="G18" s="465">
        <f>MAX(F19:F23)/MAX(E19:E23)</f>
        <v>0</v>
      </c>
      <c r="H18" s="2729" t="s">
        <v>595</v>
      </c>
      <c r="I18" s="2324" t="s">
        <v>95</v>
      </c>
    </row>
    <row r="19" spans="1:9" ht="15" customHeight="1" x14ac:dyDescent="0.2">
      <c r="A19" s="2404"/>
      <c r="B19" s="2404"/>
      <c r="C19" s="27" t="str">
        <f>F!C52</f>
        <v>&lt;1% or none.</v>
      </c>
      <c r="D19" s="213">
        <f>F!D52</f>
        <v>1</v>
      </c>
      <c r="E19" s="300">
        <v>0</v>
      </c>
      <c r="F19" s="300">
        <f>D19*E19</f>
        <v>0</v>
      </c>
      <c r="G19" s="548"/>
      <c r="H19" s="2730"/>
      <c r="I19" s="2324"/>
    </row>
    <row r="20" spans="1:9" ht="15" customHeight="1" x14ac:dyDescent="0.2">
      <c r="A20" s="2404"/>
      <c r="B20" s="2404"/>
      <c r="C20" s="27" t="str">
        <f>F!C53</f>
        <v>1-25% of the vegetated cover, in the AA or along its water edge (whichever has more).</v>
      </c>
      <c r="D20" s="213">
        <f>F!D53</f>
        <v>0</v>
      </c>
      <c r="E20" s="300">
        <v>1</v>
      </c>
      <c r="F20" s="300">
        <f>D20*E20</f>
        <v>0</v>
      </c>
      <c r="G20" s="549"/>
      <c r="H20" s="2730"/>
      <c r="I20" s="2324"/>
    </row>
    <row r="21" spans="1:9" ht="15" customHeight="1" x14ac:dyDescent="0.2">
      <c r="A21" s="2404"/>
      <c r="B21" s="2404"/>
      <c r="C21" s="27" t="str">
        <f>F!C54</f>
        <v>25-50% of the vegetated cover, in the AA or along its water edge (whichever has more).</v>
      </c>
      <c r="D21" s="213">
        <f>F!D54</f>
        <v>0</v>
      </c>
      <c r="E21" s="300">
        <v>2</v>
      </c>
      <c r="F21" s="300">
        <f>D21*E21</f>
        <v>0</v>
      </c>
      <c r="G21" s="549"/>
      <c r="H21" s="2730"/>
      <c r="I21" s="2324"/>
    </row>
    <row r="22" spans="1:9" ht="15" customHeight="1" x14ac:dyDescent="0.2">
      <c r="A22" s="2404"/>
      <c r="B22" s="2404"/>
      <c r="C22" s="27" t="str">
        <f>F!C55</f>
        <v>50-75% of the vegetated cover, in the AA or along its water edge (whichever has more).</v>
      </c>
      <c r="D22" s="213">
        <f>F!D55</f>
        <v>0</v>
      </c>
      <c r="E22" s="300">
        <v>3</v>
      </c>
      <c r="F22" s="300">
        <f>D22*E22</f>
        <v>0</v>
      </c>
      <c r="G22" s="549"/>
      <c r="H22" s="2730"/>
      <c r="I22" s="2324"/>
    </row>
    <row r="23" spans="1:9" ht="15" customHeight="1" thickBot="1" x14ac:dyDescent="0.25">
      <c r="A23" s="2530"/>
      <c r="B23" s="2530"/>
      <c r="C23" s="1214" t="str">
        <f>F!C56</f>
        <v>&gt;75% of the vegetated cover, in the AA or along its water edge (whichever has more).</v>
      </c>
      <c r="D23" s="244">
        <f>F!D56</f>
        <v>0</v>
      </c>
      <c r="E23" s="301">
        <v>4</v>
      </c>
      <c r="F23" s="301">
        <f>D23*E23</f>
        <v>0</v>
      </c>
      <c r="G23" s="550"/>
      <c r="H23" s="2731"/>
      <c r="I23" s="2325"/>
    </row>
    <row r="24" spans="1:9" ht="30" customHeight="1" thickBot="1" x14ac:dyDescent="0.25">
      <c r="A24" s="2489" t="str">
        <f>F!A63</f>
        <v>F11</v>
      </c>
      <c r="B24" s="2529" t="str">
        <f>F!B63</f>
        <v>% Bare Ground &amp; Thatch</v>
      </c>
      <c r="C24" s="365" t="str">
        <f>F!C63</f>
        <v>Consider the parts of the AA that lack surface water at the driest time of the growing season. Viewed from directly above the ground layer, the predominant condition in those areas at that time is:</v>
      </c>
      <c r="D24" s="304"/>
      <c r="E24" s="304"/>
      <c r="F24" s="305"/>
      <c r="G24" s="465">
        <f>MAX(F25:F28)/MAX(E25:E28)</f>
        <v>0.66666666666666663</v>
      </c>
      <c r="H24" s="2729" t="s">
        <v>1721</v>
      </c>
      <c r="I24" s="2323" t="s">
        <v>96</v>
      </c>
    </row>
    <row r="25" spans="1:9" ht="42" customHeight="1" x14ac:dyDescent="0.2">
      <c r="A25" s="2371"/>
      <c r="B25" s="2404"/>
      <c r="C25" s="27" t="str">
        <f>F!C64</f>
        <v>Little or no (&lt;5%) bare ground is visible between erect stems or under canopy anywhere in the vegetated AA. Ground is extensively blanketed by dense thatch, moss, lichens, graminoids with great stem densities, or plants with ground-hugging foliage. </v>
      </c>
      <c r="D25" s="213">
        <f>F!D64</f>
        <v>0</v>
      </c>
      <c r="E25" s="300">
        <v>3</v>
      </c>
      <c r="F25" s="300">
        <f>D25*E25</f>
        <v>0</v>
      </c>
      <c r="G25" s="548"/>
      <c r="H25" s="2730"/>
      <c r="I25" s="2324"/>
    </row>
    <row r="26" spans="1:9" ht="27" customHeight="1" x14ac:dyDescent="0.2">
      <c r="A26" s="2371"/>
      <c r="B26" s="2404"/>
      <c r="C26" s="5" t="str">
        <f>F!C65</f>
        <v>Slightly bare ground (5-20% bare between plants) is visible in places, but those areas comprise less than 5% of the unflooded parts of the AA.</v>
      </c>
      <c r="D26" s="205">
        <f>F!D65</f>
        <v>1</v>
      </c>
      <c r="E26" s="300">
        <v>2</v>
      </c>
      <c r="F26" s="300">
        <f>D26*E26</f>
        <v>2</v>
      </c>
      <c r="G26" s="549"/>
      <c r="H26" s="2730"/>
      <c r="I26" s="2324"/>
    </row>
    <row r="27" spans="1:9" ht="27" customHeight="1" x14ac:dyDescent="0.2">
      <c r="A27" s="2371"/>
      <c r="B27" s="2404"/>
      <c r="C27" s="5" t="str">
        <f>F!C66</f>
        <v>Much bare ground (20-50% bare between plants) is visible in places, and those areas comprise more than 5% of the unflooded parts of the AA. </v>
      </c>
      <c r="D27" s="205">
        <f>F!D66</f>
        <v>0</v>
      </c>
      <c r="E27" s="300">
        <v>1</v>
      </c>
      <c r="F27" s="300">
        <f>D27*E27</f>
        <v>0</v>
      </c>
      <c r="G27" s="549"/>
      <c r="H27" s="2730"/>
      <c r="I27" s="2324"/>
    </row>
    <row r="28" spans="1:9" ht="15" customHeight="1" thickBot="1" x14ac:dyDescent="0.25">
      <c r="A28" s="2490"/>
      <c r="B28" s="2530"/>
      <c r="C28" s="153" t="str">
        <f>F!C67</f>
        <v>Other conditions.</v>
      </c>
      <c r="D28" s="206">
        <f>F!D67</f>
        <v>0</v>
      </c>
      <c r="E28" s="301">
        <v>0</v>
      </c>
      <c r="F28" s="301">
        <f>D28*E28</f>
        <v>0</v>
      </c>
      <c r="G28" s="550"/>
      <c r="H28" s="2731"/>
      <c r="I28" s="2325"/>
    </row>
    <row r="29" spans="1:9" ht="45" customHeight="1" thickBot="1" x14ac:dyDescent="0.25">
      <c r="A29" s="2752" t="str">
        <f>F!A77</f>
        <v>F14</v>
      </c>
      <c r="B29" s="2323" t="str">
        <f>F!B77</f>
        <v>Soil Texture</v>
      </c>
      <c r="C29" s="365" t="str">
        <f>F!C77</f>
        <v xml:space="preserve">In parts of the AA that lack persistent water, the texture of soil in the uppermost layer is mostly:  [To determine this, use a trowel to check in at least 3 widely spaced locations, and use the soil texture key (in Appendix A of the Manual).] </v>
      </c>
      <c r="D29" s="304"/>
      <c r="E29" s="304"/>
      <c r="F29" s="305"/>
      <c r="G29" s="581">
        <f>MAX(F30:F34)/MAX(E30:E34)</f>
        <v>0.25</v>
      </c>
      <c r="H29" s="2732" t="s">
        <v>953</v>
      </c>
      <c r="I29" s="2323" t="s">
        <v>97</v>
      </c>
    </row>
    <row r="30" spans="1:9" ht="27" customHeight="1" x14ac:dyDescent="0.2">
      <c r="A30" s="2752"/>
      <c r="B30" s="2324"/>
      <c r="C30" s="27" t="str">
        <f>F!C78</f>
        <v>Loamy: soils that may contain a little fine grit and do not make a "ribbon" longer than 2 cm when moistened, rolled, squeezed, and extended between thumb and forefinger.</v>
      </c>
      <c r="D30" s="213">
        <f>F!D78</f>
        <v>0</v>
      </c>
      <c r="E30" s="300">
        <v>2</v>
      </c>
      <c r="F30" s="300">
        <f>D30*E30</f>
        <v>0</v>
      </c>
      <c r="G30" s="665"/>
      <c r="H30" s="2730"/>
      <c r="I30" s="2324"/>
    </row>
    <row r="31" spans="1:9" ht="27" customHeight="1" x14ac:dyDescent="0.2">
      <c r="A31" s="2752"/>
      <c r="B31" s="2324"/>
      <c r="C31" s="5" t="str">
        <f>F!C79</f>
        <v>Fines: includes silt, clay, silt, soils that make a ribbon longer than 2 cm when moistened, rolled, squeezed, and extended between thumb and forefinger.</v>
      </c>
      <c r="D31" s="205">
        <f>F!D79</f>
        <v>1</v>
      </c>
      <c r="E31" s="300">
        <v>1</v>
      </c>
      <c r="F31" s="300">
        <f>D31*E31</f>
        <v>1</v>
      </c>
      <c r="G31" s="666"/>
      <c r="H31" s="2730"/>
      <c r="I31" s="2324"/>
    </row>
    <row r="32" spans="1:9" ht="15" customHeight="1" x14ac:dyDescent="0.2">
      <c r="A32" s="2752"/>
      <c r="B32" s="2324"/>
      <c r="C32" s="5" t="str">
        <f>F!C80</f>
        <v>Deep Peat, to 40 cm depth or greater.</v>
      </c>
      <c r="D32" s="205">
        <f>F!D80</f>
        <v>0</v>
      </c>
      <c r="E32" s="300">
        <v>3</v>
      </c>
      <c r="F32" s="300">
        <f>D32*E32</f>
        <v>0</v>
      </c>
      <c r="G32" s="666"/>
      <c r="H32" s="2730"/>
      <c r="I32" s="2324"/>
    </row>
    <row r="33" spans="1:9" ht="15" customHeight="1" x14ac:dyDescent="0.2">
      <c r="A33" s="2752"/>
      <c r="B33" s="2324"/>
      <c r="C33" s="5" t="str">
        <f>F!C81</f>
        <v xml:space="preserve">Shallow Peat or organic &lt;40 cm deep. </v>
      </c>
      <c r="D33" s="205">
        <f>F!D81</f>
        <v>0</v>
      </c>
      <c r="E33" s="300">
        <v>4</v>
      </c>
      <c r="F33" s="300">
        <f>D33*E33</f>
        <v>0</v>
      </c>
      <c r="G33" s="840"/>
      <c r="H33" s="2730"/>
      <c r="I33" s="2324"/>
    </row>
    <row r="34" spans="1:9" ht="27" customHeight="1" thickBot="1" x14ac:dyDescent="0.25">
      <c r="A34" s="2752"/>
      <c r="B34" s="2325"/>
      <c r="C34" s="153" t="str">
        <f>F!C82</f>
        <v>Coarse: includes sand, loamy sand, gravel, cobble, soils that do not make a ribbon when moistened, rolled, squeezed, and extended between thumb and forefinger.</v>
      </c>
      <c r="D34" s="206">
        <f>F!D82</f>
        <v>0</v>
      </c>
      <c r="E34" s="301">
        <v>0</v>
      </c>
      <c r="F34" s="301">
        <f>D34*E34</f>
        <v>0</v>
      </c>
      <c r="G34" s="667"/>
      <c r="H34" s="2733"/>
      <c r="I34" s="2325"/>
    </row>
    <row r="35" spans="1:9" ht="30" customHeight="1" thickBot="1" x14ac:dyDescent="0.25">
      <c r="A35" s="2586" t="str">
        <f>F!A140</f>
        <v>F27</v>
      </c>
      <c r="B35" s="2323" t="str">
        <f>F!B140</f>
        <v>% of AA that is Flooded Only Seasonally</v>
      </c>
      <c r="C35" s="365" t="str">
        <f>F!C140</f>
        <v>The percentage of the AA's area that is between the annual high water and the annual low water (surface water) is:</v>
      </c>
      <c r="D35" s="304"/>
      <c r="E35" s="304"/>
      <c r="F35" s="305"/>
      <c r="G35" s="465">
        <f>IF((AllSat1&gt;0),"", MAX(F36:F40)/MAX(E36:E40))</f>
        <v>0.75</v>
      </c>
      <c r="H35" s="2729" t="s">
        <v>1837</v>
      </c>
      <c r="I35" s="2323" t="s">
        <v>507</v>
      </c>
    </row>
    <row r="36" spans="1:9" ht="15" customHeight="1" x14ac:dyDescent="0.2">
      <c r="A36" s="2399"/>
      <c r="B36" s="2324"/>
      <c r="C36" s="477" t="str">
        <f>F!C141</f>
        <v>None, or &lt;0.01 hectare and &lt;1% of the AA.  SKIP to F29.</v>
      </c>
      <c r="D36" s="295">
        <f>F!D141</f>
        <v>0</v>
      </c>
      <c r="E36" s="300">
        <v>0</v>
      </c>
      <c r="F36" s="300">
        <f>D36*E36</f>
        <v>0</v>
      </c>
      <c r="G36" s="548"/>
      <c r="H36" s="2730"/>
      <c r="I36" s="2324"/>
    </row>
    <row r="37" spans="1:9" ht="15" customHeight="1" x14ac:dyDescent="0.2">
      <c r="A37" s="2399"/>
      <c r="B37" s="2324"/>
      <c r="C37" s="366" t="str">
        <f>F!C142</f>
        <v>1-20% of the AA, or &lt;1% but &gt;0.01 ha.</v>
      </c>
      <c r="D37" s="211">
        <f>F!D142</f>
        <v>0</v>
      </c>
      <c r="E37" s="300">
        <v>1</v>
      </c>
      <c r="F37" s="300">
        <f>D37*E37</f>
        <v>0</v>
      </c>
      <c r="G37" s="549"/>
      <c r="H37" s="2730"/>
      <c r="I37" s="2324"/>
    </row>
    <row r="38" spans="1:9" ht="15" customHeight="1" x14ac:dyDescent="0.2">
      <c r="A38" s="2399"/>
      <c r="B38" s="2324"/>
      <c r="C38" s="366" t="str">
        <f>F!C143</f>
        <v>20-50% of the AA.</v>
      </c>
      <c r="D38" s="211">
        <f>F!D143</f>
        <v>0</v>
      </c>
      <c r="E38" s="300">
        <v>2</v>
      </c>
      <c r="F38" s="300">
        <f>D38*E38</f>
        <v>0</v>
      </c>
      <c r="G38" s="549"/>
      <c r="H38" s="2730"/>
      <c r="I38" s="2324"/>
    </row>
    <row r="39" spans="1:9" ht="15" customHeight="1" x14ac:dyDescent="0.2">
      <c r="A39" s="2399"/>
      <c r="B39" s="2324"/>
      <c r="C39" s="366" t="str">
        <f>F!C144</f>
        <v>50-95% of the AA.</v>
      </c>
      <c r="D39" s="211">
        <f>F!D144</f>
        <v>1</v>
      </c>
      <c r="E39" s="300">
        <v>3</v>
      </c>
      <c r="F39" s="300">
        <f>D39*E39</f>
        <v>3</v>
      </c>
      <c r="G39" s="549"/>
      <c r="H39" s="2730"/>
      <c r="I39" s="2324"/>
    </row>
    <row r="40" spans="1:9" ht="15" customHeight="1" thickBot="1" x14ac:dyDescent="0.25">
      <c r="A40" s="2553"/>
      <c r="B40" s="2325"/>
      <c r="C40" s="153" t="str">
        <f>F!C145</f>
        <v xml:space="preserve">&gt;95% of the AA. </v>
      </c>
      <c r="D40" s="206">
        <f>F!D145</f>
        <v>0</v>
      </c>
      <c r="E40" s="301">
        <v>4</v>
      </c>
      <c r="F40" s="301">
        <f>D40*E40</f>
        <v>0</v>
      </c>
      <c r="G40" s="550"/>
      <c r="H40" s="2731"/>
      <c r="I40" s="2325"/>
    </row>
    <row r="41" spans="1:9" ht="30" customHeight="1" thickBot="1" x14ac:dyDescent="0.25">
      <c r="A41" s="2554" t="str">
        <f>F!A146</f>
        <v>F28</v>
      </c>
      <c r="B41" s="2404" t="str">
        <f>F!B146</f>
        <v>Annual Water Fluctuation Range</v>
      </c>
      <c r="C41" s="376" t="str">
        <f>F!C146</f>
        <v>The annual fluctuation in surface water level within most of the parts of the AA that contain surface water at least temporarily is:</v>
      </c>
      <c r="D41" s="304"/>
      <c r="E41" s="299"/>
      <c r="F41" s="302"/>
      <c r="G41" s="466">
        <f>IF((AllSat1&gt;0),"", IF((NoSeasonal=1),"",MAX(F42:F46)/MAX(E42:E46)))</f>
        <v>1</v>
      </c>
      <c r="H41" s="2732" t="s">
        <v>1838</v>
      </c>
      <c r="I41" s="2323" t="s">
        <v>89</v>
      </c>
    </row>
    <row r="42" spans="1:9" ht="15" customHeight="1" x14ac:dyDescent="0.2">
      <c r="A42" s="2554"/>
      <c r="B42" s="2396"/>
      <c r="C42" s="369" t="str">
        <f>F!C147</f>
        <v>&lt;10 cm change (stable or nearly so).</v>
      </c>
      <c r="D42" s="212">
        <f>F!D147</f>
        <v>0</v>
      </c>
      <c r="E42" s="300">
        <v>0</v>
      </c>
      <c r="F42" s="300">
        <f>D42*E42</f>
        <v>0</v>
      </c>
      <c r="G42" s="548"/>
      <c r="H42" s="2730"/>
      <c r="I42" s="2324"/>
    </row>
    <row r="43" spans="1:9" ht="15" customHeight="1" x14ac:dyDescent="0.2">
      <c r="A43" s="2554"/>
      <c r="B43" s="2396"/>
      <c r="C43" s="471" t="str">
        <f>F!C148</f>
        <v>10 cm - 50 cm change.</v>
      </c>
      <c r="D43" s="70">
        <f>F!D148</f>
        <v>0</v>
      </c>
      <c r="E43" s="300">
        <v>1</v>
      </c>
      <c r="F43" s="300">
        <f>D43*E43</f>
        <v>0</v>
      </c>
      <c r="G43" s="549"/>
      <c r="H43" s="2730"/>
      <c r="I43" s="2324"/>
    </row>
    <row r="44" spans="1:9" ht="15" customHeight="1" x14ac:dyDescent="0.2">
      <c r="A44" s="2554"/>
      <c r="B44" s="2396"/>
      <c r="C44" s="471" t="str">
        <f>F!C149</f>
        <v>0.5 - 1 m change.</v>
      </c>
      <c r="D44" s="70">
        <f>F!D149</f>
        <v>0</v>
      </c>
      <c r="E44" s="300">
        <v>2</v>
      </c>
      <c r="F44" s="300">
        <f>D44*E44</f>
        <v>0</v>
      </c>
      <c r="G44" s="549"/>
      <c r="H44" s="2730"/>
      <c r="I44" s="2324"/>
    </row>
    <row r="45" spans="1:9" ht="15" customHeight="1" x14ac:dyDescent="0.2">
      <c r="A45" s="2554"/>
      <c r="B45" s="2396"/>
      <c r="C45" s="872" t="str">
        <f>F!C150</f>
        <v>1-2 m change.</v>
      </c>
      <c r="D45" s="70">
        <f>F!D150</f>
        <v>0</v>
      </c>
      <c r="E45" s="303">
        <v>3</v>
      </c>
      <c r="F45" s="303">
        <f>D45*E45</f>
        <v>0</v>
      </c>
      <c r="G45" s="558"/>
      <c r="H45" s="2733"/>
      <c r="I45" s="2324"/>
    </row>
    <row r="46" spans="1:9" ht="15" customHeight="1" thickBot="1" x14ac:dyDescent="0.25">
      <c r="A46" s="2554"/>
      <c r="B46" s="2396"/>
      <c r="C46" s="872" t="str">
        <f>F!C151</f>
        <v>&gt;2 m change.</v>
      </c>
      <c r="D46" s="70">
        <f>F!D151</f>
        <v>1</v>
      </c>
      <c r="E46" s="303">
        <v>4</v>
      </c>
      <c r="F46" s="303">
        <f>D46*E46</f>
        <v>4</v>
      </c>
      <c r="G46" s="558"/>
      <c r="H46" s="2733"/>
      <c r="I46" s="2325"/>
    </row>
    <row r="47" spans="1:9" ht="30" customHeight="1" thickBot="1" x14ac:dyDescent="0.25">
      <c r="A47" s="2586" t="str">
        <f>F!A153</f>
        <v>F29</v>
      </c>
      <c r="B47" s="2529" t="str">
        <f>F!B153</f>
        <v>Predominant Depth Class</v>
      </c>
      <c r="C47" s="365" t="str">
        <f>F!C153</f>
        <v>During most of the time when surface water is present during the growing season, its depth, averaged over the entire inundated part of the AA, is:</v>
      </c>
      <c r="D47" s="304"/>
      <c r="E47" s="304"/>
      <c r="F47" s="305"/>
      <c r="G47" s="465">
        <f>IF((AllSat1&gt;0),"",IF((TooSmall=1),"",MAX(F48:F52)/MAX(E48:E52)))</f>
        <v>0.4</v>
      </c>
      <c r="H47" s="2529" t="s">
        <v>1839</v>
      </c>
      <c r="I47" s="2323" t="s">
        <v>90</v>
      </c>
    </row>
    <row r="48" spans="1:9" ht="15" customHeight="1" x14ac:dyDescent="0.2">
      <c r="A48" s="2399"/>
      <c r="B48" s="2404"/>
      <c r="C48" s="27" t="str">
        <f>F!C154</f>
        <v>&lt;10 cm deep (but &gt;0).</v>
      </c>
      <c r="D48" s="213">
        <f>F!D154</f>
        <v>0</v>
      </c>
      <c r="E48" s="300">
        <v>5</v>
      </c>
      <c r="F48" s="300">
        <f>D48*E48</f>
        <v>0</v>
      </c>
      <c r="G48" s="548"/>
      <c r="H48" s="2404"/>
      <c r="I48" s="2324"/>
    </row>
    <row r="49" spans="1:9" ht="15" customHeight="1" x14ac:dyDescent="0.2">
      <c r="A49" s="2399"/>
      <c r="B49" s="2404"/>
      <c r="C49" s="5" t="str">
        <f>F!C155</f>
        <v>10 - 50 cm deep.</v>
      </c>
      <c r="D49" s="205">
        <f>F!D155</f>
        <v>0</v>
      </c>
      <c r="E49" s="300">
        <v>4</v>
      </c>
      <c r="F49" s="300">
        <f>D49*E49</f>
        <v>0</v>
      </c>
      <c r="G49" s="549"/>
      <c r="H49" s="2404"/>
      <c r="I49" s="2324"/>
    </row>
    <row r="50" spans="1:9" ht="15" customHeight="1" x14ac:dyDescent="0.2">
      <c r="A50" s="2399"/>
      <c r="B50" s="2404"/>
      <c r="C50" s="5" t="str">
        <f>F!C156</f>
        <v>0.5 - 1 m deep.</v>
      </c>
      <c r="D50" s="205">
        <f>F!D156</f>
        <v>1</v>
      </c>
      <c r="E50" s="300">
        <v>2</v>
      </c>
      <c r="F50" s="300">
        <f>D50*E50</f>
        <v>2</v>
      </c>
      <c r="G50" s="549"/>
      <c r="H50" s="2404"/>
      <c r="I50" s="2324"/>
    </row>
    <row r="51" spans="1:9" ht="15" customHeight="1" x14ac:dyDescent="0.2">
      <c r="A51" s="2399"/>
      <c r="B51" s="2404"/>
      <c r="C51" s="5" t="str">
        <f>F!C157</f>
        <v>1 - 2 m deep.</v>
      </c>
      <c r="D51" s="205">
        <f>F!D157</f>
        <v>0</v>
      </c>
      <c r="E51" s="300">
        <v>1</v>
      </c>
      <c r="F51" s="300">
        <f>D51*E51</f>
        <v>0</v>
      </c>
      <c r="G51" s="549"/>
      <c r="H51" s="2404"/>
      <c r="I51" s="2324"/>
    </row>
    <row r="52" spans="1:9" ht="15" customHeight="1" thickBot="1" x14ac:dyDescent="0.25">
      <c r="A52" s="2553"/>
      <c r="B52" s="2530"/>
      <c r="C52" s="153" t="str">
        <f>F!C158</f>
        <v>&gt;2 m deep. True for many fringe wetlands.</v>
      </c>
      <c r="D52" s="206">
        <f>F!D158</f>
        <v>0</v>
      </c>
      <c r="E52" s="301">
        <v>0</v>
      </c>
      <c r="F52" s="329">
        <f>D52*E52</f>
        <v>0</v>
      </c>
      <c r="G52" s="550"/>
      <c r="H52" s="2530"/>
      <c r="I52" s="2325"/>
    </row>
    <row r="53" spans="1:9" ht="45" customHeight="1" thickBot="1" x14ac:dyDescent="0.25">
      <c r="A53" s="2684" t="str">
        <f>F!A163</f>
        <v>F31</v>
      </c>
      <c r="B53" s="2339" t="str">
        <f>F!B163</f>
        <v>% of Water That Is Ponded (not Flowing)</v>
      </c>
      <c r="C53" s="460" t="str">
        <f>F!C163</f>
        <v>During most times when surface water is present, the percentage that is (1) ponded (stagnant, or flows so slowly that fine sediment is not held in suspension) AND (2) is likely to be deeper than 0.5 m in some places, is:</v>
      </c>
      <c r="D53" s="304"/>
      <c r="E53" s="304"/>
      <c r="F53" s="555"/>
      <c r="G53" s="465">
        <f>IF((AllSat1=1),"",MAX(F54:F58)/MAX(E54:E58))</f>
        <v>1</v>
      </c>
      <c r="H53" s="2323" t="s">
        <v>1836</v>
      </c>
      <c r="I53" s="2323" t="s">
        <v>997</v>
      </c>
    </row>
    <row r="54" spans="1:9" ht="15" customHeight="1" x14ac:dyDescent="0.2">
      <c r="A54" s="2392"/>
      <c r="B54" s="2340"/>
      <c r="C54" s="586" t="str">
        <f>F!C164</f>
        <v>&lt;5% of the water, or it occupies &lt;100 sq.m cumulatively. Nearly all the surface water is flowing. SKIP to F34.</v>
      </c>
      <c r="D54" s="956">
        <f>F!D164</f>
        <v>1</v>
      </c>
      <c r="E54" s="300">
        <v>4</v>
      </c>
      <c r="F54" s="303">
        <f>D54*E54</f>
        <v>4</v>
      </c>
      <c r="G54" s="549"/>
      <c r="H54" s="2324"/>
      <c r="I54" s="2324"/>
    </row>
    <row r="55" spans="1:9" ht="15" customHeight="1" x14ac:dyDescent="0.2">
      <c r="A55" s="2392"/>
      <c r="B55" s="2340"/>
      <c r="C55" s="463" t="str">
        <f>F!C165</f>
        <v>5-30% of the water.</v>
      </c>
      <c r="D55" s="957">
        <f>F!D165</f>
        <v>0</v>
      </c>
      <c r="E55" s="300">
        <v>3</v>
      </c>
      <c r="F55" s="303">
        <f>D55*E55</f>
        <v>0</v>
      </c>
      <c r="G55" s="549"/>
      <c r="H55" s="2324"/>
      <c r="I55" s="2324"/>
    </row>
    <row r="56" spans="1:9" ht="15" customHeight="1" x14ac:dyDescent="0.2">
      <c r="A56" s="2392"/>
      <c r="B56" s="2340"/>
      <c r="C56" s="463" t="str">
        <f>F!C166</f>
        <v>30-70% of the water.</v>
      </c>
      <c r="D56" s="957">
        <f>F!D166</f>
        <v>0</v>
      </c>
      <c r="E56" s="300">
        <v>2</v>
      </c>
      <c r="F56" s="303">
        <f>D56*E56</f>
        <v>0</v>
      </c>
      <c r="G56" s="549"/>
      <c r="H56" s="2324"/>
      <c r="I56" s="2324"/>
    </row>
    <row r="57" spans="1:9" ht="15" customHeight="1" x14ac:dyDescent="0.2">
      <c r="A57" s="2392"/>
      <c r="B57" s="2340"/>
      <c r="C57" s="463" t="str">
        <f>F!C167</f>
        <v>70-95% of the water.</v>
      </c>
      <c r="D57" s="957">
        <f>F!D167</f>
        <v>0</v>
      </c>
      <c r="E57" s="300">
        <v>1</v>
      </c>
      <c r="F57" s="303">
        <f>D57*E57</f>
        <v>0</v>
      </c>
      <c r="G57" s="549"/>
      <c r="H57" s="2324"/>
      <c r="I57" s="2324"/>
    </row>
    <row r="58" spans="1:9" ht="15" customHeight="1" thickBot="1" x14ac:dyDescent="0.25">
      <c r="A58" s="2738"/>
      <c r="B58" s="2341"/>
      <c r="C58" s="584" t="str">
        <f>F!C168</f>
        <v>&gt;95% of the water.</v>
      </c>
      <c r="D58" s="958">
        <f>F!D168</f>
        <v>0</v>
      </c>
      <c r="E58" s="301">
        <v>0</v>
      </c>
      <c r="F58" s="301">
        <f>D58*E58</f>
        <v>0</v>
      </c>
      <c r="G58" s="550"/>
      <c r="H58" s="2325"/>
      <c r="I58" s="2325"/>
    </row>
    <row r="59" spans="1:9" ht="30" customHeight="1" thickBot="1" x14ac:dyDescent="0.25">
      <c r="A59" s="2749" t="str">
        <f>F!A170</f>
        <v>F33</v>
      </c>
      <c r="B59" s="2339" t="str">
        <f>F!B170</f>
        <v xml:space="preserve">% of Ponded Water that is Open </v>
      </c>
      <c r="C59" s="131" t="str">
        <f>F!C170</f>
        <v>In ducks-eye aerial view, the percentage of the ponded water that is open (lacking emergent vegetation during most of the growing season, and unhidden by a forest or shrub canopy) is:</v>
      </c>
      <c r="D59" s="1057"/>
      <c r="E59" s="304"/>
      <c r="F59" s="304"/>
      <c r="G59" s="465" t="str">
        <f>IF((AllSat1&gt;0),"",IF((TooSmall=1),"",IF((NoPonded=1),"",MAX(F60:F65)/MAX(E60:E65))))</f>
        <v/>
      </c>
      <c r="H59" s="2323" t="s">
        <v>1840</v>
      </c>
      <c r="I59" s="2323" t="s">
        <v>100</v>
      </c>
    </row>
    <row r="60" spans="1:9" ht="27" customHeight="1" x14ac:dyDescent="0.2">
      <c r="A60" s="2750"/>
      <c r="B60" s="2340"/>
      <c r="C60" s="1266" t="str">
        <f>F!C171</f>
        <v>None, or &lt;1% of the AA and largest pool occupies &lt;0.01 hectares. Enter "1" and SKIP to F41 (Floating Algae &amp; Duckweed).</v>
      </c>
      <c r="D60" s="217">
        <f>F!D171</f>
        <v>0</v>
      </c>
      <c r="E60" s="316">
        <v>6</v>
      </c>
      <c r="F60" s="303">
        <f t="shared" ref="F60:F65" si="1">D60*E60</f>
        <v>0</v>
      </c>
      <c r="G60" s="549"/>
      <c r="H60" s="2324"/>
      <c r="I60" s="2324"/>
    </row>
    <row r="61" spans="1:9" ht="15" customHeight="1" x14ac:dyDescent="0.2">
      <c r="A61" s="2750"/>
      <c r="B61" s="2340"/>
      <c r="C61" s="586" t="str">
        <f>F!C172</f>
        <v>1-4% of the ponded water. Enter "1" and SKIP to F41 (Floating Algae &amp; Duckweed).</v>
      </c>
      <c r="D61" s="216">
        <f>F!D172</f>
        <v>0</v>
      </c>
      <c r="E61" s="316">
        <v>5</v>
      </c>
      <c r="F61" s="303">
        <f t="shared" si="1"/>
        <v>0</v>
      </c>
      <c r="G61" s="549"/>
      <c r="H61" s="2324"/>
      <c r="I61" s="2324"/>
    </row>
    <row r="62" spans="1:9" ht="15" customHeight="1" x14ac:dyDescent="0.2">
      <c r="A62" s="2750"/>
      <c r="B62" s="2340"/>
      <c r="C62" s="876" t="str">
        <f>F!C173</f>
        <v>5-30% of the ponded water.</v>
      </c>
      <c r="D62" s="216">
        <f>F!D173</f>
        <v>0</v>
      </c>
      <c r="E62" s="316">
        <v>4</v>
      </c>
      <c r="F62" s="303">
        <f t="shared" si="1"/>
        <v>0</v>
      </c>
      <c r="G62" s="549"/>
      <c r="H62" s="2324"/>
      <c r="I62" s="2324"/>
    </row>
    <row r="63" spans="1:9" ht="15" customHeight="1" x14ac:dyDescent="0.2">
      <c r="A63" s="2750"/>
      <c r="B63" s="2340"/>
      <c r="C63" s="876" t="str">
        <f>F!C174</f>
        <v>30-70% of the ponded water.</v>
      </c>
      <c r="D63" s="242">
        <f>F!D174</f>
        <v>0</v>
      </c>
      <c r="E63" s="316">
        <v>3</v>
      </c>
      <c r="F63" s="303">
        <f t="shared" si="1"/>
        <v>0</v>
      </c>
      <c r="G63" s="549"/>
      <c r="H63" s="2324"/>
      <c r="I63" s="2324"/>
    </row>
    <row r="64" spans="1:9" ht="15" customHeight="1" x14ac:dyDescent="0.2">
      <c r="A64" s="2750"/>
      <c r="B64" s="2340"/>
      <c r="C64" s="876" t="str">
        <f>F!C175</f>
        <v>70-99% of the ponded water.</v>
      </c>
      <c r="D64" s="217">
        <f>F!D175</f>
        <v>0</v>
      </c>
      <c r="E64" s="316">
        <v>2</v>
      </c>
      <c r="F64" s="303">
        <f t="shared" si="1"/>
        <v>0</v>
      </c>
      <c r="G64" s="549"/>
      <c r="H64" s="2324"/>
      <c r="I64" s="2324"/>
    </row>
    <row r="65" spans="1:9" ht="15" customHeight="1" thickBot="1" x14ac:dyDescent="0.25">
      <c r="A65" s="2751"/>
      <c r="B65" s="2341"/>
      <c r="C65" s="1265" t="str">
        <f>F!C176</f>
        <v xml:space="preserve">100% of the ponded water. </v>
      </c>
      <c r="D65" s="240">
        <f>F!D176</f>
        <v>0</v>
      </c>
      <c r="E65" s="317">
        <v>1</v>
      </c>
      <c r="F65" s="301">
        <f t="shared" si="1"/>
        <v>0</v>
      </c>
      <c r="G65" s="550"/>
      <c r="H65" s="2325"/>
      <c r="I65" s="2325"/>
    </row>
    <row r="66" spans="1:9" ht="30" customHeight="1" thickBot="1" x14ac:dyDescent="0.25">
      <c r="A66" s="2583" t="str">
        <f>F!A177</f>
        <v>F34</v>
      </c>
      <c r="B66" s="2340" t="str">
        <f>F!B177</f>
        <v>Width of Vegetated Zone within Wetland</v>
      </c>
      <c r="C66" s="481" t="str">
        <f>F!C177</f>
        <v>At the time during the growing season when the AA's water level is lowest, the average width of vegetated area in the AA that separates adjoining uplands from open water within the AA is:</v>
      </c>
      <c r="D66" s="304"/>
      <c r="E66" s="299"/>
      <c r="F66" s="302"/>
      <c r="G66" s="466">
        <f>IF((AllSat1&gt;0),"",IF((TooSmall=1),"",IF((NoOpenPonded=1),"",MAX(F67:F72)/MAX(E67:E72))))</f>
        <v>0.2</v>
      </c>
      <c r="H66" s="2732" t="s">
        <v>1842</v>
      </c>
      <c r="I66" s="2323" t="s">
        <v>91</v>
      </c>
    </row>
    <row r="67" spans="1:9" ht="15" customHeight="1" x14ac:dyDescent="0.2">
      <c r="A67" s="2752"/>
      <c r="B67" s="2324"/>
      <c r="C67" s="27" t="str">
        <f>F!C178</f>
        <v>&lt;1 m.</v>
      </c>
      <c r="D67" s="213">
        <f>F!D178</f>
        <v>0</v>
      </c>
      <c r="E67" s="300">
        <v>4</v>
      </c>
      <c r="F67" s="300">
        <f t="shared" ref="F67:F72" si="2">D67*E67</f>
        <v>0</v>
      </c>
      <c r="G67" s="548"/>
      <c r="H67" s="2730"/>
      <c r="I67" s="2324"/>
    </row>
    <row r="68" spans="1:9" ht="15" customHeight="1" x14ac:dyDescent="0.2">
      <c r="A68" s="2752"/>
      <c r="B68" s="2324"/>
      <c r="C68" s="5" t="str">
        <f>F!C179</f>
        <v>1 - 9 m.</v>
      </c>
      <c r="D68" s="205">
        <f>F!D179</f>
        <v>0</v>
      </c>
      <c r="E68" s="300">
        <v>5</v>
      </c>
      <c r="F68" s="300">
        <f t="shared" si="2"/>
        <v>0</v>
      </c>
      <c r="G68" s="549"/>
      <c r="H68" s="2730"/>
      <c r="I68" s="2324"/>
    </row>
    <row r="69" spans="1:9" ht="15" customHeight="1" x14ac:dyDescent="0.2">
      <c r="A69" s="2752"/>
      <c r="B69" s="2324"/>
      <c r="C69" s="5" t="str">
        <f>F!C180</f>
        <v>10 - 29 m.</v>
      </c>
      <c r="D69" s="205">
        <f>F!D180</f>
        <v>0</v>
      </c>
      <c r="E69" s="300">
        <v>4</v>
      </c>
      <c r="F69" s="300">
        <f t="shared" si="2"/>
        <v>0</v>
      </c>
      <c r="G69" s="549"/>
      <c r="H69" s="2730"/>
      <c r="I69" s="2324"/>
    </row>
    <row r="70" spans="1:9" ht="15" customHeight="1" x14ac:dyDescent="0.2">
      <c r="A70" s="2752"/>
      <c r="B70" s="2324"/>
      <c r="C70" s="5" t="str">
        <f>F!C181</f>
        <v>30 - 49 m.</v>
      </c>
      <c r="D70" s="205">
        <f>F!D181</f>
        <v>0</v>
      </c>
      <c r="E70" s="300">
        <v>3</v>
      </c>
      <c r="F70" s="300">
        <f t="shared" si="2"/>
        <v>0</v>
      </c>
      <c r="G70" s="549"/>
      <c r="H70" s="2730"/>
      <c r="I70" s="2324"/>
    </row>
    <row r="71" spans="1:9" ht="15" customHeight="1" x14ac:dyDescent="0.2">
      <c r="A71" s="2752"/>
      <c r="B71" s="2324"/>
      <c r="C71" s="5" t="str">
        <f>F!C182</f>
        <v>50 - 100 m.</v>
      </c>
      <c r="D71" s="205">
        <f>F!D182</f>
        <v>0</v>
      </c>
      <c r="E71" s="300">
        <v>2</v>
      </c>
      <c r="F71" s="300">
        <f t="shared" si="2"/>
        <v>0</v>
      </c>
      <c r="G71" s="549"/>
      <c r="H71" s="2730"/>
      <c r="I71" s="2324"/>
    </row>
    <row r="72" spans="1:9" ht="15" customHeight="1" thickBot="1" x14ac:dyDescent="0.25">
      <c r="A72" s="2752"/>
      <c r="B72" s="2324"/>
      <c r="C72" s="5" t="str">
        <f>F!C183</f>
        <v>&gt; 100 m, or open water is absent at that time.</v>
      </c>
      <c r="D72" s="205">
        <f>F!D183</f>
        <v>1</v>
      </c>
      <c r="E72" s="300">
        <v>1</v>
      </c>
      <c r="F72" s="303">
        <f t="shared" si="2"/>
        <v>1</v>
      </c>
      <c r="G72" s="558"/>
      <c r="H72" s="2733"/>
      <c r="I72" s="2325"/>
    </row>
    <row r="73" spans="1:9" ht="30" customHeight="1" thickBot="1" x14ac:dyDescent="0.25">
      <c r="A73" s="2684" t="str">
        <f>F!A195</f>
        <v>F37</v>
      </c>
      <c r="B73" s="2339" t="str">
        <f>F!B195</f>
        <v>Interspersion of Emergents &amp; Open Water</v>
      </c>
      <c r="C73" s="585" t="str">
        <f>F!C195</f>
        <v>During most of the part of the growing season when water is present, the spatial pattern of emergent vegetation within the water is mostly:</v>
      </c>
      <c r="D73" s="304"/>
      <c r="E73" s="304"/>
      <c r="F73" s="305"/>
      <c r="G73" s="465">
        <f>IF((AllSat1&gt;0),"",IF((TooSmall=1),"",IF((NoOpenPonded=1),"",IF((AllOpenPond=1),"",IF((NoRobustEm=1),"",MAX(F74:F76)/MAX(E74:E76))))))</f>
        <v>0</v>
      </c>
      <c r="H73" s="2323" t="s">
        <v>1841</v>
      </c>
      <c r="I73" s="2323" t="s">
        <v>1024</v>
      </c>
    </row>
    <row r="74" spans="1:9" ht="15" customHeight="1" x14ac:dyDescent="0.2">
      <c r="A74" s="2392"/>
      <c r="B74" s="2340"/>
      <c r="C74" s="422" t="str">
        <f>F!C196</f>
        <v>Scattered. More than 30% of such vegetation forms small islands or corridors surrounded by water.</v>
      </c>
      <c r="D74" s="215">
        <f>F!D196</f>
        <v>0</v>
      </c>
      <c r="E74" s="300">
        <v>2</v>
      </c>
      <c r="F74" s="303">
        <f>D74*E74</f>
        <v>0</v>
      </c>
      <c r="G74" s="549"/>
      <c r="H74" s="2324"/>
      <c r="I74" s="2324"/>
    </row>
    <row r="75" spans="1:9" ht="15" customHeight="1" x14ac:dyDescent="0.2">
      <c r="A75" s="2392"/>
      <c r="B75" s="2340"/>
      <c r="C75" s="422" t="str">
        <f>F!C197</f>
        <v>Intermediate.</v>
      </c>
      <c r="D75" s="215">
        <f>F!D197</f>
        <v>0</v>
      </c>
      <c r="E75" s="300">
        <v>1</v>
      </c>
      <c r="F75" s="303">
        <f>D75*E75</f>
        <v>0</v>
      </c>
      <c r="G75" s="549"/>
      <c r="H75" s="2324"/>
      <c r="I75" s="2324"/>
    </row>
    <row r="76" spans="1:9" ht="27" customHeight="1" thickBot="1" x14ac:dyDescent="0.25">
      <c r="A76" s="2738"/>
      <c r="B76" s="2341"/>
      <c r="C76" s="587" t="str">
        <f>F!C198</f>
        <v>Clumped. More than 70% of such vegetation is in bands along the wetland perimeter or is clumped at one or a few sides of the surface water area.</v>
      </c>
      <c r="D76" s="241">
        <f>F!D198</f>
        <v>1</v>
      </c>
      <c r="E76" s="301">
        <v>0</v>
      </c>
      <c r="F76" s="301">
        <f>D76*E76</f>
        <v>0</v>
      </c>
      <c r="G76" s="550"/>
      <c r="H76" s="2325"/>
      <c r="I76" s="2325"/>
    </row>
    <row r="77" spans="1:9" ht="60" customHeight="1" thickBot="1" x14ac:dyDescent="0.25">
      <c r="A77" s="2586" t="str">
        <f>F!A206</f>
        <v>F42</v>
      </c>
      <c r="B77" s="2529" t="str">
        <f>F!B206</f>
        <v>Channel Connection &amp; Outflow Duration</v>
      </c>
      <c r="C77" s="365"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77" s="304"/>
      <c r="E77" s="304"/>
      <c r="F77" s="305"/>
      <c r="G77" s="465">
        <f>IF((AllSat1&gt;0),"",MAX(F78:F82)/MAX(E78:E82))</f>
        <v>0.8</v>
      </c>
      <c r="H77" s="2729" t="s">
        <v>1722</v>
      </c>
      <c r="I77" s="2323" t="s">
        <v>92</v>
      </c>
    </row>
    <row r="78" spans="1:9" ht="15" customHeight="1" x14ac:dyDescent="0.2">
      <c r="A78" s="2399"/>
      <c r="B78" s="2404"/>
      <c r="C78" s="27" t="str">
        <f>F!C207</f>
        <v>Persistent (surface water flows out for &gt;9 months/year).</v>
      </c>
      <c r="D78" s="213">
        <f>F!D207</f>
        <v>0</v>
      </c>
      <c r="E78" s="300">
        <v>5</v>
      </c>
      <c r="F78" s="300">
        <f>D78*E78</f>
        <v>0</v>
      </c>
      <c r="G78" s="548"/>
      <c r="H78" s="2730"/>
      <c r="I78" s="2324"/>
    </row>
    <row r="79" spans="1:9" ht="15" customHeight="1" x14ac:dyDescent="0.2">
      <c r="A79" s="2399"/>
      <c r="B79" s="2404"/>
      <c r="C79" s="5" t="str">
        <f>F!C208</f>
        <v>Seasonal (surface water flows out for 14 days to 9 months/year, not necessarily consecutive).</v>
      </c>
      <c r="D79" s="205">
        <f>F!D208</f>
        <v>1</v>
      </c>
      <c r="E79" s="300">
        <v>4</v>
      </c>
      <c r="F79" s="300">
        <f>D79*E79</f>
        <v>4</v>
      </c>
      <c r="G79" s="549"/>
      <c r="H79" s="2730"/>
      <c r="I79" s="2324"/>
    </row>
    <row r="80" spans="1:9" ht="15" customHeight="1" x14ac:dyDescent="0.2">
      <c r="A80" s="2399"/>
      <c r="B80" s="2404"/>
      <c r="C80" s="5" t="str">
        <f>F!C209</f>
        <v>Temporary (surface water flows out for &lt;14 days, not necessarily consecutive).</v>
      </c>
      <c r="D80" s="205">
        <f>F!D209</f>
        <v>0</v>
      </c>
      <c r="E80" s="300">
        <v>3</v>
      </c>
      <c r="F80" s="300">
        <f>D80*E80</f>
        <v>0</v>
      </c>
      <c r="G80" s="549"/>
      <c r="H80" s="2730"/>
      <c r="I80" s="2324"/>
    </row>
    <row r="81" spans="1:9" ht="27" customHeight="1" x14ac:dyDescent="0.2">
      <c r="A81" s="2399"/>
      <c r="B81" s="2404"/>
      <c r="C81" s="5" t="str">
        <f>F!C210</f>
        <v>None -- but maps show a stream network downslope from the AA and within a distance that is less than the AA's length. SKIP to F47 (pH Measurement).</v>
      </c>
      <c r="D81" s="205">
        <f>F!D210</f>
        <v>0</v>
      </c>
      <c r="E81" s="300">
        <v>1</v>
      </c>
      <c r="F81" s="300">
        <f>D81*E81</f>
        <v>0</v>
      </c>
      <c r="G81" s="549"/>
      <c r="H81" s="2730"/>
      <c r="I81" s="2324"/>
    </row>
    <row r="82" spans="1:9" ht="27" customHeight="1" thickBot="1" x14ac:dyDescent="0.25">
      <c r="A82" s="2553"/>
      <c r="B82" s="2530"/>
      <c r="C82" s="153" t="str">
        <f>F!C211</f>
        <v>No surface water flows out of the wetland except possibly during extreme events (&lt;once per 10 years). Or, water flows only into a wetland, ditch, or lake that lacks an outlet. SKIP to F47 (pH Measurement).</v>
      </c>
      <c r="D82" s="206">
        <f>F!D211</f>
        <v>0</v>
      </c>
      <c r="E82" s="317">
        <v>0</v>
      </c>
      <c r="F82" s="301">
        <f>D82*E82</f>
        <v>0</v>
      </c>
      <c r="G82" s="550"/>
      <c r="H82" s="2731"/>
      <c r="I82" s="2325"/>
    </row>
    <row r="83" spans="1:9" ht="30" customHeight="1" thickBot="1" x14ac:dyDescent="0.25">
      <c r="A83" s="2489" t="str">
        <f>F!A212</f>
        <v>F43</v>
      </c>
      <c r="B83" s="2529" t="str">
        <f>F!B212</f>
        <v xml:space="preserve">Outflow Confinement </v>
      </c>
      <c r="C83" s="365" t="str">
        <f>F!C212</f>
        <v>During major runoff events, in the places where surface water exits the AA or connected waters nearby, the water:</v>
      </c>
      <c r="D83" s="304"/>
      <c r="E83" s="304"/>
      <c r="F83" s="305"/>
      <c r="G83" s="465">
        <f>IF((OutNone + OutNone1&gt;0),"",MAX(F84:F86)/MAX(E84:E86))</f>
        <v>0.5</v>
      </c>
      <c r="H83" s="2729" t="s">
        <v>1723</v>
      </c>
      <c r="I83" s="2323" t="s">
        <v>93</v>
      </c>
    </row>
    <row r="84" spans="1:9" ht="42" customHeight="1" x14ac:dyDescent="0.2">
      <c r="A84" s="2371"/>
      <c r="B84" s="2404"/>
      <c r="C84" s="27" t="str">
        <f>F!C213</f>
        <v>Mostly passes through a pipe, culvert, narrowly breached dike, berm, beaver dam, or other partial obstruction (other than natural topography) that does not appear to drain the wetland artificially during most of the growing season.</v>
      </c>
      <c r="D84" s="213">
        <f>F!D213</f>
        <v>0</v>
      </c>
      <c r="E84" s="300">
        <v>0</v>
      </c>
      <c r="F84" s="300">
        <f>D84*E84</f>
        <v>0</v>
      </c>
      <c r="G84" s="548"/>
      <c r="H84" s="2730"/>
      <c r="I84" s="2324"/>
    </row>
    <row r="85" spans="1:9" ht="15" customHeight="1" x14ac:dyDescent="0.2">
      <c r="A85" s="2371"/>
      <c r="B85" s="2404"/>
      <c r="C85" s="970" t="str">
        <f>F!C214</f>
        <v>Leaves through natural exits (channels or diffuse outflow), not mainly through artificial or temporary features.</v>
      </c>
      <c r="D85" s="205">
        <f>F!D214</f>
        <v>1</v>
      </c>
      <c r="E85" s="300">
        <v>1</v>
      </c>
      <c r="F85" s="300">
        <f>D85*E85</f>
        <v>1</v>
      </c>
      <c r="G85" s="561"/>
      <c r="H85" s="2730"/>
      <c r="I85" s="2324"/>
    </row>
    <row r="86" spans="1:9" ht="27" customHeight="1" thickBot="1" x14ac:dyDescent="0.25">
      <c r="A86" s="2490"/>
      <c r="B86" s="2530"/>
      <c r="C86" s="153" t="str">
        <f>F!C215</f>
        <v>Is exported more quickly than usual due to ditches or pipes within the AA or connected to its outlet, or within 10 m of the AA's edge, which drain the wetland artificially, or water is pumped out of the AA.</v>
      </c>
      <c r="D86" s="206">
        <f>F!D215</f>
        <v>0</v>
      </c>
      <c r="E86" s="301">
        <v>2</v>
      </c>
      <c r="F86" s="301">
        <f>D86*E86</f>
        <v>0</v>
      </c>
      <c r="G86" s="550"/>
      <c r="H86" s="2731"/>
      <c r="I86" s="2325"/>
    </row>
    <row r="87" spans="1:9" ht="30" customHeight="1" thickBot="1" x14ac:dyDescent="0.25">
      <c r="A87" s="2737" t="str">
        <f>F!A218</f>
        <v>F46</v>
      </c>
      <c r="B87" s="2404" t="str">
        <f>F!B218</f>
        <v>Throughflow Resistance</v>
      </c>
      <c r="C87" s="481" t="str">
        <f>F!C218</f>
        <v>During its travel through the AA at the time of peak annual flow, water arriving in channels: [select only the ONE encountered by most of the incoming water].</v>
      </c>
      <c r="D87" s="299"/>
      <c r="E87" s="299"/>
      <c r="F87" s="302"/>
      <c r="G87" s="466">
        <f>IF(AND(Inflows=0,OutNone=1,OutNone1=1),"",MAX(F88:F92)/MAX(E88:E92))</f>
        <v>1</v>
      </c>
      <c r="H87" s="2732" t="s">
        <v>1724</v>
      </c>
      <c r="I87" s="2323" t="s">
        <v>94</v>
      </c>
    </row>
    <row r="88" spans="1:9" ht="42" customHeight="1" x14ac:dyDescent="0.2">
      <c r="A88" s="2737"/>
      <c r="B88" s="2404"/>
      <c r="C88" s="27" t="str">
        <f>F!C219</f>
        <v>Does not bump into many plant stems as it travels through the AA. Nearly all the water continues to travel in unvegetated (often incised) channels that have minimal contact with wetland vegetation, or through a zone of open water such as an instream pond or lake.</v>
      </c>
      <c r="D88" s="213">
        <f>F!D219</f>
        <v>0</v>
      </c>
      <c r="E88" s="300">
        <v>0</v>
      </c>
      <c r="F88" s="300">
        <f>D88*E88</f>
        <v>0</v>
      </c>
      <c r="G88" s="548"/>
      <c r="H88" s="2730"/>
      <c r="I88" s="2324"/>
    </row>
    <row r="89" spans="1:9" ht="15" customHeight="1" x14ac:dyDescent="0.2">
      <c r="A89" s="2737"/>
      <c r="B89" s="2404"/>
      <c r="C89" s="5" t="str">
        <f>F!C220</f>
        <v>Bumps into herbaceous vegetation but mostly remains in fairly straight channels.</v>
      </c>
      <c r="D89" s="205">
        <f>F!D220</f>
        <v>0</v>
      </c>
      <c r="E89" s="300">
        <v>1</v>
      </c>
      <c r="F89" s="300">
        <f>D89*E89</f>
        <v>0</v>
      </c>
      <c r="G89" s="549"/>
      <c r="H89" s="2730"/>
      <c r="I89" s="2324"/>
    </row>
    <row r="90" spans="1:9" ht="27" customHeight="1" x14ac:dyDescent="0.2">
      <c r="A90" s="2737"/>
      <c r="B90" s="2404"/>
      <c r="C90" s="5" t="str">
        <f>F!C221</f>
        <v>Bumps into herbaceous vegetation and mostly spreads throughout, or is in widely meandering, multi-branched, or braided channels.</v>
      </c>
      <c r="D90" s="205">
        <f>F!D221</f>
        <v>1</v>
      </c>
      <c r="E90" s="300">
        <v>2</v>
      </c>
      <c r="F90" s="300">
        <f>D90*E90</f>
        <v>2</v>
      </c>
      <c r="G90" s="549"/>
      <c r="H90" s="2730"/>
      <c r="I90" s="2324"/>
    </row>
    <row r="91" spans="1:9" ht="15" customHeight="1" x14ac:dyDescent="0.2">
      <c r="A91" s="2737"/>
      <c r="B91" s="2404"/>
      <c r="C91" s="5" t="str">
        <f>F!C222</f>
        <v>Bumps into tree trunks and/or shrub stems but mostly remains in fairly straight channels.</v>
      </c>
      <c r="D91" s="205">
        <f>F!D222</f>
        <v>0</v>
      </c>
      <c r="E91" s="300">
        <v>1</v>
      </c>
      <c r="F91" s="300">
        <f>D91*E91</f>
        <v>0</v>
      </c>
      <c r="G91" s="549"/>
      <c r="H91" s="2730"/>
      <c r="I91" s="2324"/>
    </row>
    <row r="92" spans="1:9" ht="27" customHeight="1" thickBot="1" x14ac:dyDescent="0.25">
      <c r="A92" s="2737"/>
      <c r="B92" s="2404"/>
      <c r="C92" s="366" t="str">
        <f>F!C223</f>
        <v>Bumps into tree trunks and/or shrub stems and follows a fairly indirect path from entrance to exit (meandering, multi-branched, or braided).</v>
      </c>
      <c r="D92" s="211">
        <f>F!D223</f>
        <v>0</v>
      </c>
      <c r="E92" s="303">
        <v>2</v>
      </c>
      <c r="F92" s="303">
        <f>D92*E92</f>
        <v>0</v>
      </c>
      <c r="G92" s="558"/>
      <c r="H92" s="2733"/>
      <c r="I92" s="2325"/>
    </row>
    <row r="93" spans="1:9" ht="21" customHeight="1" thickBot="1" x14ac:dyDescent="0.25">
      <c r="A93" s="2586" t="str">
        <f>F!A237</f>
        <v>F50</v>
      </c>
      <c r="B93" s="2323" t="str">
        <f>F!B237</f>
        <v>Groundwater Strength of Evidence</v>
      </c>
      <c r="C93" s="365" t="str">
        <f>F!C237</f>
        <v>Select first applicable choice:</v>
      </c>
      <c r="D93" s="304"/>
      <c r="E93" s="304"/>
      <c r="F93" s="304"/>
      <c r="G93" s="465" t="str">
        <f>IF((D96=1),"",MAX(F94:F96)/MAX(E94:E96))</f>
        <v/>
      </c>
      <c r="H93" s="2323" t="s">
        <v>1725</v>
      </c>
      <c r="I93" s="2323" t="s">
        <v>410</v>
      </c>
    </row>
    <row r="94" spans="1:9" ht="42" customHeight="1" x14ac:dyDescent="0.2">
      <c r="A94" s="2399"/>
      <c r="B94" s="2324"/>
      <c r="C94" s="27"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94" s="213">
        <f>F!D238</f>
        <v>0</v>
      </c>
      <c r="E94" s="300">
        <v>2</v>
      </c>
      <c r="F94" s="300">
        <f>D94*E94</f>
        <v>0</v>
      </c>
      <c r="G94" s="549"/>
      <c r="H94" s="2324"/>
      <c r="I94" s="2324"/>
    </row>
    <row r="95" spans="1:9" ht="27" customHeight="1" x14ac:dyDescent="0.2">
      <c r="A95" s="2399"/>
      <c r="B95" s="2324"/>
      <c r="C95" s="5" t="str">
        <f>F!C239</f>
        <v>Most of the AA has a slope of &gt;5%, or is very close to the base of a natural slope longer than 100 and much steeper than the slope of the AA,  AND the pH of surface water, if known, is &gt;5.5.</v>
      </c>
      <c r="D95" s="205">
        <f>F!D239</f>
        <v>0</v>
      </c>
      <c r="E95" s="300">
        <v>1</v>
      </c>
      <c r="F95" s="300">
        <f>D95*E95</f>
        <v>0</v>
      </c>
      <c r="G95" s="549"/>
      <c r="H95" s="2324"/>
      <c r="I95" s="2324"/>
    </row>
    <row r="96" spans="1:9" ht="27" customHeight="1" thickBot="1" x14ac:dyDescent="0.25">
      <c r="A96" s="2553"/>
      <c r="B96" s="2325"/>
      <c r="C96" s="153" t="str">
        <f>F!C240</f>
        <v>Neither of above is true, although some groundwater may discharge to or flow through the AA. Or groundwater influx is unknown.</v>
      </c>
      <c r="D96" s="206">
        <f>F!D240</f>
        <v>1</v>
      </c>
      <c r="E96" s="301">
        <v>0</v>
      </c>
      <c r="F96" s="301">
        <f>D96*E96</f>
        <v>0</v>
      </c>
      <c r="G96" s="550"/>
      <c r="H96" s="2325"/>
      <c r="I96" s="2325"/>
    </row>
    <row r="97" spans="1:9" ht="21" customHeight="1" thickBot="1" x14ac:dyDescent="0.25">
      <c r="A97" s="2404" t="str">
        <f>F!A241</f>
        <v>F51</v>
      </c>
      <c r="B97" s="2529" t="str">
        <f>F!B241</f>
        <v>Internal Gradient</v>
      </c>
      <c r="C97" s="365" t="str">
        <f>F!C241</f>
        <v>The gradient along most of the flow path within the AA is:</v>
      </c>
      <c r="D97" s="555"/>
      <c r="E97" s="304"/>
      <c r="F97" s="305"/>
      <c r="G97" s="581">
        <f>MAX(F98:F101)/MAX(E98:E101)</f>
        <v>0</v>
      </c>
      <c r="H97" s="2529" t="s">
        <v>61</v>
      </c>
      <c r="I97" s="2323" t="s">
        <v>98</v>
      </c>
    </row>
    <row r="98" spans="1:9" ht="15" customHeight="1" x14ac:dyDescent="0.2">
      <c r="A98" s="2404"/>
      <c r="B98" s="2404"/>
      <c r="C98" s="27" t="str">
        <f>F!C242</f>
        <v>&lt;2% or the AA has no surface water outlet (not even seasonally).</v>
      </c>
      <c r="D98" s="205">
        <f>F!D242</f>
        <v>1</v>
      </c>
      <c r="E98" s="316">
        <v>0</v>
      </c>
      <c r="F98" s="300">
        <f>D98*E98</f>
        <v>0</v>
      </c>
      <c r="G98" s="665"/>
      <c r="H98" s="2404"/>
      <c r="I98" s="2324"/>
    </row>
    <row r="99" spans="1:9" ht="15" customHeight="1" x14ac:dyDescent="0.2">
      <c r="A99" s="2404"/>
      <c r="B99" s="2404"/>
      <c r="C99" s="1212" t="str">
        <f>F!C243</f>
        <v>2-5%.</v>
      </c>
      <c r="D99" s="205">
        <f>F!D243</f>
        <v>0</v>
      </c>
      <c r="E99" s="316">
        <v>2</v>
      </c>
      <c r="F99" s="300">
        <f>D99*E99</f>
        <v>0</v>
      </c>
      <c r="G99" s="666"/>
      <c r="H99" s="2404"/>
      <c r="I99" s="2324"/>
    </row>
    <row r="100" spans="1:9" ht="15" customHeight="1" x14ac:dyDescent="0.2">
      <c r="A100" s="2404"/>
      <c r="B100" s="2404"/>
      <c r="C100" s="1212" t="str">
        <f>F!C244</f>
        <v>6-10%.</v>
      </c>
      <c r="D100" s="205">
        <f>F!D244</f>
        <v>0</v>
      </c>
      <c r="E100" s="316">
        <v>3</v>
      </c>
      <c r="F100" s="300">
        <f>D100*E100</f>
        <v>0</v>
      </c>
      <c r="G100" s="666"/>
      <c r="H100" s="2404"/>
      <c r="I100" s="2324"/>
    </row>
    <row r="101" spans="1:9" ht="15" customHeight="1" thickBot="1" x14ac:dyDescent="0.25">
      <c r="A101" s="2404"/>
      <c r="B101" s="2530"/>
      <c r="C101" s="153" t="str">
        <f>F!C245</f>
        <v>&gt;10%.</v>
      </c>
      <c r="D101" s="206">
        <f>F!D245</f>
        <v>0</v>
      </c>
      <c r="E101" s="317">
        <v>4</v>
      </c>
      <c r="F101" s="301">
        <f>D101*E101</f>
        <v>0</v>
      </c>
      <c r="G101" s="667"/>
      <c r="H101" s="2408"/>
      <c r="I101" s="2325"/>
    </row>
    <row r="102" spans="1:9" ht="30" customHeight="1" thickBot="1" x14ac:dyDescent="0.25">
      <c r="A102" s="2665" t="str">
        <f>F!A262</f>
        <v>F56</v>
      </c>
      <c r="B102" s="2665" t="str">
        <f>F!B262</f>
        <v>New or Expanded Wetland</v>
      </c>
      <c r="C102" s="588" t="str">
        <f>F!C262</f>
        <v>Human actions within or adjacent to the AA have persistently expanded a naturally occurring wetland or created a wetland where there previously was none (e.g., by excavation, impoundment):</v>
      </c>
      <c r="D102" s="315"/>
      <c r="E102" s="315"/>
      <c r="F102" s="305"/>
      <c r="G102" s="465">
        <f>IF((D108=1),"",MAX(F103:F107)/MAX(E103:E107))</f>
        <v>1</v>
      </c>
      <c r="H102" s="2323" t="s">
        <v>1355</v>
      </c>
      <c r="I102" s="2323" t="s">
        <v>99</v>
      </c>
    </row>
    <row r="103" spans="1:9" ht="15" customHeight="1" x14ac:dyDescent="0.2">
      <c r="A103" s="2666"/>
      <c r="B103" s="2666"/>
      <c r="C103" s="1264" t="str">
        <f>F!C263</f>
        <v>No.</v>
      </c>
      <c r="D103" s="881">
        <f>F!D263</f>
        <v>1</v>
      </c>
      <c r="E103" s="458">
        <v>5</v>
      </c>
      <c r="F103" s="300">
        <f>D103*E103</f>
        <v>5</v>
      </c>
      <c r="G103" s="548"/>
      <c r="H103" s="2324"/>
      <c r="I103" s="2324"/>
    </row>
    <row r="104" spans="1:9" ht="15" customHeight="1" x14ac:dyDescent="0.2">
      <c r="A104" s="2666"/>
      <c r="B104" s="2666"/>
      <c r="C104" s="1262" t="str">
        <f>F!C264</f>
        <v xml:space="preserve">Yes, and created or expanded 20 - 100 years ago. </v>
      </c>
      <c r="D104" s="881">
        <f>F!D264</f>
        <v>0</v>
      </c>
      <c r="E104" s="458">
        <v>2</v>
      </c>
      <c r="F104" s="300">
        <f>D104*E104</f>
        <v>0</v>
      </c>
      <c r="G104" s="549"/>
      <c r="H104" s="2324"/>
      <c r="I104" s="2324"/>
    </row>
    <row r="105" spans="1:9" ht="15" customHeight="1" x14ac:dyDescent="0.2">
      <c r="A105" s="2666"/>
      <c r="B105" s="2666"/>
      <c r="C105" s="1262" t="str">
        <f>F!C265</f>
        <v>Yes, and created or expanded 3-20 years ago.</v>
      </c>
      <c r="D105" s="881">
        <f>F!D265</f>
        <v>0</v>
      </c>
      <c r="E105" s="458">
        <v>1</v>
      </c>
      <c r="F105" s="300">
        <f>D105*E105</f>
        <v>0</v>
      </c>
      <c r="G105" s="549"/>
      <c r="H105" s="2324"/>
      <c r="I105" s="2324"/>
    </row>
    <row r="106" spans="1:9" ht="15" customHeight="1" x14ac:dyDescent="0.2">
      <c r="A106" s="2666"/>
      <c r="B106" s="2666"/>
      <c r="C106" s="1262" t="str">
        <f>F!C266</f>
        <v>Yes, and created or expanded within last 3 years.</v>
      </c>
      <c r="D106" s="881">
        <f>F!D266</f>
        <v>0</v>
      </c>
      <c r="E106" s="458">
        <v>0</v>
      </c>
      <c r="F106" s="300">
        <f>D106*E106</f>
        <v>0</v>
      </c>
      <c r="G106" s="549"/>
      <c r="H106" s="2324"/>
      <c r="I106" s="2324"/>
    </row>
    <row r="107" spans="1:9" ht="15" customHeight="1" x14ac:dyDescent="0.2">
      <c r="A107" s="2666"/>
      <c r="B107" s="2666"/>
      <c r="C107" s="1262" t="str">
        <f>F!C267</f>
        <v>Yes, but time of origin or expansion unknown.</v>
      </c>
      <c r="D107" s="881">
        <f>F!D267</f>
        <v>0</v>
      </c>
      <c r="E107" s="458">
        <v>1</v>
      </c>
      <c r="F107" s="300">
        <f>D107*E107</f>
        <v>0</v>
      </c>
      <c r="G107" s="549"/>
      <c r="H107" s="2324"/>
      <c r="I107" s="2324"/>
    </row>
    <row r="108" spans="1:9" ht="15" customHeight="1" thickBot="1" x14ac:dyDescent="0.25">
      <c r="A108" s="2667"/>
      <c r="B108" s="2667"/>
      <c r="C108" s="1263" t="str">
        <f>F!C268</f>
        <v>Unknown if new or expanded within 20 years or not.</v>
      </c>
      <c r="D108" s="1059">
        <f>F!D268</f>
        <v>0</v>
      </c>
      <c r="E108" s="317"/>
      <c r="F108" s="329"/>
      <c r="G108" s="550"/>
      <c r="H108" s="2325"/>
      <c r="I108" s="2325"/>
    </row>
    <row r="109" spans="1:9" ht="21" customHeight="1" thickBot="1" x14ac:dyDescent="0.25">
      <c r="A109" s="2734"/>
      <c r="B109" s="2734"/>
      <c r="C109" s="2734"/>
      <c r="D109" s="2734"/>
      <c r="E109" s="2734"/>
      <c r="F109" s="2734"/>
      <c r="G109" s="2734"/>
      <c r="H109" s="2734"/>
      <c r="I109" s="996"/>
    </row>
    <row r="110" spans="1:9" ht="21" customHeight="1" x14ac:dyDescent="0.2">
      <c r="A110" s="2744"/>
      <c r="B110" s="2744"/>
      <c r="C110" s="2744"/>
      <c r="D110" s="2623" t="s">
        <v>1139</v>
      </c>
      <c r="E110" s="2624"/>
      <c r="F110" s="2624"/>
      <c r="G110" s="1269">
        <f>AVERAGE(SoilTex6,NewWet6)</f>
        <v>0.625</v>
      </c>
      <c r="H110" s="1432" t="s">
        <v>2073</v>
      </c>
      <c r="I110" s="1433" t="s">
        <v>2117</v>
      </c>
    </row>
    <row r="111" spans="1:9" ht="21" customHeight="1" x14ac:dyDescent="0.2">
      <c r="A111" s="2744"/>
      <c r="B111" s="2744"/>
      <c r="C111" s="2744"/>
      <c r="D111" s="2739" t="s">
        <v>1140</v>
      </c>
      <c r="E111" s="2740"/>
      <c r="F111" s="2740"/>
      <c r="G111" s="1270">
        <f>AVERAGE(FrozDur6,PlantCov6,NutrAvail6)</f>
        <v>0.59444444444444444</v>
      </c>
      <c r="H111" s="1407" t="s">
        <v>1141</v>
      </c>
      <c r="I111" s="1424" t="s">
        <v>2118</v>
      </c>
    </row>
    <row r="112" spans="1:9" ht="21" customHeight="1" x14ac:dyDescent="0.2">
      <c r="A112" s="2744"/>
      <c r="B112" s="2744"/>
      <c r="C112" s="2744"/>
      <c r="D112" s="2735" t="s">
        <v>1127</v>
      </c>
      <c r="E112" s="2736"/>
      <c r="F112" s="2736"/>
      <c r="G112" s="1270">
        <f>AVERAGE(Warmth6,Groundw6)</f>
        <v>0.625</v>
      </c>
      <c r="H112" s="1440" t="s">
        <v>2184</v>
      </c>
      <c r="I112" s="1424" t="s">
        <v>2119</v>
      </c>
    </row>
    <row r="113" spans="1:9" ht="21" customHeight="1" x14ac:dyDescent="0.2">
      <c r="A113" s="2744"/>
      <c r="B113" s="2744"/>
      <c r="C113" s="2744"/>
      <c r="D113" s="2735" t="s">
        <v>1150</v>
      </c>
      <c r="E113" s="2736"/>
      <c r="F113" s="2736"/>
      <c r="G113" s="1270">
        <f>AVERAGE(AqPlantCov6,Gcover6, Depth6)</f>
        <v>0.53333333333333333</v>
      </c>
      <c r="H113" s="1407" t="s">
        <v>1149</v>
      </c>
      <c r="I113" s="1424" t="s">
        <v>2120</v>
      </c>
    </row>
    <row r="114" spans="1:9" ht="21" customHeight="1" x14ac:dyDescent="0.2">
      <c r="A114" s="2744"/>
      <c r="B114" s="2744"/>
      <c r="C114" s="2744"/>
      <c r="D114" s="2735" t="s">
        <v>1128</v>
      </c>
      <c r="E114" s="2736"/>
      <c r="F114" s="2736"/>
      <c r="G114" s="1270">
        <f>AVERAGE(Wettype6,SeasWpct6, Fluctu6, Nfixer6)</f>
        <v>0.625</v>
      </c>
      <c r="H114" s="1427" t="s">
        <v>2475</v>
      </c>
      <c r="I114" s="1424" t="s">
        <v>2121</v>
      </c>
    </row>
    <row r="115" spans="1:9" ht="30" customHeight="1" thickBot="1" x14ac:dyDescent="0.25">
      <c r="A115" s="2744"/>
      <c r="B115" s="2744"/>
      <c r="C115" s="2744"/>
      <c r="D115" s="2681" t="s">
        <v>1129</v>
      </c>
      <c r="E115" s="2682"/>
      <c r="F115" s="2682"/>
      <c r="G115" s="1271">
        <f>AVERAGE(OutDura6, Gradient6, FloDist6,AVERAGE(Constric6, ThruFlo6, Interspers6,VwidthAbs6, PondedPct6))</f>
        <v>0.58499999999999996</v>
      </c>
      <c r="H115" s="1425" t="s">
        <v>2182</v>
      </c>
      <c r="I115" s="1426" t="s">
        <v>2122</v>
      </c>
    </row>
    <row r="116" spans="1:9" ht="21" customHeight="1" thickBot="1" x14ac:dyDescent="0.25">
      <c r="A116" s="2744"/>
      <c r="B116" s="2744"/>
      <c r="C116" s="2744"/>
      <c r="D116" s="978"/>
      <c r="E116" s="978"/>
      <c r="F116" s="978"/>
      <c r="G116" s="978"/>
      <c r="I116" s="478"/>
    </row>
    <row r="117" spans="1:9" ht="30" customHeight="1" thickBot="1" x14ac:dyDescent="0.25">
      <c r="A117" s="2685"/>
      <c r="B117" s="2582"/>
      <c r="C117" s="2557" t="s">
        <v>1170</v>
      </c>
      <c r="D117" s="2558"/>
      <c r="E117" s="2559"/>
      <c r="F117" s="1268" t="s">
        <v>52</v>
      </c>
      <c r="G117" s="1267">
        <f>10*(IF((OR(OutNone1,OutNone)=1),0,(3*ExportPot6 + 2*Productiv6 + HistAccum6)))/6</f>
        <v>5.9481481481481486</v>
      </c>
      <c r="H117" s="2525" t="s">
        <v>2451</v>
      </c>
      <c r="I117" s="2526"/>
    </row>
    <row r="118" spans="1:9" ht="21" customHeight="1" thickBot="1" x14ac:dyDescent="0.25">
      <c r="A118" s="990"/>
      <c r="B118" s="991"/>
      <c r="C118" s="1040"/>
      <c r="D118" s="1040"/>
      <c r="E118" s="1040"/>
      <c r="F118" s="1041"/>
      <c r="G118" s="652"/>
      <c r="H118" s="478"/>
      <c r="I118" s="478"/>
    </row>
    <row r="119" spans="1:9" ht="21" customHeight="1" thickBot="1" x14ac:dyDescent="0.25">
      <c r="A119" s="6"/>
      <c r="D119" s="6"/>
      <c r="E119" s="6"/>
      <c r="F119" s="6"/>
      <c r="G119" s="6"/>
      <c r="H119" s="2625" t="s">
        <v>669</v>
      </c>
      <c r="I119" s="2626"/>
    </row>
    <row r="120" spans="1:9" ht="42" customHeight="1" x14ac:dyDescent="0.2">
      <c r="A120" s="6"/>
      <c r="D120" s="6"/>
      <c r="E120" s="6"/>
      <c r="F120" s="6"/>
      <c r="G120" s="6"/>
      <c r="H120" s="2727" t="s">
        <v>792</v>
      </c>
      <c r="I120" s="2728"/>
    </row>
    <row r="121" spans="1:9" ht="42" customHeight="1" x14ac:dyDescent="0.2">
      <c r="A121" s="6"/>
      <c r="D121" s="6"/>
      <c r="E121" s="6"/>
      <c r="F121" s="6"/>
      <c r="G121" s="6"/>
      <c r="H121" s="2531" t="s">
        <v>718</v>
      </c>
      <c r="I121" s="2532"/>
    </row>
    <row r="122" spans="1:9" ht="27" customHeight="1" x14ac:dyDescent="0.2">
      <c r="A122" s="6"/>
      <c r="D122" s="6"/>
      <c r="E122" s="6"/>
      <c r="F122" s="6"/>
      <c r="G122" s="6"/>
      <c r="H122" s="2531" t="s">
        <v>719</v>
      </c>
      <c r="I122" s="2532"/>
    </row>
    <row r="123" spans="1:9" ht="27" customHeight="1" x14ac:dyDescent="0.2">
      <c r="A123" s="6"/>
      <c r="D123" s="6"/>
      <c r="E123" s="6"/>
      <c r="F123" s="6"/>
      <c r="G123" s="6"/>
      <c r="H123" s="2531" t="s">
        <v>1369</v>
      </c>
      <c r="I123" s="2532"/>
    </row>
    <row r="124" spans="1:9" ht="42" customHeight="1" x14ac:dyDescent="0.2">
      <c r="A124" s="6"/>
      <c r="D124" s="6"/>
      <c r="E124" s="6"/>
      <c r="F124" s="6"/>
      <c r="G124" s="6"/>
      <c r="H124" s="2531" t="s">
        <v>750</v>
      </c>
      <c r="I124" s="2532"/>
    </row>
    <row r="125" spans="1:9" ht="27" customHeight="1" x14ac:dyDescent="0.2">
      <c r="A125" s="6"/>
      <c r="D125" s="6"/>
      <c r="E125" s="6"/>
      <c r="F125" s="6"/>
      <c r="G125" s="6"/>
      <c r="H125" s="2531" t="s">
        <v>1516</v>
      </c>
      <c r="I125" s="2532"/>
    </row>
    <row r="126" spans="1:9" ht="42" customHeight="1" x14ac:dyDescent="0.2">
      <c r="A126" s="6"/>
      <c r="D126" s="6"/>
      <c r="E126" s="6"/>
      <c r="F126" s="6"/>
      <c r="G126" s="6"/>
      <c r="H126" s="2531" t="s">
        <v>793</v>
      </c>
      <c r="I126" s="2532"/>
    </row>
    <row r="127" spans="1:9" ht="42" customHeight="1" x14ac:dyDescent="0.2">
      <c r="A127" s="6"/>
      <c r="D127" s="6"/>
      <c r="E127" s="6"/>
      <c r="F127" s="6"/>
      <c r="G127" s="6"/>
      <c r="H127" s="2535" t="s">
        <v>1512</v>
      </c>
      <c r="I127" s="2536"/>
    </row>
    <row r="128" spans="1:9" ht="27" customHeight="1" x14ac:dyDescent="0.2">
      <c r="A128" s="6"/>
      <c r="D128" s="6"/>
      <c r="E128" s="6"/>
      <c r="F128" s="6"/>
      <c r="G128" s="6"/>
      <c r="H128" s="2531" t="s">
        <v>1513</v>
      </c>
      <c r="I128" s="2532"/>
    </row>
    <row r="129" spans="1:9" ht="27" customHeight="1" x14ac:dyDescent="0.2">
      <c r="A129" s="6"/>
      <c r="D129" s="6"/>
      <c r="E129" s="6"/>
      <c r="F129" s="6"/>
      <c r="G129" s="6"/>
      <c r="H129" s="2531" t="s">
        <v>794</v>
      </c>
      <c r="I129" s="2532"/>
    </row>
    <row r="130" spans="1:9" ht="27" customHeight="1" x14ac:dyDescent="0.2">
      <c r="A130" s="6"/>
      <c r="D130" s="6"/>
      <c r="E130" s="6"/>
      <c r="F130" s="6"/>
      <c r="G130" s="6"/>
      <c r="H130" s="2531" t="s">
        <v>1088</v>
      </c>
      <c r="I130" s="2532"/>
    </row>
    <row r="131" spans="1:9" ht="27" customHeight="1" x14ac:dyDescent="0.2">
      <c r="A131" s="6"/>
      <c r="D131" s="6"/>
      <c r="E131" s="6"/>
      <c r="F131" s="6"/>
      <c r="G131" s="6"/>
      <c r="H131" s="2531" t="s">
        <v>1514</v>
      </c>
      <c r="I131" s="2532"/>
    </row>
    <row r="132" spans="1:9" ht="42" customHeight="1" x14ac:dyDescent="0.2">
      <c r="A132" s="6"/>
      <c r="D132" s="6"/>
      <c r="E132" s="6"/>
      <c r="F132" s="6"/>
      <c r="G132" s="6"/>
      <c r="H132" s="2531" t="s">
        <v>1368</v>
      </c>
      <c r="I132" s="2532"/>
    </row>
    <row r="133" spans="1:9" ht="21" customHeight="1" x14ac:dyDescent="0.2">
      <c r="A133" s="6"/>
      <c r="D133" s="6"/>
      <c r="E133" s="6"/>
      <c r="F133" s="6"/>
      <c r="G133" s="6"/>
      <c r="H133" s="2531" t="s">
        <v>758</v>
      </c>
      <c r="I133" s="2532"/>
    </row>
    <row r="134" spans="1:9" ht="57" customHeight="1" x14ac:dyDescent="0.2">
      <c r="A134" s="6"/>
      <c r="D134" s="6"/>
      <c r="E134" s="6"/>
      <c r="F134" s="6"/>
      <c r="G134" s="6"/>
      <c r="H134" s="2531" t="s">
        <v>1452</v>
      </c>
      <c r="I134" s="2532"/>
    </row>
    <row r="135" spans="1:9" ht="27" customHeight="1" x14ac:dyDescent="0.2">
      <c r="A135" s="6"/>
      <c r="D135" s="6"/>
      <c r="E135" s="6"/>
      <c r="F135" s="6"/>
      <c r="G135" s="6"/>
      <c r="H135" s="2537" t="s">
        <v>930</v>
      </c>
      <c r="I135" s="2538"/>
    </row>
    <row r="136" spans="1:9" ht="42" customHeight="1" x14ac:dyDescent="0.2">
      <c r="A136" s="6"/>
      <c r="D136" s="6"/>
      <c r="E136" s="6"/>
      <c r="F136" s="6"/>
      <c r="G136" s="6"/>
      <c r="H136" s="2537" t="s">
        <v>1089</v>
      </c>
      <c r="I136" s="2538"/>
    </row>
    <row r="137" spans="1:9" ht="27" customHeight="1" x14ac:dyDescent="0.2">
      <c r="A137" s="6"/>
      <c r="D137" s="6"/>
      <c r="E137" s="6"/>
      <c r="F137" s="6"/>
      <c r="G137" s="6"/>
      <c r="H137" s="2537" t="s">
        <v>1413</v>
      </c>
      <c r="I137" s="2538"/>
    </row>
    <row r="138" spans="1:9" ht="57" customHeight="1" thickBot="1" x14ac:dyDescent="0.25">
      <c r="A138" s="6"/>
      <c r="D138" s="6"/>
      <c r="E138" s="6"/>
      <c r="F138" s="6"/>
      <c r="G138" s="6"/>
      <c r="H138" s="2570" t="s">
        <v>1515</v>
      </c>
      <c r="I138" s="2571"/>
    </row>
    <row r="139" spans="1:9" x14ac:dyDescent="0.2">
      <c r="A139" s="6"/>
      <c r="D139" s="6"/>
      <c r="E139" s="6"/>
      <c r="F139" s="6"/>
      <c r="G139" s="6"/>
    </row>
    <row r="140" spans="1:9" x14ac:dyDescent="0.2">
      <c r="A140" s="6"/>
      <c r="D140" s="6"/>
      <c r="E140" s="6"/>
      <c r="F140" s="6"/>
      <c r="G140" s="6"/>
    </row>
    <row r="141" spans="1:9" x14ac:dyDescent="0.2">
      <c r="A141" s="6"/>
      <c r="D141" s="6"/>
      <c r="E141" s="6"/>
      <c r="F141" s="6"/>
      <c r="G141" s="6"/>
    </row>
    <row r="142" spans="1:9" x14ac:dyDescent="0.2">
      <c r="A142" s="6"/>
      <c r="D142" s="6"/>
      <c r="E142" s="6"/>
      <c r="F142" s="6"/>
      <c r="G142" s="6"/>
    </row>
    <row r="143" spans="1:9" x14ac:dyDescent="0.2">
      <c r="A143" s="6"/>
      <c r="D143" s="6"/>
      <c r="E143" s="6"/>
      <c r="F143" s="6"/>
      <c r="G143" s="6"/>
    </row>
    <row r="144" spans="1:9" x14ac:dyDescent="0.2">
      <c r="A144" s="6"/>
      <c r="D144" s="6"/>
      <c r="E144" s="6"/>
      <c r="F144" s="6"/>
      <c r="G144" s="6"/>
    </row>
  </sheetData>
  <sheetProtection algorithmName="SHA-512" hashValue="NeCCuWhZrjWW89g/ygsQsg4kPZ3N2rtqYw3CPO7B8ztCVg+/aGyzqh7olSPj8MUn91RP3r9esbCvN2+yBMB58Q==" saltValue="CZHyDHeTl35UuVGA04ZuZA==" spinCount="100000" sheet="1" formatCells="0" formatColumns="0" formatRows="0"/>
  <customSheetViews>
    <customSheetView guid="{B8E02330-2419-4DE6-AD01-7ACC7A5D18DD}" scale="75">
      <selection activeCell="H127" sqref="A2:H127"/>
      <pageMargins left="0.75" right="0.75" top="1" bottom="1" header="0.5" footer="0.5"/>
      <pageSetup orientation="portrait" r:id="rId1"/>
      <headerFooter alignWithMargins="0"/>
    </customSheetView>
  </customSheetViews>
  <mergeCells count="105">
    <mergeCell ref="B3:B9"/>
    <mergeCell ref="H3:H9"/>
    <mergeCell ref="B41:B46"/>
    <mergeCell ref="B77:B82"/>
    <mergeCell ref="H35:H40"/>
    <mergeCell ref="H41:H46"/>
    <mergeCell ref="A47:A52"/>
    <mergeCell ref="B59:B65"/>
    <mergeCell ref="H59:H65"/>
    <mergeCell ref="H77:H82"/>
    <mergeCell ref="B66:B72"/>
    <mergeCell ref="B18:B23"/>
    <mergeCell ref="A18:A23"/>
    <mergeCell ref="A41:A46"/>
    <mergeCell ref="A35:A40"/>
    <mergeCell ref="A24:A28"/>
    <mergeCell ref="H11:H17"/>
    <mergeCell ref="A59:A65"/>
    <mergeCell ref="A66:A72"/>
    <mergeCell ref="A29:A34"/>
    <mergeCell ref="B24:B28"/>
    <mergeCell ref="E1:I1"/>
    <mergeCell ref="I97:I101"/>
    <mergeCell ref="I3:I9"/>
    <mergeCell ref="D113:F113"/>
    <mergeCell ref="A3:A9"/>
    <mergeCell ref="A97:A101"/>
    <mergeCell ref="A53:A58"/>
    <mergeCell ref="B53:B58"/>
    <mergeCell ref="B35:B40"/>
    <mergeCell ref="H24:H28"/>
    <mergeCell ref="B11:B17"/>
    <mergeCell ref="B29:B34"/>
    <mergeCell ref="B93:B96"/>
    <mergeCell ref="B83:B86"/>
    <mergeCell ref="A109:C116"/>
    <mergeCell ref="B87:B92"/>
    <mergeCell ref="A83:A86"/>
    <mergeCell ref="D110:F110"/>
    <mergeCell ref="A102:A108"/>
    <mergeCell ref="A11:A17"/>
    <mergeCell ref="A1:B1"/>
    <mergeCell ref="I11:I17"/>
    <mergeCell ref="I24:I28"/>
    <mergeCell ref="I29:I34"/>
    <mergeCell ref="A117:B117"/>
    <mergeCell ref="D109:H109"/>
    <mergeCell ref="H66:H72"/>
    <mergeCell ref="H47:H52"/>
    <mergeCell ref="H73:H76"/>
    <mergeCell ref="D114:F114"/>
    <mergeCell ref="C117:E117"/>
    <mergeCell ref="D115:F115"/>
    <mergeCell ref="H87:H92"/>
    <mergeCell ref="A93:A96"/>
    <mergeCell ref="A87:A92"/>
    <mergeCell ref="B102:B108"/>
    <mergeCell ref="H102:H108"/>
    <mergeCell ref="A77:A82"/>
    <mergeCell ref="A73:A76"/>
    <mergeCell ref="B47:B52"/>
    <mergeCell ref="B73:B76"/>
    <mergeCell ref="D111:F111"/>
    <mergeCell ref="D112:F112"/>
    <mergeCell ref="H97:H101"/>
    <mergeCell ref="B97:B101"/>
    <mergeCell ref="H93:H96"/>
    <mergeCell ref="I77:I82"/>
    <mergeCell ref="I83:I86"/>
    <mergeCell ref="I87:I92"/>
    <mergeCell ref="I93:I96"/>
    <mergeCell ref="I18:I23"/>
    <mergeCell ref="H123:I123"/>
    <mergeCell ref="H124:I124"/>
    <mergeCell ref="H125:I125"/>
    <mergeCell ref="H126:I126"/>
    <mergeCell ref="I102:I108"/>
    <mergeCell ref="H83:H86"/>
    <mergeCell ref="I47:I52"/>
    <mergeCell ref="I59:I65"/>
    <mergeCell ref="I66:I72"/>
    <mergeCell ref="I73:I76"/>
    <mergeCell ref="H18:H23"/>
    <mergeCell ref="I53:I58"/>
    <mergeCell ref="I35:I40"/>
    <mergeCell ref="I41:I46"/>
    <mergeCell ref="H29:H34"/>
    <mergeCell ref="H53:H58"/>
    <mergeCell ref="H127:I127"/>
    <mergeCell ref="H117:I117"/>
    <mergeCell ref="H119:I119"/>
    <mergeCell ref="H120:I120"/>
    <mergeCell ref="H121:I121"/>
    <mergeCell ref="H122:I122"/>
    <mergeCell ref="H138:I138"/>
    <mergeCell ref="H133:I133"/>
    <mergeCell ref="H134:I134"/>
    <mergeCell ref="H135:I135"/>
    <mergeCell ref="H136:I136"/>
    <mergeCell ref="H137:I137"/>
    <mergeCell ref="H128:I128"/>
    <mergeCell ref="H129:I129"/>
    <mergeCell ref="H130:I130"/>
    <mergeCell ref="H131:I131"/>
    <mergeCell ref="H132:I132"/>
  </mergeCells>
  <phoneticPr fontId="3" type="noConversion"/>
  <pageMargins left="0.75" right="0.75" top="1" bottom="1" header="0.5" footer="0.5"/>
  <pageSetup orientation="portrait"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K691"/>
  <sheetViews>
    <sheetView zoomScaleNormal="100" workbookViewId="0">
      <selection sqref="A1:B1"/>
    </sheetView>
  </sheetViews>
  <sheetFormatPr defaultColWidth="9.33203125" defaultRowHeight="16.5" x14ac:dyDescent="0.2"/>
  <cols>
    <col min="1" max="1" width="5.83203125" style="49" customWidth="1"/>
    <col min="2" max="2" width="18.83203125" style="9" customWidth="1"/>
    <col min="3" max="3" width="75.83203125" style="6" customWidth="1"/>
    <col min="4" max="6" width="7.83203125" style="140" customWidth="1"/>
    <col min="7" max="7" width="9.5" style="138" customWidth="1"/>
    <col min="8" max="8" width="64.83203125" style="21" customWidth="1"/>
    <col min="9" max="9" width="9.83203125" style="9" customWidth="1"/>
    <col min="10" max="10" width="9.33203125" style="110"/>
    <col min="11" max="16384" width="9.33203125" style="9"/>
  </cols>
  <sheetData>
    <row r="1" spans="1:10" s="2077" customFormat="1" ht="72" customHeight="1" thickBot="1" x14ac:dyDescent="0.25">
      <c r="A1" s="2546" t="s">
        <v>1358</v>
      </c>
      <c r="B1" s="2547"/>
      <c r="C1" s="2042" t="s">
        <v>2557</v>
      </c>
      <c r="D1" s="2078" t="s">
        <v>1069</v>
      </c>
      <c r="E1" s="2760"/>
      <c r="F1" s="2761"/>
      <c r="G1" s="2761"/>
      <c r="H1" s="2761"/>
      <c r="I1" s="2761"/>
      <c r="J1" s="2076"/>
    </row>
    <row r="2" spans="1:10" s="106" customFormat="1" ht="36" customHeight="1" thickBot="1" x14ac:dyDescent="0.25">
      <c r="A2" s="1195" t="s">
        <v>88</v>
      </c>
      <c r="B2" s="1158" t="s">
        <v>1425</v>
      </c>
      <c r="C2" s="1196" t="s">
        <v>1165</v>
      </c>
      <c r="D2" s="1158" t="s">
        <v>45</v>
      </c>
      <c r="E2" s="1249" t="s">
        <v>1189</v>
      </c>
      <c r="F2" s="1250" t="s">
        <v>2580</v>
      </c>
      <c r="G2" s="1251" t="s">
        <v>2555</v>
      </c>
      <c r="H2" s="1158" t="s">
        <v>1118</v>
      </c>
      <c r="I2" s="1232" t="s">
        <v>2424</v>
      </c>
      <c r="J2" s="151"/>
    </row>
    <row r="3" spans="1:10" s="2" customFormat="1" ht="21" customHeight="1" thickBot="1" x14ac:dyDescent="0.25">
      <c r="A3" s="2399" t="str">
        <f>OF!A79</f>
        <v>OF15</v>
      </c>
      <c r="B3" s="2776" t="str">
        <f>OF!B79</f>
        <v>Tidal Proximity</v>
      </c>
      <c r="C3" s="1213" t="str">
        <f>OF!C79</f>
        <v>The distance from the AA edge to the closest tidal water body (regardless of its salinity) is:</v>
      </c>
      <c r="D3" s="299"/>
      <c r="E3" s="299"/>
      <c r="F3" s="299"/>
      <c r="G3" s="1286">
        <f>MAX(F4:F8)/MAX(E4:E8)</f>
        <v>1</v>
      </c>
      <c r="H3" s="2324" t="s">
        <v>2185</v>
      </c>
      <c r="I3" s="2323" t="s">
        <v>133</v>
      </c>
      <c r="J3" s="151"/>
    </row>
    <row r="4" spans="1:10" s="2" customFormat="1" ht="15" customHeight="1" x14ac:dyDescent="0.2">
      <c r="A4" s="2399"/>
      <c r="B4" s="2776"/>
      <c r="C4" s="480" t="str">
        <f>OF!C80</f>
        <v>&lt;100 m.</v>
      </c>
      <c r="D4" s="213">
        <f>OF!D80</f>
        <v>1</v>
      </c>
      <c r="E4" s="300">
        <v>4</v>
      </c>
      <c r="F4" s="300">
        <f>D4*E4</f>
        <v>4</v>
      </c>
      <c r="G4" s="549"/>
      <c r="H4" s="2324"/>
      <c r="I4" s="2324"/>
      <c r="J4" s="151"/>
    </row>
    <row r="5" spans="1:10" s="2" customFormat="1" ht="15" customHeight="1" x14ac:dyDescent="0.2">
      <c r="A5" s="2399"/>
      <c r="B5" s="2776"/>
      <c r="C5" s="419" t="str">
        <f>OF!C81</f>
        <v>100 m - 1 km.</v>
      </c>
      <c r="D5" s="205">
        <f>OF!D81</f>
        <v>0</v>
      </c>
      <c r="E5" s="300">
        <v>4</v>
      </c>
      <c r="F5" s="300">
        <f>D5*E5</f>
        <v>0</v>
      </c>
      <c r="G5" s="549"/>
      <c r="H5" s="2324"/>
      <c r="I5" s="2324"/>
      <c r="J5" s="151"/>
    </row>
    <row r="6" spans="1:10" s="2" customFormat="1" ht="15" customHeight="1" x14ac:dyDescent="0.2">
      <c r="A6" s="2399"/>
      <c r="B6" s="2776"/>
      <c r="C6" s="419" t="str">
        <f>OF!C82</f>
        <v>1 - 5 km.</v>
      </c>
      <c r="D6" s="205">
        <f>OF!D82</f>
        <v>0</v>
      </c>
      <c r="E6" s="300">
        <v>3</v>
      </c>
      <c r="F6" s="300">
        <f>D6*E6</f>
        <v>0</v>
      </c>
      <c r="G6" s="549"/>
      <c r="H6" s="2324"/>
      <c r="I6" s="2324"/>
      <c r="J6" s="151"/>
    </row>
    <row r="7" spans="1:10" s="2" customFormat="1" ht="15" customHeight="1" x14ac:dyDescent="0.2">
      <c r="A7" s="2399"/>
      <c r="B7" s="2776"/>
      <c r="C7" s="419" t="str">
        <f>OF!C84</f>
        <v>10-40 km.</v>
      </c>
      <c r="D7" s="205">
        <f>OF!D84</f>
        <v>0</v>
      </c>
      <c r="E7" s="300">
        <v>2</v>
      </c>
      <c r="F7" s="300">
        <f>D7*E7</f>
        <v>0</v>
      </c>
      <c r="G7" s="549"/>
      <c r="H7" s="2324"/>
      <c r="I7" s="2324"/>
      <c r="J7" s="151"/>
    </row>
    <row r="8" spans="1:10" s="2" customFormat="1" ht="15" customHeight="1" thickBot="1" x14ac:dyDescent="0.25">
      <c r="A8" s="2553"/>
      <c r="B8" s="2777"/>
      <c r="C8" s="1589" t="str">
        <f>OF!C85</f>
        <v>&gt;40 km.</v>
      </c>
      <c r="D8" s="211">
        <f>OF!D85</f>
        <v>0</v>
      </c>
      <c r="E8" s="303">
        <v>0</v>
      </c>
      <c r="F8" s="303">
        <f>D8*E8</f>
        <v>0</v>
      </c>
      <c r="G8" s="558"/>
      <c r="H8" s="2324"/>
      <c r="I8" s="2325"/>
      <c r="J8" s="151"/>
    </row>
    <row r="9" spans="1:10" s="1588" customFormat="1" ht="60" customHeight="1" thickBot="1" x14ac:dyDescent="0.25">
      <c r="A9" s="1170" t="str">
        <f>OF!A97</f>
        <v>OF18</v>
      </c>
      <c r="B9" s="73" t="str">
        <f>OF!B97</f>
        <v>Relative Elevation in Watershed</v>
      </c>
      <c r="C9" s="1903" t="str">
        <f>OF!C97</f>
        <v>In Google Earth, enable the Terrain layer (lower left menu) and open the NB_Watersheds KMZ file that accompanies this calculator. Then determine the AA's approximate elevation (bottom right, NOT the "eye alt").  Then move cursor around to determine the watershed's maximum and minimum elevation.  Divide the AA's elevation by the (max-min).</v>
      </c>
      <c r="D9" s="323"/>
      <c r="E9" s="323"/>
      <c r="F9" s="323"/>
      <c r="G9" s="425">
        <f>1-ShedPos</f>
        <v>0.99</v>
      </c>
      <c r="H9" s="1904" t="s">
        <v>2572</v>
      </c>
      <c r="I9" s="73" t="s">
        <v>2476</v>
      </c>
      <c r="J9" s="151"/>
    </row>
    <row r="10" spans="1:10" s="2" customFormat="1" ht="45" customHeight="1" thickBot="1" x14ac:dyDescent="0.25">
      <c r="A10" s="2778" t="str">
        <f>OF!A99</f>
        <v>OF20</v>
      </c>
      <c r="B10" s="2324" t="str">
        <f>OF!B99</f>
        <v xml:space="preserve">Degraded Water Upstream </v>
      </c>
      <c r="C10" s="1587" t="str">
        <f>OF!C99</f>
        <v xml:space="preserve">Sampling indicates a problem with concentrations of metals, hydrocarbons, nutrients, or other substances (excluding bacteria, acidic water, high temperatures) being present at levels harmful to aquatic life or humans, and:  </v>
      </c>
      <c r="D10" s="299"/>
      <c r="E10" s="299"/>
      <c r="F10" s="302"/>
      <c r="G10" s="466" t="str">
        <f>IF((D14=1),"", IF((D13=1),1, IF((D12=1),0.2, 0)))</f>
        <v/>
      </c>
      <c r="H10" s="2324" t="s">
        <v>1517</v>
      </c>
      <c r="I10" s="2324" t="s">
        <v>414</v>
      </c>
      <c r="J10" s="151"/>
    </row>
    <row r="11" spans="1:10" s="2" customFormat="1" ht="15" customHeight="1" x14ac:dyDescent="0.2">
      <c r="A11" s="2779"/>
      <c r="B11" s="2324"/>
      <c r="C11" s="1894" t="str">
        <f>OF!C100</f>
        <v>The condition is present within the AA.</v>
      </c>
      <c r="D11" s="213">
        <f>OF!D100</f>
        <v>0</v>
      </c>
      <c r="E11" s="299"/>
      <c r="F11" s="300"/>
      <c r="G11" s="548"/>
      <c r="H11" s="2324"/>
      <c r="I11" s="2324"/>
      <c r="J11" s="151"/>
    </row>
    <row r="12" spans="1:10" s="2" customFormat="1" ht="27" customHeight="1" x14ac:dyDescent="0.2">
      <c r="A12" s="2779"/>
      <c r="B12" s="2324"/>
      <c r="C12" s="1894" t="str">
        <f>OF!C101</f>
        <v>The condition is present in waters within 1 km that flow into the AA, but has not been documented in the AA itself.</v>
      </c>
      <c r="D12" s="213">
        <f>OF!D101</f>
        <v>0</v>
      </c>
      <c r="E12" s="299"/>
      <c r="F12" s="300"/>
      <c r="G12" s="549"/>
      <c r="H12" s="2324"/>
      <c r="I12" s="2324"/>
      <c r="J12" s="151"/>
    </row>
    <row r="13" spans="1:10" s="2" customFormat="1" ht="27" customHeight="1" x14ac:dyDescent="0.2">
      <c r="A13" s="2779"/>
      <c r="B13" s="2324"/>
      <c r="C13" s="1894" t="str">
        <f>OF!C102</f>
        <v>Sampling during both low water periods and times with high runoff (storms, snowmelt) indicates no problems in either the AA or inflowing waters.</v>
      </c>
      <c r="D13" s="213">
        <f>OF!D102</f>
        <v>0</v>
      </c>
      <c r="E13" s="299"/>
      <c r="F13" s="300"/>
      <c r="G13" s="549"/>
      <c r="H13" s="2324"/>
      <c r="I13" s="2324"/>
      <c r="J13" s="151"/>
    </row>
    <row r="14" spans="1:10" s="2" customFormat="1" ht="27" customHeight="1" thickBot="1" x14ac:dyDescent="0.25">
      <c r="A14" s="2780"/>
      <c r="B14" s="2325"/>
      <c r="C14" s="1902" t="str">
        <f>OF!C103</f>
        <v>Data are insufficient (no or inadequate sampling within 1 km, or condition exists only at &gt;1 km upstream). This is the situation for nearly all wetlands in this region.</v>
      </c>
      <c r="D14" s="244">
        <f>OF!D103</f>
        <v>1</v>
      </c>
      <c r="E14" s="314"/>
      <c r="F14" s="301"/>
      <c r="G14" s="550"/>
      <c r="H14" s="2325"/>
      <c r="I14" s="2325"/>
      <c r="J14" s="151"/>
    </row>
    <row r="15" spans="1:10" s="2" customFormat="1" ht="45" customHeight="1" thickBot="1" x14ac:dyDescent="0.25">
      <c r="A15" s="2586" t="str">
        <f>OF!A114</f>
        <v>OF23</v>
      </c>
      <c r="B15" s="2323" t="str">
        <f>OF!B114</f>
        <v>Unvegetated Surface in the Contributing Area</v>
      </c>
      <c r="C15" s="365" t="str">
        <f>OF!C114</f>
        <v>The proportion of the AA's contributing area (measured to no more than 1000 m upslope) that is comprised of buildings, roads, parking lots, other pavement, exposed bedrock, landslides, and other mostly-bare surface is about :</v>
      </c>
      <c r="D15" s="304"/>
      <c r="E15" s="304"/>
      <c r="F15" s="304"/>
      <c r="G15" s="428">
        <f>MAX(F16:F18)/MAX(E16:E18)</f>
        <v>1</v>
      </c>
      <c r="H15" s="2323" t="s">
        <v>650</v>
      </c>
      <c r="I15" s="2323" t="s">
        <v>135</v>
      </c>
      <c r="J15" s="151"/>
    </row>
    <row r="16" spans="1:10" s="2" customFormat="1" ht="15" customHeight="1" x14ac:dyDescent="0.2">
      <c r="A16" s="2399"/>
      <c r="B16" s="2324"/>
      <c r="C16" s="1894" t="str">
        <f>OF!C115</f>
        <v>&lt;10%.</v>
      </c>
      <c r="D16" s="213">
        <f>OF!D115</f>
        <v>1</v>
      </c>
      <c r="E16" s="300">
        <v>2</v>
      </c>
      <c r="F16" s="300">
        <f>D16*E16</f>
        <v>2</v>
      </c>
      <c r="G16" s="549"/>
      <c r="H16" s="2324"/>
      <c r="I16" s="2324"/>
      <c r="J16" s="151"/>
    </row>
    <row r="17" spans="1:10" s="2" customFormat="1" ht="15" customHeight="1" x14ac:dyDescent="0.2">
      <c r="A17" s="2399"/>
      <c r="B17" s="2324"/>
      <c r="C17" s="1471" t="str">
        <f>OF!C116</f>
        <v>10 to 25%.</v>
      </c>
      <c r="D17" s="205">
        <f>OF!D116</f>
        <v>0</v>
      </c>
      <c r="E17" s="300">
        <v>1</v>
      </c>
      <c r="F17" s="300">
        <f>D17*E17</f>
        <v>0</v>
      </c>
      <c r="G17" s="549"/>
      <c r="H17" s="2324"/>
      <c r="I17" s="2324"/>
      <c r="J17" s="151"/>
    </row>
    <row r="18" spans="1:10" s="2" customFormat="1" ht="15" customHeight="1" thickBot="1" x14ac:dyDescent="0.25">
      <c r="A18" s="2553"/>
      <c r="B18" s="2325"/>
      <c r="C18" s="1479" t="str">
        <f>OF!C117</f>
        <v>&gt;25%.</v>
      </c>
      <c r="D18" s="206">
        <f>OF!D117</f>
        <v>0</v>
      </c>
      <c r="E18" s="301">
        <v>0</v>
      </c>
      <c r="F18" s="301">
        <f>D18*E18</f>
        <v>0</v>
      </c>
      <c r="G18" s="550"/>
      <c r="H18" s="2325"/>
      <c r="I18" s="2325"/>
      <c r="J18" s="151"/>
    </row>
    <row r="19" spans="1:10" s="13" customFormat="1" ht="21" customHeight="1" thickBot="1" x14ac:dyDescent="0.25">
      <c r="A19" s="2586" t="str">
        <f>OF!A134</f>
        <v>OF28</v>
      </c>
      <c r="B19" s="2323" t="str">
        <f>OF!B134</f>
        <v>Fish Access or Use</v>
      </c>
      <c r="C19" s="365" t="str">
        <f>OF!C134</f>
        <v>According to agency biologists and/or your own observations, the AA. [Mark just the first choice that is true.]:</v>
      </c>
      <c r="D19" s="304"/>
      <c r="E19" s="304"/>
      <c r="F19" s="563"/>
      <c r="G19" s="465">
        <f>MAX(F20,F21)/2</f>
        <v>0</v>
      </c>
      <c r="H19" s="2323" t="s">
        <v>23</v>
      </c>
      <c r="I19" s="2323" t="s">
        <v>134</v>
      </c>
      <c r="J19" s="155"/>
    </row>
    <row r="20" spans="1:10" s="13" customFormat="1" ht="42" customHeight="1" x14ac:dyDescent="0.2">
      <c r="A20" s="2399"/>
      <c r="B20" s="2324"/>
      <c r="C20" s="1894" t="str">
        <f>OF!C135</f>
        <v>Is known to support rearing and/or spawning by Atlantic salmon or other anadromous species or eels.  In NB, consult Figure A-2 in Appendix A of the Manual.  Contact local fishery biologists, review the ACCDC report, and visit these websites: http://www.salmonatlas.com/atlanticsalmon/canada-east/index.1.html    http://atlanticsalmonfederation.org/rivers/introduction.html</v>
      </c>
      <c r="D20" s="213">
        <f>OF!D135</f>
        <v>0</v>
      </c>
      <c r="E20" s="316">
        <v>2</v>
      </c>
      <c r="F20" s="300">
        <f>D20*E20</f>
        <v>0</v>
      </c>
      <c r="G20" s="302"/>
      <c r="H20" s="2324"/>
      <c r="I20" s="2324"/>
      <c r="J20" s="155"/>
    </row>
    <row r="21" spans="1:10" s="13" customFormat="1" ht="42" customHeight="1" x14ac:dyDescent="0.2">
      <c r="A21" s="2399"/>
      <c r="B21" s="2324"/>
      <c r="C21" s="1471" t="str">
        <f>OF!C136</f>
        <v>Has not been documented to support Atlantic salmon rearing and/or spawning, but is connected to nearby waters likely to contain Atlantic salmon or other anadromous species or eels and is probably accessed by those during some conditions.</v>
      </c>
      <c r="D21" s="205">
        <f>OF!D136</f>
        <v>0</v>
      </c>
      <c r="E21" s="316">
        <v>1</v>
      </c>
      <c r="F21" s="300">
        <f>D21*E21</f>
        <v>0</v>
      </c>
      <c r="G21" s="325"/>
      <c r="H21" s="2324"/>
      <c r="I21" s="2324"/>
      <c r="J21" s="155"/>
    </row>
    <row r="22" spans="1:10" s="13" customFormat="1" ht="27" customHeight="1" x14ac:dyDescent="0.2">
      <c r="A22" s="2399"/>
      <c r="B22" s="2324"/>
      <c r="C22" s="1471" t="str">
        <f>OF!C137</f>
        <v>Is probably is not accessed by any anadromous fish species but is known or likely to have other fish at least seasonally.</v>
      </c>
      <c r="D22" s="205">
        <f>OF!D137</f>
        <v>1</v>
      </c>
      <c r="E22" s="316">
        <v>0</v>
      </c>
      <c r="F22" s="300">
        <f>D22*E22</f>
        <v>0</v>
      </c>
      <c r="G22" s="325"/>
      <c r="H22" s="2324"/>
      <c r="I22" s="2324"/>
      <c r="J22" s="155"/>
    </row>
    <row r="23" spans="1:10" s="13" customFormat="1" ht="27" customHeight="1" thickBot="1" x14ac:dyDescent="0.25">
      <c r="A23" s="2553"/>
      <c r="B23" s="2325"/>
      <c r="C23" s="1479" t="str">
        <f>OF!C138</f>
        <v xml:space="preserve">Is known or likely to be fishless (e.g., too small, dry, and/or not accessible even temporarily, and not stocked). </v>
      </c>
      <c r="D23" s="206">
        <f>OF!D138</f>
        <v>0</v>
      </c>
      <c r="E23" s="317">
        <v>0</v>
      </c>
      <c r="F23" s="301">
        <f>D23*E23</f>
        <v>0</v>
      </c>
      <c r="G23" s="329"/>
      <c r="H23" s="2325"/>
      <c r="I23" s="2325"/>
      <c r="J23" s="155"/>
    </row>
    <row r="24" spans="1:10" s="13" customFormat="1" ht="68.25" customHeight="1" thickBot="1" x14ac:dyDescent="0.25">
      <c r="A24" s="157" t="str">
        <f>OF!A152</f>
        <v>OF37</v>
      </c>
      <c r="B24" s="157" t="str">
        <f>OF!B152</f>
        <v>Calcareous Region</v>
      </c>
      <c r="C24" s="157" t="str">
        <f>OF!C152</f>
        <v xml:space="preserve">The AA is in an area that is at least partly underlain by soil, sediment, or bedrock that is highly calcareous (enter 3 in next column), moderately calcareous (enter 2), or slightly calcareous (enter 1), none= 0. Limestone is typically a major component (karst geology) and water is not acidic (pH is usually &gt;8).See Figure A-6 in Appendix A of the Manual.  If no map coverage, change to blank.
</v>
      </c>
      <c r="D24" s="243">
        <f>IF((OF!D152=""),"",OF!D152)</f>
        <v>0</v>
      </c>
      <c r="E24" s="611"/>
      <c r="F24" s="312"/>
      <c r="G24" s="428">
        <f>IF((D24=""),"",D24/3)</f>
        <v>0</v>
      </c>
      <c r="H24" s="103" t="s">
        <v>2909</v>
      </c>
      <c r="I24" s="1287" t="s">
        <v>413</v>
      </c>
      <c r="J24" s="155"/>
    </row>
    <row r="25" spans="1:10" s="7" customFormat="1" ht="27.75" customHeight="1" thickBot="1" x14ac:dyDescent="0.25">
      <c r="A25" s="2323" t="str">
        <f>F!A4</f>
        <v>F1</v>
      </c>
      <c r="B25" s="2323" t="str">
        <f>F!B4</f>
        <v>Wetland Type</v>
      </c>
      <c r="C25" s="1317" t="str">
        <f>F!C4</f>
        <v>Follow the key below and mark the ONE row that best describes MOST of the vegetated part of the AA:</v>
      </c>
      <c r="D25" s="304"/>
      <c r="E25" s="1050"/>
      <c r="F25" s="942"/>
      <c r="G25" s="581">
        <f>MAX(F27:F31)/MAX(E27:E31)</f>
        <v>1</v>
      </c>
      <c r="H25" s="2323" t="s">
        <v>1558</v>
      </c>
      <c r="I25" s="2323" t="s">
        <v>152</v>
      </c>
      <c r="J25" s="151"/>
    </row>
    <row r="26" spans="1:10" s="7" customFormat="1" ht="57" customHeight="1" thickBot="1" x14ac:dyDescent="0.25">
      <c r="A26" s="2324"/>
      <c r="B26" s="2324"/>
      <c r="C26" s="1317"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26" s="299"/>
      <c r="E26" s="300"/>
      <c r="F26" s="300"/>
      <c r="G26" s="299"/>
      <c r="H26" s="2723"/>
      <c r="I26" s="2324"/>
      <c r="J26" s="151"/>
    </row>
    <row r="27" spans="1:10" s="7" customFormat="1" ht="69" customHeight="1" x14ac:dyDescent="0.2">
      <c r="A27" s="2324"/>
      <c r="B27" s="2324"/>
      <c r="C27" s="100"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27" s="205">
        <f>F!D6</f>
        <v>0</v>
      </c>
      <c r="E27" s="316">
        <v>0</v>
      </c>
      <c r="F27" s="300">
        <f>D27*E27</f>
        <v>0</v>
      </c>
      <c r="G27" s="605"/>
      <c r="H27" s="2324"/>
      <c r="I27" s="2324"/>
      <c r="J27" s="151"/>
    </row>
    <row r="28" spans="1:10" s="7" customFormat="1" ht="57" customHeight="1" thickBot="1" x14ac:dyDescent="0.25">
      <c r="A28" s="2324"/>
      <c r="B28" s="2324"/>
      <c r="C28" s="1966"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28" s="205">
        <f>F!D7</f>
        <v>0</v>
      </c>
      <c r="E28" s="316">
        <v>3</v>
      </c>
      <c r="F28" s="300">
        <f>D28*E28</f>
        <v>0</v>
      </c>
      <c r="G28" s="606"/>
      <c r="H28" s="2324"/>
      <c r="I28" s="2324"/>
      <c r="J28" s="151"/>
    </row>
    <row r="29" spans="1:10" s="7" customFormat="1" ht="30" customHeight="1" thickBot="1" x14ac:dyDescent="0.25">
      <c r="A29" s="2324"/>
      <c r="B29" s="2324"/>
      <c r="C29" s="73" t="str">
        <f>F!C8</f>
        <v>B. Moss and/or lichen cover less than 25% of the ground. Soil is mineral or decomposed organic (muck). Choose between B1 and B2 and mark the choice with a 1 in their adjoining column:</v>
      </c>
      <c r="D29" s="316"/>
      <c r="E29" s="300"/>
      <c r="F29" s="300"/>
      <c r="G29" s="606"/>
      <c r="H29" s="2324"/>
      <c r="I29" s="2324"/>
      <c r="J29" s="151"/>
    </row>
    <row r="30" spans="1:10" s="7" customFormat="1" ht="27" customHeight="1" x14ac:dyDescent="0.2">
      <c r="A30" s="2324"/>
      <c r="B30" s="2324"/>
      <c r="C30" s="100" t="str">
        <f>F!C9</f>
        <v>B1. Trees and shrubs taller than 1 m comprise more than 25% of the vegetated cover. Surface water is mostly absent or inundates the vegetation only seasonally (e.g., vernal pools or floodplain).</v>
      </c>
      <c r="D30" s="205">
        <f>F!D9</f>
        <v>0</v>
      </c>
      <c r="E30" s="316">
        <v>2</v>
      </c>
      <c r="F30" s="300">
        <f>D30*E30</f>
        <v>0</v>
      </c>
      <c r="G30" s="605"/>
      <c r="H30" s="2324"/>
      <c r="I30" s="2324"/>
      <c r="J30" s="151"/>
    </row>
    <row r="31" spans="1:10" s="7" customFormat="1" ht="42" customHeight="1" thickBot="1" x14ac:dyDescent="0.25">
      <c r="A31" s="2325"/>
      <c r="B31" s="2325"/>
      <c r="C31" s="1477"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31" s="206">
        <f>F!D10</f>
        <v>1</v>
      </c>
      <c r="E31" s="317">
        <v>4</v>
      </c>
      <c r="F31" s="301">
        <f>D31*E31</f>
        <v>4</v>
      </c>
      <c r="G31" s="1490"/>
      <c r="H31" s="2325"/>
      <c r="I31" s="2324"/>
      <c r="J31" s="151"/>
    </row>
    <row r="32" spans="1:10" s="14" customFormat="1" ht="30" customHeight="1" thickBot="1" x14ac:dyDescent="0.25">
      <c r="A32" s="2399" t="str">
        <f>F!A51</f>
        <v>F9</v>
      </c>
      <c r="B32" s="2324" t="str">
        <f>F!B51</f>
        <v>N Fixers</v>
      </c>
      <c r="C32" s="1473" t="str">
        <f>F!C51</f>
        <v>The percentage of the AA's vegetated cover that contains nitrogen-fixing plants (e.g., alder, sweetgale, clover, lupine, alfalfa, other legumes) is:</v>
      </c>
      <c r="D32" s="299"/>
      <c r="E32" s="299"/>
      <c r="F32" s="302"/>
      <c r="G32" s="434">
        <f>MAX(F33:F37)/MAX(E33:E37)</f>
        <v>0</v>
      </c>
      <c r="H32" s="2324" t="s">
        <v>1559</v>
      </c>
      <c r="I32" s="2757" t="s">
        <v>412</v>
      </c>
      <c r="J32" s="110"/>
    </row>
    <row r="33" spans="1:10" s="14" customFormat="1" ht="15" customHeight="1" x14ac:dyDescent="0.2">
      <c r="A33" s="2399"/>
      <c r="B33" s="2324"/>
      <c r="C33" s="477" t="str">
        <f>F!C52</f>
        <v>&lt;1% or none.</v>
      </c>
      <c r="D33" s="295">
        <f>F!D52</f>
        <v>1</v>
      </c>
      <c r="E33" s="300">
        <v>0</v>
      </c>
      <c r="F33" s="300">
        <f>D33*E33</f>
        <v>0</v>
      </c>
      <c r="G33" s="429"/>
      <c r="H33" s="2324"/>
      <c r="I33" s="2758"/>
      <c r="J33" s="110"/>
    </row>
    <row r="34" spans="1:10" s="14" customFormat="1" ht="15" customHeight="1" x14ac:dyDescent="0.2">
      <c r="A34" s="2399"/>
      <c r="B34" s="2324"/>
      <c r="C34" s="366" t="str">
        <f>F!C53</f>
        <v>1-25% of the vegetated cover, in the AA or along its water edge (whichever has more).</v>
      </c>
      <c r="D34" s="211">
        <f>F!D53</f>
        <v>0</v>
      </c>
      <c r="E34" s="300">
        <v>1</v>
      </c>
      <c r="F34" s="300">
        <f>D34*E34</f>
        <v>0</v>
      </c>
      <c r="G34" s="430"/>
      <c r="H34" s="2324"/>
      <c r="I34" s="2758"/>
      <c r="J34" s="110"/>
    </row>
    <row r="35" spans="1:10" s="14" customFormat="1" ht="15" customHeight="1" x14ac:dyDescent="0.2">
      <c r="A35" s="2399"/>
      <c r="B35" s="2324"/>
      <c r="C35" s="366" t="str">
        <f>F!C54</f>
        <v>25-50% of the vegetated cover, in the AA or along its water edge (whichever has more).</v>
      </c>
      <c r="D35" s="211">
        <f>F!D54</f>
        <v>0</v>
      </c>
      <c r="E35" s="300">
        <v>2</v>
      </c>
      <c r="F35" s="300">
        <f>D35*E35</f>
        <v>0</v>
      </c>
      <c r="G35" s="430"/>
      <c r="H35" s="2324"/>
      <c r="I35" s="2758"/>
      <c r="J35" s="110"/>
    </row>
    <row r="36" spans="1:10" s="14" customFormat="1" ht="15" customHeight="1" x14ac:dyDescent="0.2">
      <c r="A36" s="2399"/>
      <c r="B36" s="2324"/>
      <c r="C36" s="366" t="str">
        <f>F!C55</f>
        <v>50-75% of the vegetated cover, in the AA or along its water edge (whichever has more).</v>
      </c>
      <c r="D36" s="211">
        <f>F!D55</f>
        <v>0</v>
      </c>
      <c r="E36" s="300">
        <v>3</v>
      </c>
      <c r="F36" s="300">
        <f>D36*E36</f>
        <v>0</v>
      </c>
      <c r="G36" s="430"/>
      <c r="H36" s="2324"/>
      <c r="I36" s="2758"/>
      <c r="J36" s="110"/>
    </row>
    <row r="37" spans="1:10" s="14" customFormat="1" ht="15" customHeight="1" thickBot="1" x14ac:dyDescent="0.25">
      <c r="A37" s="2553"/>
      <c r="B37" s="2325"/>
      <c r="C37" s="153" t="str">
        <f>F!C56</f>
        <v>&gt;75% of the vegetated cover, in the AA or along its water edge (whichever has more).</v>
      </c>
      <c r="D37" s="206">
        <f>F!D56</f>
        <v>0</v>
      </c>
      <c r="E37" s="301">
        <v>4</v>
      </c>
      <c r="F37" s="301">
        <f>D37*E37</f>
        <v>0</v>
      </c>
      <c r="G37" s="431"/>
      <c r="H37" s="2325"/>
      <c r="I37" s="2759"/>
      <c r="J37" s="110"/>
    </row>
    <row r="38" spans="1:10" s="13" customFormat="1" ht="30" customHeight="1" thickBot="1" x14ac:dyDescent="0.25">
      <c r="A38" s="2586" t="str">
        <f>F!A121</f>
        <v>F24</v>
      </c>
      <c r="B38" s="2323" t="str">
        <f>F!B121</f>
        <v>% of AA Without Surface Water</v>
      </c>
      <c r="C38" s="365" t="str">
        <f>F!C121</f>
        <v>The percentage of the AA that never contains surface water during an average year (that is, except perhaps for a few hours after snowmelt or rainstorms), but which is still a wetland, is:</v>
      </c>
      <c r="D38" s="304"/>
      <c r="E38" s="304"/>
      <c r="F38" s="304"/>
      <c r="G38" s="428">
        <f>MAX(F39:F44)/MAX(E39:E44)</f>
        <v>1</v>
      </c>
      <c r="H38" s="2323" t="s">
        <v>654</v>
      </c>
      <c r="I38" s="2323" t="s">
        <v>655</v>
      </c>
      <c r="J38" s="155"/>
    </row>
    <row r="39" spans="1:10" s="13" customFormat="1" ht="15" customHeight="1" x14ac:dyDescent="0.2">
      <c r="A39" s="2399"/>
      <c r="B39" s="2324"/>
      <c r="C39" s="545" t="str">
        <f>F!C122</f>
        <v xml:space="preserve">&lt;1% . In other words, all or nearly all of the AA is covered by water permanently or at least seasonally.  </v>
      </c>
      <c r="D39" s="236">
        <f>F!D122</f>
        <v>1</v>
      </c>
      <c r="E39" s="300">
        <v>5</v>
      </c>
      <c r="F39" s="300">
        <f t="shared" ref="F39:F44" si="0">D39*E39</f>
        <v>5</v>
      </c>
      <c r="G39" s="549"/>
      <c r="H39" s="2324"/>
      <c r="I39" s="2324"/>
      <c r="J39" s="155"/>
    </row>
    <row r="40" spans="1:10" s="13" customFormat="1" ht="15" customHeight="1" x14ac:dyDescent="0.2">
      <c r="A40" s="2399"/>
      <c r="B40" s="2324"/>
      <c r="C40" s="545" t="str">
        <f>F!C123</f>
        <v>1-25% of the AA,  or &lt;1% but &gt;0.01 ha never contains surface water.</v>
      </c>
      <c r="D40" s="236">
        <f>F!D123</f>
        <v>0</v>
      </c>
      <c r="E40" s="300">
        <v>4</v>
      </c>
      <c r="F40" s="300">
        <f t="shared" si="0"/>
        <v>0</v>
      </c>
      <c r="G40" s="549"/>
      <c r="H40" s="2324"/>
      <c r="I40" s="2324"/>
      <c r="J40" s="155"/>
    </row>
    <row r="41" spans="1:10" s="13" customFormat="1" ht="15" customHeight="1" x14ac:dyDescent="0.2">
      <c r="A41" s="2399"/>
      <c r="B41" s="2324"/>
      <c r="C41" s="545" t="str">
        <f>F!C124</f>
        <v>25-50% of the AA never contains surface water.</v>
      </c>
      <c r="D41" s="236">
        <f>F!D124</f>
        <v>0</v>
      </c>
      <c r="E41" s="300">
        <v>3</v>
      </c>
      <c r="F41" s="300">
        <f t="shared" si="0"/>
        <v>0</v>
      </c>
      <c r="G41" s="549"/>
      <c r="H41" s="2324"/>
      <c r="I41" s="2324"/>
      <c r="J41" s="155"/>
    </row>
    <row r="42" spans="1:10" s="13" customFormat="1" ht="15" customHeight="1" x14ac:dyDescent="0.2">
      <c r="A42" s="2399"/>
      <c r="B42" s="2324"/>
      <c r="C42" s="545" t="str">
        <f>F!C125</f>
        <v>50-75% of the AA never contains surface water.</v>
      </c>
      <c r="D42" s="236">
        <f>F!D125</f>
        <v>0</v>
      </c>
      <c r="E42" s="300">
        <v>2</v>
      </c>
      <c r="F42" s="300">
        <f t="shared" si="0"/>
        <v>0</v>
      </c>
      <c r="G42" s="549"/>
      <c r="H42" s="2324"/>
      <c r="I42" s="2324"/>
      <c r="J42" s="155"/>
    </row>
    <row r="43" spans="1:10" s="13" customFormat="1" ht="27" customHeight="1" x14ac:dyDescent="0.2">
      <c r="A43" s="2399"/>
      <c r="B43" s="2324"/>
      <c r="C43" s="545" t="str">
        <f>F!C126</f>
        <v>75-99% of the AA never contains surface water, OR &gt;99% and there is at least one persistently ponded water body larger than 1 ha in the AA.</v>
      </c>
      <c r="D43" s="236">
        <f>F!D126</f>
        <v>0</v>
      </c>
      <c r="E43" s="300">
        <v>1</v>
      </c>
      <c r="F43" s="300">
        <f t="shared" si="0"/>
        <v>0</v>
      </c>
      <c r="G43" s="549"/>
      <c r="H43" s="2324"/>
      <c r="I43" s="2324"/>
      <c r="J43" s="155"/>
    </row>
    <row r="44" spans="1:10" s="13" customFormat="1" ht="27" customHeight="1" thickBot="1" x14ac:dyDescent="0.25">
      <c r="A44" s="2399"/>
      <c r="B44" s="2324"/>
      <c r="C44" s="478" t="str">
        <f>F!C127</f>
        <v>99-100%. AND there is no persistently ponded water body larger than 1 ha within the AA. Enter "1" and SKIP to F42 (Channel Connection).</v>
      </c>
      <c r="D44" s="873">
        <f>F!D127</f>
        <v>0</v>
      </c>
      <c r="E44" s="303">
        <v>0</v>
      </c>
      <c r="F44" s="303">
        <f t="shared" si="0"/>
        <v>0</v>
      </c>
      <c r="G44" s="558"/>
      <c r="H44" s="2324"/>
      <c r="I44" s="2324"/>
      <c r="J44" s="155"/>
    </row>
    <row r="45" spans="1:10" s="14" customFormat="1" ht="45" customHeight="1" thickBot="1" x14ac:dyDescent="0.25">
      <c r="A45" s="2684" t="str">
        <f>F!A128</f>
        <v>F25</v>
      </c>
      <c r="B45" s="2339" t="str">
        <f>F!B128</f>
        <v>% of AA with Persistent Surface Water</v>
      </c>
      <c r="C45" s="460"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45" s="304"/>
      <c r="E45" s="304"/>
      <c r="F45" s="305"/>
      <c r="G45" s="428">
        <f>IF((AllSat1&gt;0),"",MAX(F46:F50)/MAX(E46:E50))</f>
        <v>0.5</v>
      </c>
      <c r="H45" s="2323" t="s">
        <v>1843</v>
      </c>
      <c r="I45" s="2757" t="s">
        <v>151</v>
      </c>
      <c r="J45" s="110"/>
    </row>
    <row r="46" spans="1:10" s="14" customFormat="1" ht="27" customHeight="1" x14ac:dyDescent="0.2">
      <c r="A46" s="2392"/>
      <c r="B46" s="2340"/>
      <c r="C46" s="462" t="str">
        <f>F!C129</f>
        <v>None. The AA dries up completely (no water in channels either) or never has surface water during most years.  SKIP to F27.</v>
      </c>
      <c r="D46" s="216">
        <f>F!D129</f>
        <v>0</v>
      </c>
      <c r="E46" s="299">
        <v>0</v>
      </c>
      <c r="F46" s="300">
        <f>D46*E46</f>
        <v>0</v>
      </c>
      <c r="G46" s="430"/>
      <c r="H46" s="2324"/>
      <c r="I46" s="2758"/>
      <c r="J46" s="110"/>
    </row>
    <row r="47" spans="1:10" s="14" customFormat="1" ht="15" customHeight="1" x14ac:dyDescent="0.2">
      <c r="A47" s="2392"/>
      <c r="B47" s="2340"/>
      <c r="C47" s="462" t="str">
        <f>F!C130</f>
        <v>1-20% of the AA.</v>
      </c>
      <c r="D47" s="216">
        <f>F!D130</f>
        <v>0</v>
      </c>
      <c r="E47" s="300">
        <v>1</v>
      </c>
      <c r="F47" s="300">
        <f>D47*E47</f>
        <v>0</v>
      </c>
      <c r="G47" s="429"/>
      <c r="H47" s="2324"/>
      <c r="I47" s="2758"/>
      <c r="J47" s="110"/>
    </row>
    <row r="48" spans="1:10" s="14" customFormat="1" ht="15" customHeight="1" x14ac:dyDescent="0.2">
      <c r="A48" s="2392"/>
      <c r="B48" s="2340"/>
      <c r="C48" s="462" t="str">
        <f>F!C131</f>
        <v>20-50% of the AA.</v>
      </c>
      <c r="D48" s="216">
        <f>F!D131</f>
        <v>1</v>
      </c>
      <c r="E48" s="300">
        <v>2</v>
      </c>
      <c r="F48" s="300">
        <f>D48*E48</f>
        <v>2</v>
      </c>
      <c r="G48" s="430"/>
      <c r="H48" s="2324"/>
      <c r="I48" s="2758"/>
      <c r="J48" s="110"/>
    </row>
    <row r="49" spans="1:10" s="14" customFormat="1" ht="15" customHeight="1" x14ac:dyDescent="0.2">
      <c r="A49" s="2392"/>
      <c r="B49" s="2340"/>
      <c r="C49" s="462" t="str">
        <f>F!C132</f>
        <v>50-95% of the AA.</v>
      </c>
      <c r="D49" s="216">
        <f>F!D132</f>
        <v>0</v>
      </c>
      <c r="E49" s="300">
        <v>3</v>
      </c>
      <c r="F49" s="300">
        <f>D49*E49</f>
        <v>0</v>
      </c>
      <c r="G49" s="430"/>
      <c r="H49" s="2324"/>
      <c r="I49" s="2758"/>
      <c r="J49" s="110"/>
    </row>
    <row r="50" spans="1:10" s="14" customFormat="1" ht="15" customHeight="1" thickBot="1" x14ac:dyDescent="0.25">
      <c r="A50" s="2738"/>
      <c r="B50" s="2341"/>
      <c r="C50" s="584" t="str">
        <f>F!C133</f>
        <v>&gt;95% of the AA. True for many fringe wetlands.</v>
      </c>
      <c r="D50" s="240">
        <f>F!D133</f>
        <v>0</v>
      </c>
      <c r="E50" s="301">
        <v>4</v>
      </c>
      <c r="F50" s="301">
        <f>D50*E50</f>
        <v>0</v>
      </c>
      <c r="G50" s="431"/>
      <c r="H50" s="2325"/>
      <c r="I50" s="2759"/>
      <c r="J50" s="110"/>
    </row>
    <row r="51" spans="1:10" ht="48" customHeight="1" thickBot="1" x14ac:dyDescent="0.25">
      <c r="A51" s="2586" t="str">
        <f>F!A134</f>
        <v>F26</v>
      </c>
      <c r="B51" s="2529" t="str">
        <f>F!B134</f>
        <v>% of Summertime Water that Is Shaded</v>
      </c>
      <c r="C51" s="365" t="str">
        <f>F!C134</f>
        <v>At mid-day during the warmest time of year, the area of surface water within the AA that is shaded by vegetation and other features that are within the AA at that time is:</v>
      </c>
      <c r="D51" s="304"/>
      <c r="E51" s="304"/>
      <c r="F51" s="322"/>
      <c r="G51" s="428">
        <f>IF((AllSat1&gt;0),"",IF((NoPersis=1),"",IF((OF!D97&lt;0.01),"", MAX(F52:F56)/MAX(E52:E56))))</f>
        <v>0.4</v>
      </c>
      <c r="H51" s="2323" t="s">
        <v>1887</v>
      </c>
      <c r="I51" s="2757" t="s">
        <v>124</v>
      </c>
    </row>
    <row r="52" spans="1:10" ht="24" customHeight="1" x14ac:dyDescent="0.2">
      <c r="A52" s="2399"/>
      <c r="B52" s="2404"/>
      <c r="C52" s="27" t="str">
        <f>F!C135</f>
        <v>&lt;5% of the water is shaded, or no surface water is present then.</v>
      </c>
      <c r="D52" s="213">
        <f>F!D135</f>
        <v>0</v>
      </c>
      <c r="E52" s="300">
        <v>1</v>
      </c>
      <c r="F52" s="300">
        <f>D52*E52</f>
        <v>0</v>
      </c>
      <c r="G52" s="429"/>
      <c r="H52" s="2324"/>
      <c r="I52" s="2758"/>
    </row>
    <row r="53" spans="1:10" ht="24" customHeight="1" x14ac:dyDescent="0.2">
      <c r="A53" s="2399"/>
      <c r="B53" s="2404"/>
      <c r="C53" s="5" t="str">
        <f>F!C136</f>
        <v>5-25% of the water is shaded.</v>
      </c>
      <c r="D53" s="205">
        <f>F!D136</f>
        <v>1</v>
      </c>
      <c r="E53" s="300">
        <v>2</v>
      </c>
      <c r="F53" s="300">
        <f>D53*E53</f>
        <v>2</v>
      </c>
      <c r="G53" s="430"/>
      <c r="H53" s="2324"/>
      <c r="I53" s="2758"/>
    </row>
    <row r="54" spans="1:10" ht="24" customHeight="1" x14ac:dyDescent="0.2">
      <c r="A54" s="2399"/>
      <c r="B54" s="2404"/>
      <c r="C54" s="5" t="str">
        <f>F!C137</f>
        <v>25-50% of the water is shaded.</v>
      </c>
      <c r="D54" s="205">
        <f>F!D137</f>
        <v>0</v>
      </c>
      <c r="E54" s="300">
        <v>3</v>
      </c>
      <c r="F54" s="300">
        <f>D54*E54</f>
        <v>0</v>
      </c>
      <c r="G54" s="430"/>
      <c r="H54" s="2324"/>
      <c r="I54" s="2758"/>
    </row>
    <row r="55" spans="1:10" ht="24" customHeight="1" x14ac:dyDescent="0.2">
      <c r="A55" s="2399"/>
      <c r="B55" s="2404"/>
      <c r="C55" s="5" t="str">
        <f>F!C138</f>
        <v>50-75% of the water is shaded.</v>
      </c>
      <c r="D55" s="205">
        <f>F!D138</f>
        <v>0</v>
      </c>
      <c r="E55" s="300">
        <v>5</v>
      </c>
      <c r="F55" s="300">
        <f>D55*E55</f>
        <v>0</v>
      </c>
      <c r="G55" s="430"/>
      <c r="H55" s="2324"/>
      <c r="I55" s="2758"/>
    </row>
    <row r="56" spans="1:10" ht="24" customHeight="1" thickBot="1" x14ac:dyDescent="0.25">
      <c r="A56" s="2553"/>
      <c r="B56" s="2530"/>
      <c r="C56" s="153" t="str">
        <f>F!C139</f>
        <v>&gt;75% of the water is shaded.</v>
      </c>
      <c r="D56" s="206">
        <f>F!D139</f>
        <v>0</v>
      </c>
      <c r="E56" s="301">
        <v>4</v>
      </c>
      <c r="F56" s="301">
        <f>D56*E56</f>
        <v>0</v>
      </c>
      <c r="G56" s="431"/>
      <c r="H56" s="2325"/>
      <c r="I56" s="2759"/>
    </row>
    <row r="57" spans="1:10" s="14" customFormat="1" ht="30" customHeight="1" thickBot="1" x14ac:dyDescent="0.25">
      <c r="A57" s="2586" t="str">
        <f>F!A140</f>
        <v>F27</v>
      </c>
      <c r="B57" s="2529" t="str">
        <f>F!B140</f>
        <v>% of AA that is Flooded Only Seasonally</v>
      </c>
      <c r="C57" s="365" t="str">
        <f>F!C140</f>
        <v>The percentage of the AA's area that is between the annual high water and the annual low water (surface water) is:</v>
      </c>
      <c r="D57" s="304"/>
      <c r="E57" s="304"/>
      <c r="F57" s="322"/>
      <c r="G57" s="428">
        <f>IF((AllSat1&gt;0),"",MAX(F58:F62)/MAX(E58:E62))</f>
        <v>0.5</v>
      </c>
      <c r="H57" s="2323" t="s">
        <v>1560</v>
      </c>
      <c r="I57" s="2757" t="s">
        <v>123</v>
      </c>
      <c r="J57" s="110"/>
    </row>
    <row r="58" spans="1:10" s="14" customFormat="1" ht="17.100000000000001" customHeight="1" x14ac:dyDescent="0.2">
      <c r="A58" s="2399"/>
      <c r="B58" s="2404"/>
      <c r="C58" s="27" t="str">
        <f>F!C141</f>
        <v>None, or &lt;0.01 hectare and &lt;1% of the AA.  SKIP to F29.</v>
      </c>
      <c r="D58" s="213">
        <f>F!D141</f>
        <v>0</v>
      </c>
      <c r="E58" s="300">
        <v>3</v>
      </c>
      <c r="F58" s="300">
        <f>D58*E58</f>
        <v>0</v>
      </c>
      <c r="G58" s="429"/>
      <c r="H58" s="2324"/>
      <c r="I58" s="2758"/>
      <c r="J58" s="110"/>
    </row>
    <row r="59" spans="1:10" s="14" customFormat="1" ht="15" customHeight="1" x14ac:dyDescent="0.2">
      <c r="A59" s="2399"/>
      <c r="B59" s="2404"/>
      <c r="C59" s="5" t="str">
        <f>F!C142</f>
        <v>1-20% of the AA, or &lt;1% but &gt;0.01 ha.</v>
      </c>
      <c r="D59" s="205">
        <f>F!D142</f>
        <v>0</v>
      </c>
      <c r="E59" s="300">
        <v>4</v>
      </c>
      <c r="F59" s="300">
        <f>D59*E59</f>
        <v>0</v>
      </c>
      <c r="G59" s="430"/>
      <c r="H59" s="2324"/>
      <c r="I59" s="2758"/>
      <c r="J59" s="110"/>
    </row>
    <row r="60" spans="1:10" s="14" customFormat="1" ht="15" customHeight="1" x14ac:dyDescent="0.2">
      <c r="A60" s="2399"/>
      <c r="B60" s="2404"/>
      <c r="C60" s="5" t="str">
        <f>F!C143</f>
        <v>20-50% of the AA.</v>
      </c>
      <c r="D60" s="205">
        <f>F!D143</f>
        <v>0</v>
      </c>
      <c r="E60" s="300">
        <v>3</v>
      </c>
      <c r="F60" s="300">
        <f>D60*E60</f>
        <v>0</v>
      </c>
      <c r="G60" s="430"/>
      <c r="H60" s="2324"/>
      <c r="I60" s="2758"/>
      <c r="J60" s="110"/>
    </row>
    <row r="61" spans="1:10" s="14" customFormat="1" ht="15" customHeight="1" x14ac:dyDescent="0.2">
      <c r="A61" s="2399"/>
      <c r="B61" s="2404"/>
      <c r="C61" s="5" t="str">
        <f>F!C144</f>
        <v>50-95% of the AA.</v>
      </c>
      <c r="D61" s="205">
        <f>F!D144</f>
        <v>1</v>
      </c>
      <c r="E61" s="300">
        <v>2</v>
      </c>
      <c r="F61" s="300">
        <f>D61*E61</f>
        <v>2</v>
      </c>
      <c r="G61" s="430"/>
      <c r="H61" s="2324"/>
      <c r="I61" s="2758"/>
      <c r="J61" s="110"/>
    </row>
    <row r="62" spans="1:10" s="14" customFormat="1" ht="15" customHeight="1" thickBot="1" x14ac:dyDescent="0.25">
      <c r="A62" s="2553"/>
      <c r="B62" s="2530"/>
      <c r="C62" s="153" t="str">
        <f>F!C145</f>
        <v xml:space="preserve">&gt;95% of the AA. </v>
      </c>
      <c r="D62" s="206">
        <f>F!D145</f>
        <v>0</v>
      </c>
      <c r="E62" s="301">
        <v>1</v>
      </c>
      <c r="F62" s="301">
        <f>D62*E62</f>
        <v>0</v>
      </c>
      <c r="G62" s="431"/>
      <c r="H62" s="2325"/>
      <c r="I62" s="2759"/>
      <c r="J62" s="110"/>
    </row>
    <row r="63" spans="1:10" s="14" customFormat="1" ht="30" customHeight="1" thickBot="1" x14ac:dyDescent="0.25">
      <c r="A63" s="2752" t="str">
        <f>F!A153</f>
        <v>F29</v>
      </c>
      <c r="B63" s="2404" t="str">
        <f>F!B153</f>
        <v>Predominant Depth Class</v>
      </c>
      <c r="C63" s="481" t="str">
        <f>F!C153</f>
        <v>During most of the time when surface water is present during the growing season, its depth, averaged over the entire inundated part of the AA, is:</v>
      </c>
      <c r="D63" s="304"/>
      <c r="E63" s="299"/>
      <c r="F63" s="302"/>
      <c r="G63" s="434">
        <f>IF((AllSat1&gt;0),"",IF((TooSmall=1),"",MAX(F64:F68)/MAX(E64:E68)))</f>
        <v>1</v>
      </c>
      <c r="H63" s="2324" t="s">
        <v>1359</v>
      </c>
      <c r="I63" s="2757" t="s">
        <v>127</v>
      </c>
      <c r="J63" s="110"/>
    </row>
    <row r="64" spans="1:10" s="14" customFormat="1" ht="15" customHeight="1" x14ac:dyDescent="0.2">
      <c r="A64" s="2752"/>
      <c r="B64" s="2404"/>
      <c r="C64" s="27" t="str">
        <f>F!C154</f>
        <v>&lt;10 cm deep (but &gt;0).</v>
      </c>
      <c r="D64" s="213">
        <f>F!D154</f>
        <v>0</v>
      </c>
      <c r="E64" s="300">
        <v>2</v>
      </c>
      <c r="F64" s="300">
        <f>D64*E64</f>
        <v>0</v>
      </c>
      <c r="G64" s="429"/>
      <c r="H64" s="2324"/>
      <c r="I64" s="2758"/>
      <c r="J64" s="110"/>
    </row>
    <row r="65" spans="1:10" s="14" customFormat="1" ht="15" customHeight="1" x14ac:dyDescent="0.2">
      <c r="A65" s="2752"/>
      <c r="B65" s="2404"/>
      <c r="C65" s="5" t="str">
        <f>F!C155</f>
        <v>10 - 50 cm deep.</v>
      </c>
      <c r="D65" s="205">
        <f>F!D155</f>
        <v>0</v>
      </c>
      <c r="E65" s="300">
        <v>3</v>
      </c>
      <c r="F65" s="300">
        <f>D65*E65</f>
        <v>0</v>
      </c>
      <c r="G65" s="430"/>
      <c r="H65" s="2324"/>
      <c r="I65" s="2758"/>
      <c r="J65" s="110"/>
    </row>
    <row r="66" spans="1:10" s="14" customFormat="1" ht="15" customHeight="1" x14ac:dyDescent="0.2">
      <c r="A66" s="2752"/>
      <c r="B66" s="2404"/>
      <c r="C66" s="5" t="str">
        <f>F!C156</f>
        <v>0.5 - 1 m deep.</v>
      </c>
      <c r="D66" s="205">
        <f>F!D156</f>
        <v>1</v>
      </c>
      <c r="E66" s="300">
        <v>4</v>
      </c>
      <c r="F66" s="300">
        <f>D66*E66</f>
        <v>4</v>
      </c>
      <c r="G66" s="430"/>
      <c r="H66" s="2324"/>
      <c r="I66" s="2758"/>
      <c r="J66" s="110"/>
    </row>
    <row r="67" spans="1:10" s="14" customFormat="1" ht="15" customHeight="1" x14ac:dyDescent="0.2">
      <c r="A67" s="2752"/>
      <c r="B67" s="2404"/>
      <c r="C67" s="5" t="str">
        <f>F!C157</f>
        <v>1 - 2 m deep.</v>
      </c>
      <c r="D67" s="205">
        <f>F!D157</f>
        <v>0</v>
      </c>
      <c r="E67" s="300">
        <v>2</v>
      </c>
      <c r="F67" s="300">
        <f>D67*E67</f>
        <v>0</v>
      </c>
      <c r="G67" s="430"/>
      <c r="H67" s="2324"/>
      <c r="I67" s="2758"/>
      <c r="J67" s="110"/>
    </row>
    <row r="68" spans="1:10" s="14" customFormat="1" ht="15" customHeight="1" thickBot="1" x14ac:dyDescent="0.25">
      <c r="A68" s="2752"/>
      <c r="B68" s="2404"/>
      <c r="C68" s="366" t="str">
        <f>F!C158</f>
        <v>&gt;2 m deep. True for many fringe wetlands.</v>
      </c>
      <c r="D68" s="211">
        <f>F!D158</f>
        <v>0</v>
      </c>
      <c r="E68" s="303">
        <v>1</v>
      </c>
      <c r="F68" s="303">
        <f>D68*E68</f>
        <v>0</v>
      </c>
      <c r="G68" s="439"/>
      <c r="H68" s="2324"/>
      <c r="I68" s="2759"/>
      <c r="J68" s="110"/>
    </row>
    <row r="69" spans="1:10" s="14" customFormat="1" ht="30" customHeight="1" thickBot="1" x14ac:dyDescent="0.25">
      <c r="A69" s="2323" t="str">
        <f>F!A170</f>
        <v>F33</v>
      </c>
      <c r="B69" s="2323" t="str">
        <f>F!B170</f>
        <v xml:space="preserve">% of Ponded Water that is Open </v>
      </c>
      <c r="C69" s="4" t="str">
        <f>F!C170</f>
        <v>In ducks-eye aerial view, the percentage of the ponded water that is open (lacking emergent vegetation during most of the growing season, and unhidden by a forest or shrub canopy) is:</v>
      </c>
      <c r="D69" s="315"/>
      <c r="E69" s="304"/>
      <c r="F69" s="322"/>
      <c r="G69" s="428" t="str">
        <f>IF((AllSat1&gt;0),"",IF((TooSmall=1),"",IF((NoPonded=1),"",MAX(F70:F75)/MAX(E70:E75))))</f>
        <v/>
      </c>
      <c r="H69" s="2323" t="s">
        <v>1844</v>
      </c>
      <c r="I69" s="2757" t="s">
        <v>126</v>
      </c>
      <c r="J69" s="110"/>
    </row>
    <row r="70" spans="1:10" s="14" customFormat="1" ht="27" customHeight="1" x14ac:dyDescent="0.2">
      <c r="A70" s="2324"/>
      <c r="B70" s="2324"/>
      <c r="C70" s="477" t="str">
        <f>F!C171</f>
        <v>None, or &lt;1% of the AA and largest pool occupies &lt;0.01 hectares. Enter "1" and SKIP to F41 (Floating Algae &amp; Duckweed).</v>
      </c>
      <c r="D70" s="211">
        <f>F!D171</f>
        <v>0</v>
      </c>
      <c r="E70" s="300">
        <v>0</v>
      </c>
      <c r="F70" s="300">
        <f t="shared" ref="F70:F75" si="1">D70*E70</f>
        <v>0</v>
      </c>
      <c r="G70" s="429"/>
      <c r="H70" s="2324"/>
      <c r="I70" s="2758"/>
      <c r="J70" s="110"/>
    </row>
    <row r="71" spans="1:10" s="14" customFormat="1" ht="15" customHeight="1" x14ac:dyDescent="0.2">
      <c r="A71" s="2324"/>
      <c r="B71" s="2324"/>
      <c r="C71" s="366" t="str">
        <f>F!C172</f>
        <v>1-4% of the ponded water. Enter "1" and SKIP to F41 (Floating Algae &amp; Duckweed).</v>
      </c>
      <c r="D71" s="211">
        <f>F!D172</f>
        <v>0</v>
      </c>
      <c r="E71" s="300">
        <v>3</v>
      </c>
      <c r="F71" s="300">
        <f t="shared" si="1"/>
        <v>0</v>
      </c>
      <c r="G71" s="430"/>
      <c r="H71" s="2324"/>
      <c r="I71" s="2758"/>
      <c r="J71" s="110"/>
    </row>
    <row r="72" spans="1:10" s="14" customFormat="1" ht="15" customHeight="1" x14ac:dyDescent="0.2">
      <c r="A72" s="2324"/>
      <c r="B72" s="2324"/>
      <c r="C72" s="366" t="str">
        <f>F!C173</f>
        <v>5-30% of the ponded water.</v>
      </c>
      <c r="D72" s="211">
        <f>F!D173</f>
        <v>0</v>
      </c>
      <c r="E72" s="300">
        <v>4</v>
      </c>
      <c r="F72" s="300">
        <f t="shared" si="1"/>
        <v>0</v>
      </c>
      <c r="G72" s="430"/>
      <c r="H72" s="2324"/>
      <c r="I72" s="2758"/>
      <c r="J72" s="110"/>
    </row>
    <row r="73" spans="1:10" s="14" customFormat="1" ht="15" customHeight="1" x14ac:dyDescent="0.2">
      <c r="A73" s="2324"/>
      <c r="B73" s="2324"/>
      <c r="C73" s="366" t="str">
        <f>F!C174</f>
        <v>30-70% of the ponded water.</v>
      </c>
      <c r="D73" s="211">
        <f>F!D174</f>
        <v>0</v>
      </c>
      <c r="E73" s="300">
        <v>3</v>
      </c>
      <c r="F73" s="300">
        <f t="shared" si="1"/>
        <v>0</v>
      </c>
      <c r="G73" s="430"/>
      <c r="H73" s="2324"/>
      <c r="I73" s="2758"/>
      <c r="J73" s="110"/>
    </row>
    <row r="74" spans="1:10" s="14" customFormat="1" ht="15" customHeight="1" x14ac:dyDescent="0.2">
      <c r="A74" s="2324"/>
      <c r="B74" s="2324"/>
      <c r="C74" s="366" t="str">
        <f>F!C175</f>
        <v>70-99% of the ponded water.</v>
      </c>
      <c r="D74" s="211">
        <f>F!D175</f>
        <v>0</v>
      </c>
      <c r="E74" s="300">
        <v>2</v>
      </c>
      <c r="F74" s="300">
        <f t="shared" si="1"/>
        <v>0</v>
      </c>
      <c r="G74" s="439"/>
      <c r="H74" s="2324"/>
      <c r="I74" s="2758"/>
      <c r="J74" s="110"/>
    </row>
    <row r="75" spans="1:10" s="14" customFormat="1" ht="15" customHeight="1" thickBot="1" x14ac:dyDescent="0.25">
      <c r="A75" s="2325"/>
      <c r="B75" s="2325"/>
      <c r="C75" s="153" t="str">
        <f>F!C176</f>
        <v xml:space="preserve">100% of the ponded water. </v>
      </c>
      <c r="D75" s="206">
        <f>F!D176</f>
        <v>0</v>
      </c>
      <c r="E75" s="301">
        <v>1</v>
      </c>
      <c r="F75" s="301">
        <f t="shared" si="1"/>
        <v>0</v>
      </c>
      <c r="G75" s="431"/>
      <c r="H75" s="2325"/>
      <c r="I75" s="2759"/>
      <c r="J75" s="110"/>
    </row>
    <row r="76" spans="1:10" s="14" customFormat="1" ht="30" customHeight="1" thickBot="1" x14ac:dyDescent="0.25">
      <c r="A76" s="2773" t="str">
        <f>F!A195</f>
        <v>F37</v>
      </c>
      <c r="B76" s="2324" t="str">
        <f>F!B195</f>
        <v>Interspersion of Emergents &amp; Open Water</v>
      </c>
      <c r="C76" s="338" t="str">
        <f>F!C195</f>
        <v>During most of the part of the growing season when water is present, the spatial pattern of emergent vegetation within the water is mostly:</v>
      </c>
      <c r="D76" s="299"/>
      <c r="E76" s="299"/>
      <c r="F76" s="302"/>
      <c r="G76" s="434">
        <f>IF((AllSat1&gt;0),"",IF((TooSmall=1),"",IF((AllOpenPond=1),"",IF((NoOpenPonded+NoOpenPonded1&gt;0),"",IF((NoRobustEm=1),"",MAX(F77:F79)/MAX(E77:E79))))))</f>
        <v>0.33333333333333331</v>
      </c>
      <c r="H76" s="2324" t="s">
        <v>1561</v>
      </c>
      <c r="I76" s="2757" t="s">
        <v>128</v>
      </c>
      <c r="J76" s="110"/>
    </row>
    <row r="77" spans="1:10" s="14" customFormat="1" ht="15" customHeight="1" x14ac:dyDescent="0.2">
      <c r="A77" s="2774"/>
      <c r="B77" s="2324"/>
      <c r="C77" s="480" t="str">
        <f>F!C196</f>
        <v>Scattered. More than 30% of such vegetation forms small islands or corridors surrounded by water.</v>
      </c>
      <c r="D77" s="213">
        <f>F!D196</f>
        <v>0</v>
      </c>
      <c r="E77" s="300">
        <v>3</v>
      </c>
      <c r="F77" s="300">
        <f>D77*E77</f>
        <v>0</v>
      </c>
      <c r="G77" s="325"/>
      <c r="H77" s="2324"/>
      <c r="I77" s="2758"/>
      <c r="J77" s="110"/>
    </row>
    <row r="78" spans="1:10" s="14" customFormat="1" ht="15" customHeight="1" x14ac:dyDescent="0.2">
      <c r="A78" s="2774"/>
      <c r="B78" s="2324"/>
      <c r="C78" s="419" t="str">
        <f>F!C197</f>
        <v>Intermediate.</v>
      </c>
      <c r="D78" s="205">
        <f>F!D197</f>
        <v>0</v>
      </c>
      <c r="E78" s="300">
        <v>2</v>
      </c>
      <c r="F78" s="300">
        <f>D78*E78</f>
        <v>0</v>
      </c>
      <c r="G78" s="325"/>
      <c r="H78" s="2324"/>
      <c r="I78" s="2758"/>
      <c r="J78" s="110"/>
    </row>
    <row r="79" spans="1:10" s="14" customFormat="1" ht="27" customHeight="1" thickBot="1" x14ac:dyDescent="0.25">
      <c r="A79" s="2775"/>
      <c r="B79" s="2324"/>
      <c r="C79" s="482" t="str">
        <f>F!C198</f>
        <v>Clumped. More than 70% of such vegetation is in bands along the wetland perimeter or is clumped at one or a few sides of the surface water area.</v>
      </c>
      <c r="D79" s="211">
        <f>F!D198</f>
        <v>1</v>
      </c>
      <c r="E79" s="303">
        <v>1</v>
      </c>
      <c r="F79" s="303">
        <f>D79*E79</f>
        <v>1</v>
      </c>
      <c r="G79" s="327"/>
      <c r="H79" s="2324"/>
      <c r="I79" s="2759"/>
      <c r="J79" s="110"/>
    </row>
    <row r="80" spans="1:10" ht="45" customHeight="1" thickBot="1" x14ac:dyDescent="0.25">
      <c r="A80" s="2586" t="str">
        <f>F!A200</f>
        <v>F39</v>
      </c>
      <c r="B80" s="2529" t="str">
        <f>F!B200</f>
        <v>Non-vegetated Aquatic Cover</v>
      </c>
      <c r="C80" s="365" t="str">
        <f>F!C200</f>
        <v>During most of the growing season and in waters deeper than 0.5 m, the cover for fish, aquatic invertebrates, and/or amphibians that is provided NOT by living vegetation, but by accumulations of dead wood and undercut banks is:</v>
      </c>
      <c r="D80" s="304"/>
      <c r="E80" s="304"/>
      <c r="F80" s="305"/>
      <c r="G80" s="465" t="str">
        <f>IF((AllSat1&gt;0),"",IF((TooSmall=1),"",IF((OpenW=0),"",IF((DeepPersis=0),"",MAX(F81:F83)/MAX(E81:E83)))))</f>
        <v/>
      </c>
      <c r="H80" s="2323" t="s">
        <v>1845</v>
      </c>
      <c r="I80" s="2757" t="s">
        <v>125</v>
      </c>
    </row>
    <row r="81" spans="1:10" ht="15" customHeight="1" x14ac:dyDescent="0.2">
      <c r="A81" s="2399"/>
      <c r="B81" s="2404"/>
      <c r="C81" s="27" t="str">
        <f>F!C201</f>
        <v>Little or none.</v>
      </c>
      <c r="D81" s="213">
        <f>F!D201</f>
        <v>1</v>
      </c>
      <c r="E81" s="300">
        <v>0</v>
      </c>
      <c r="F81" s="300">
        <f>D81*E81</f>
        <v>0</v>
      </c>
      <c r="G81" s="429"/>
      <c r="H81" s="2324"/>
      <c r="I81" s="2758"/>
    </row>
    <row r="82" spans="1:10" ht="15" customHeight="1" x14ac:dyDescent="0.2">
      <c r="A82" s="2399"/>
      <c r="B82" s="2404"/>
      <c r="C82" s="5" t="str">
        <f>F!C202</f>
        <v>Intermediate.</v>
      </c>
      <c r="D82" s="205">
        <f>F!D202</f>
        <v>0</v>
      </c>
      <c r="E82" s="300">
        <v>1</v>
      </c>
      <c r="F82" s="300">
        <f>D82*E82</f>
        <v>0</v>
      </c>
      <c r="G82" s="607"/>
      <c r="H82" s="2324"/>
      <c r="I82" s="2758"/>
    </row>
    <row r="83" spans="1:10" ht="15" customHeight="1" thickBot="1" x14ac:dyDescent="0.25">
      <c r="A83" s="2553"/>
      <c r="B83" s="2530"/>
      <c r="C83" s="153" t="str">
        <f>F!C203</f>
        <v>Extensive.</v>
      </c>
      <c r="D83" s="206">
        <f>F!D203</f>
        <v>0</v>
      </c>
      <c r="E83" s="301">
        <v>2</v>
      </c>
      <c r="F83" s="301">
        <f>D83*E83</f>
        <v>0</v>
      </c>
      <c r="G83" s="431"/>
      <c r="H83" s="2325"/>
      <c r="I83" s="2759"/>
    </row>
    <row r="84" spans="1:10" s="14" customFormat="1" ht="65.25" customHeight="1" thickBot="1" x14ac:dyDescent="0.25">
      <c r="A84" s="2323" t="str">
        <f>F!A206</f>
        <v>F42</v>
      </c>
      <c r="B84" s="2404" t="str">
        <f>F!B206</f>
        <v>Channel Connection &amp; Outflow Duration</v>
      </c>
      <c r="C84" s="481"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84" s="304"/>
      <c r="E84" s="299"/>
      <c r="F84" s="321"/>
      <c r="G84" s="434">
        <f>MAX(F85:F89)/MAX(E85:E89)</f>
        <v>0.66666666666666663</v>
      </c>
      <c r="H84" s="2324" t="s">
        <v>1846</v>
      </c>
      <c r="I84" s="2757" t="s">
        <v>130</v>
      </c>
      <c r="J84" s="110"/>
    </row>
    <row r="85" spans="1:10" s="14" customFormat="1" ht="15" customHeight="1" x14ac:dyDescent="0.2">
      <c r="A85" s="2324"/>
      <c r="B85" s="2404"/>
      <c r="C85" s="27" t="str">
        <f>F!C207</f>
        <v>Persistent (surface water flows out for &gt;9 months/year).</v>
      </c>
      <c r="D85" s="213">
        <f>F!D207</f>
        <v>0</v>
      </c>
      <c r="E85" s="300">
        <v>3</v>
      </c>
      <c r="F85" s="300">
        <f>D85*E85</f>
        <v>0</v>
      </c>
      <c r="G85" s="429"/>
      <c r="H85" s="2324"/>
      <c r="I85" s="2758"/>
      <c r="J85" s="110"/>
    </row>
    <row r="86" spans="1:10" s="14" customFormat="1" ht="15" customHeight="1" x14ac:dyDescent="0.2">
      <c r="A86" s="2324"/>
      <c r="B86" s="2404"/>
      <c r="C86" s="5" t="str">
        <f>F!C208</f>
        <v>Seasonal (surface water flows out for 14 days to 9 months/year, not necessarily consecutive).</v>
      </c>
      <c r="D86" s="205">
        <f>F!D208</f>
        <v>1</v>
      </c>
      <c r="E86" s="300">
        <v>2</v>
      </c>
      <c r="F86" s="300">
        <f>D86*E86</f>
        <v>2</v>
      </c>
      <c r="G86" s="430"/>
      <c r="H86" s="2324"/>
      <c r="I86" s="2758"/>
      <c r="J86" s="110"/>
    </row>
    <row r="87" spans="1:10" s="14" customFormat="1" ht="15" customHeight="1" x14ac:dyDescent="0.2">
      <c r="A87" s="2324"/>
      <c r="B87" s="2404"/>
      <c r="C87" s="5" t="str">
        <f>F!C209</f>
        <v>Temporary (surface water flows out for &lt;14 days, not necessarily consecutive).</v>
      </c>
      <c r="D87" s="205">
        <f>F!D209</f>
        <v>0</v>
      </c>
      <c r="E87" s="300">
        <v>1</v>
      </c>
      <c r="F87" s="300">
        <f>D87*E87</f>
        <v>0</v>
      </c>
      <c r="G87" s="430"/>
      <c r="H87" s="2324"/>
      <c r="I87" s="2758"/>
      <c r="J87" s="110"/>
    </row>
    <row r="88" spans="1:10" s="14" customFormat="1" ht="27" customHeight="1" x14ac:dyDescent="0.2">
      <c r="A88" s="2324"/>
      <c r="B88" s="2404"/>
      <c r="C88" s="5" t="str">
        <f>F!C210</f>
        <v>None -- but maps show a stream network downslope from the AA and within a distance that is less than the AA's length. SKIP to F47 (pH Measurement).</v>
      </c>
      <c r="D88" s="205">
        <f>F!D210</f>
        <v>0</v>
      </c>
      <c r="E88" s="316">
        <v>0</v>
      </c>
      <c r="F88" s="300">
        <f>D88*E88</f>
        <v>0</v>
      </c>
      <c r="G88" s="439"/>
      <c r="H88" s="2324"/>
      <c r="I88" s="2758"/>
      <c r="J88" s="110"/>
    </row>
    <row r="89" spans="1:10" s="14" customFormat="1" ht="27" customHeight="1" thickBot="1" x14ac:dyDescent="0.25">
      <c r="A89" s="2325"/>
      <c r="B89" s="2404"/>
      <c r="C89" s="366" t="str">
        <f>F!C211</f>
        <v>No surface water flows out of the wetland except possibly during extreme events (&lt;once per 10 years). Or, water flows only into a wetland, ditch, or lake that lacks an outlet. SKIP to F47 (pH Measurement).</v>
      </c>
      <c r="D89" s="211">
        <f>F!D211</f>
        <v>0</v>
      </c>
      <c r="E89" s="458">
        <v>0</v>
      </c>
      <c r="F89" s="303">
        <f>D89*E89</f>
        <v>0</v>
      </c>
      <c r="G89" s="439"/>
      <c r="H89" s="2324"/>
      <c r="I89" s="2759"/>
      <c r="J89" s="110"/>
    </row>
    <row r="90" spans="1:10" ht="30" customHeight="1" thickBot="1" x14ac:dyDescent="0.25">
      <c r="A90" s="2586" t="str">
        <f>F!A218</f>
        <v>F46</v>
      </c>
      <c r="B90" s="2529" t="str">
        <f>F!B218</f>
        <v>Throughflow Resistance</v>
      </c>
      <c r="C90" s="365" t="str">
        <f>F!C218</f>
        <v>During its travel through the AA at the time of peak annual flow, water arriving in channels: [select only the ONE encountered by most of the incoming water].</v>
      </c>
      <c r="D90" s="304"/>
      <c r="E90" s="304"/>
      <c r="F90" s="322"/>
      <c r="G90" s="465">
        <f>IF(AND(Inflows=0,OutNone=1,OutNone1=1),"",MAX(F91:F95)/MAX(E91:E95))</f>
        <v>1</v>
      </c>
      <c r="H90" s="2323" t="s">
        <v>1202</v>
      </c>
      <c r="I90" s="2757" t="s">
        <v>131</v>
      </c>
    </row>
    <row r="91" spans="1:10" ht="42" customHeight="1" x14ac:dyDescent="0.2">
      <c r="A91" s="2399"/>
      <c r="B91" s="2404"/>
      <c r="C91" s="27" t="str">
        <f>F!C219</f>
        <v>Does not bump into many plant stems as it travels through the AA. Nearly all the water continues to travel in unvegetated (often incised) channels that have minimal contact with wetland vegetation, or through a zone of open water such as an instream pond or lake.</v>
      </c>
      <c r="D91" s="213">
        <f>F!D219</f>
        <v>0</v>
      </c>
      <c r="E91" s="300">
        <v>0</v>
      </c>
      <c r="F91" s="300">
        <f>D91*E91</f>
        <v>0</v>
      </c>
      <c r="G91" s="548"/>
      <c r="H91" s="2324"/>
      <c r="I91" s="2758"/>
    </row>
    <row r="92" spans="1:10" ht="15" customHeight="1" x14ac:dyDescent="0.2">
      <c r="A92" s="2399"/>
      <c r="B92" s="2404"/>
      <c r="C92" s="5" t="str">
        <f>F!C220</f>
        <v>Bumps into herbaceous vegetation but mostly remains in fairly straight channels.</v>
      </c>
      <c r="D92" s="205">
        <f>F!D220</f>
        <v>0</v>
      </c>
      <c r="E92" s="300">
        <v>1</v>
      </c>
      <c r="F92" s="300">
        <f>D92*E92</f>
        <v>0</v>
      </c>
      <c r="G92" s="430"/>
      <c r="H92" s="2324"/>
      <c r="I92" s="2758"/>
    </row>
    <row r="93" spans="1:10" ht="27" customHeight="1" x14ac:dyDescent="0.2">
      <c r="A93" s="2399"/>
      <c r="B93" s="2404"/>
      <c r="C93" s="5" t="str">
        <f>F!C221</f>
        <v>Bumps into herbaceous vegetation and mostly spreads throughout, or is in widely meandering, multi-branched, or braided channels.</v>
      </c>
      <c r="D93" s="205">
        <f>F!D221</f>
        <v>1</v>
      </c>
      <c r="E93" s="300">
        <v>3</v>
      </c>
      <c r="F93" s="300">
        <f>D93*E93</f>
        <v>3</v>
      </c>
      <c r="G93" s="430"/>
      <c r="H93" s="2324"/>
      <c r="I93" s="2758"/>
    </row>
    <row r="94" spans="1:10" ht="15" customHeight="1" x14ac:dyDescent="0.2">
      <c r="A94" s="2399"/>
      <c r="B94" s="2404"/>
      <c r="C94" s="5" t="str">
        <f>F!C222</f>
        <v>Bumps into tree trunks and/or shrub stems but mostly remains in fairly straight channels.</v>
      </c>
      <c r="D94" s="205">
        <f>F!D222</f>
        <v>0</v>
      </c>
      <c r="E94" s="300">
        <v>2</v>
      </c>
      <c r="F94" s="300">
        <f>D94*E94</f>
        <v>0</v>
      </c>
      <c r="G94" s="430"/>
      <c r="H94" s="2324"/>
      <c r="I94" s="2758"/>
    </row>
    <row r="95" spans="1:10" ht="27" customHeight="1" thickBot="1" x14ac:dyDescent="0.25">
      <c r="A95" s="2399"/>
      <c r="B95" s="2404"/>
      <c r="C95" s="366" t="str">
        <f>F!C223</f>
        <v>Bumps into tree trunks and/or shrub stems and follows a fairly indirect path from entrance to exit (meandering, multi-branched, or braided).</v>
      </c>
      <c r="D95" s="211">
        <f>F!D223</f>
        <v>0</v>
      </c>
      <c r="E95" s="303">
        <v>3</v>
      </c>
      <c r="F95" s="303">
        <f>D95*E95</f>
        <v>0</v>
      </c>
      <c r="G95" s="439"/>
      <c r="H95" s="2324"/>
      <c r="I95" s="2758"/>
    </row>
    <row r="96" spans="1:10" ht="21" customHeight="1" thickBot="1" x14ac:dyDescent="0.25">
      <c r="A96" s="2323" t="str">
        <f>F!A224</f>
        <v>F47</v>
      </c>
      <c r="B96" s="2323" t="str">
        <f>F!B224</f>
        <v>pH Measurement</v>
      </c>
      <c r="C96" s="4" t="str">
        <f>F!C224</f>
        <v>The pH in most of the AA's surface water:</v>
      </c>
      <c r="D96" s="1050"/>
      <c r="E96" s="304"/>
      <c r="F96" s="305"/>
      <c r="G96" s="1061" t="str">
        <f xml:space="preserve"> IF((D99=1),"",IF((D98=1),0, IF((AND(D97&gt;5,D97&lt;9)),1,0)))</f>
        <v/>
      </c>
      <c r="H96" s="2697" t="s">
        <v>2586</v>
      </c>
      <c r="I96" s="2757" t="s">
        <v>1568</v>
      </c>
    </row>
    <row r="97" spans="1:10" ht="15" customHeight="1" thickBot="1" x14ac:dyDescent="0.25">
      <c r="A97" s="2324"/>
      <c r="B97" s="2324"/>
      <c r="C97" s="545" t="str">
        <f>F!C225</f>
        <v>Was measured, and is:  [enter the reading in the column to the right.]</v>
      </c>
      <c r="D97" s="2079" t="str">
        <f>IF((F!D225=""),"",F!D225)</f>
        <v/>
      </c>
      <c r="E97" s="316"/>
      <c r="F97" s="300"/>
      <c r="G97" s="610"/>
      <c r="H97" s="2745"/>
      <c r="I97" s="2758"/>
    </row>
    <row r="98" spans="1:10" ht="27" customHeight="1" x14ac:dyDescent="0.2">
      <c r="A98" s="2324"/>
      <c r="B98" s="2324"/>
      <c r="C98" s="1619" t="str">
        <f>F!C226</f>
        <v xml:space="preserve">Was not measured but surface water is present and is darkly tea-coloured.  Or if no surface water, then mosses and plants that indicate peatland (e.g., Labrador tea) are prevalent. Enter "1". </v>
      </c>
      <c r="D98" s="1947">
        <f>F!D226</f>
        <v>0</v>
      </c>
      <c r="E98" s="300"/>
      <c r="F98" s="300"/>
      <c r="G98" s="941" t="s">
        <v>912</v>
      </c>
      <c r="H98" s="2745"/>
      <c r="I98" s="2758"/>
    </row>
    <row r="99" spans="1:10" ht="15" customHeight="1" thickBot="1" x14ac:dyDescent="0.25">
      <c r="A99" s="2325"/>
      <c r="B99" s="2325"/>
      <c r="C99" s="1214" t="str">
        <f>F!C227</f>
        <v>Neither of above. Enter "1".</v>
      </c>
      <c r="D99" s="1499">
        <f>F!D227</f>
        <v>1</v>
      </c>
      <c r="E99" s="301"/>
      <c r="F99" s="301"/>
      <c r="G99" s="966"/>
      <c r="H99" s="2772"/>
      <c r="I99" s="2759"/>
    </row>
    <row r="100" spans="1:10" s="14" customFormat="1" ht="21" customHeight="1" thickBot="1" x14ac:dyDescent="0.25">
      <c r="A100" s="2392" t="str">
        <f>F!A233</f>
        <v>F49</v>
      </c>
      <c r="B100" s="2340" t="str">
        <f>F!B233</f>
        <v>Beaver Probability</v>
      </c>
      <c r="C100" s="596" t="str">
        <f>F!C233</f>
        <v>Use of the AA by beaver during the past 5 years is (select most applicable ONE):</v>
      </c>
      <c r="D100" s="299"/>
      <c r="E100" s="299"/>
      <c r="F100" s="302"/>
      <c r="G100" s="434">
        <f>IF((AllSat1&gt;0),"",MAX(F101:F103)/MAX(E101:E103))</f>
        <v>1</v>
      </c>
      <c r="H100" s="2324" t="s">
        <v>1569</v>
      </c>
      <c r="I100" s="2758" t="s">
        <v>1026</v>
      </c>
      <c r="J100" s="110"/>
    </row>
    <row r="101" spans="1:10" s="14" customFormat="1" ht="27" customHeight="1" x14ac:dyDescent="0.2">
      <c r="A101" s="2392"/>
      <c r="B101" s="2340"/>
      <c r="C101" s="461" t="str">
        <f>F!C234</f>
        <v>Evident from direct observation or presence of gnawed limbs, dams, tracks, dens, lodges, or extensive stands of water-killed trees (snags).</v>
      </c>
      <c r="D101" s="215">
        <f>F!D234</f>
        <v>1</v>
      </c>
      <c r="E101" s="300">
        <v>3</v>
      </c>
      <c r="F101" s="300">
        <f>D101*E101</f>
        <v>3</v>
      </c>
      <c r="G101" s="429"/>
      <c r="H101" s="2324"/>
      <c r="I101" s="2758"/>
      <c r="J101" s="110"/>
    </row>
    <row r="102" spans="1:10" s="14" customFormat="1" ht="42" customHeight="1" x14ac:dyDescent="0.2">
      <c r="A102" s="2392"/>
      <c r="B102" s="2340"/>
      <c r="C102" s="462" t="str">
        <f>F!C235</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02" s="216">
        <f>F!D235</f>
        <v>0</v>
      </c>
      <c r="E102" s="300">
        <v>2</v>
      </c>
      <c r="F102" s="300">
        <f>D102*E102</f>
        <v>0</v>
      </c>
      <c r="G102" s="430"/>
      <c r="H102" s="2324"/>
      <c r="I102" s="2758"/>
      <c r="J102" s="110"/>
    </row>
    <row r="103" spans="1:10" s="14" customFormat="1" ht="27" customHeight="1" thickBot="1" x14ac:dyDescent="0.25">
      <c r="A103" s="2392"/>
      <c r="B103" s="2340"/>
      <c r="C103" s="462" t="str">
        <f>F!C236</f>
        <v xml:space="preserve">Unlikely because site characteristics above are deficient, and/or this is a settled area or other area where beaver are routinely removed. </v>
      </c>
      <c r="D103" s="216">
        <f>F!D236</f>
        <v>0</v>
      </c>
      <c r="E103" s="300">
        <v>0</v>
      </c>
      <c r="F103" s="300">
        <f>D103*E103</f>
        <v>0</v>
      </c>
      <c r="G103" s="430"/>
      <c r="H103" s="2324"/>
      <c r="I103" s="2759"/>
      <c r="J103" s="110"/>
    </row>
    <row r="104" spans="1:10" ht="21" customHeight="1" thickBot="1" x14ac:dyDescent="0.25">
      <c r="A104" s="2586" t="str">
        <f>F!A237</f>
        <v>F50</v>
      </c>
      <c r="B104" s="2323" t="str">
        <f>F!B237</f>
        <v>Groundwater Strength of Evidence</v>
      </c>
      <c r="C104" s="105" t="str">
        <f>F!C237</f>
        <v>Select first applicable choice:</v>
      </c>
      <c r="D104" s="304"/>
      <c r="E104" s="304"/>
      <c r="F104" s="305"/>
      <c r="G104" s="465">
        <f>MAX(F105:F107)/MAX(E105:E107)</f>
        <v>0</v>
      </c>
      <c r="H104" s="2323" t="s">
        <v>1562</v>
      </c>
      <c r="I104" s="2757" t="s">
        <v>129</v>
      </c>
    </row>
    <row r="105" spans="1:10" ht="42" customHeight="1" x14ac:dyDescent="0.2">
      <c r="A105" s="2399"/>
      <c r="B105" s="2324"/>
      <c r="C105" s="479"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05" s="295">
        <f>F!D238</f>
        <v>0</v>
      </c>
      <c r="E105" s="300">
        <v>3</v>
      </c>
      <c r="F105" s="300">
        <f>D105*E105</f>
        <v>0</v>
      </c>
      <c r="G105" s="548"/>
      <c r="H105" s="2324"/>
      <c r="I105" s="2758"/>
    </row>
    <row r="106" spans="1:10" ht="27" customHeight="1" x14ac:dyDescent="0.2">
      <c r="A106" s="2399"/>
      <c r="B106" s="2324"/>
      <c r="C106" s="482" t="str">
        <f>F!C239</f>
        <v>Most of the AA has a slope of &gt;5%, or is very close to the base of a natural slope longer than 100 and much steeper than the slope of the AA,  AND the pH of surface water, if known, is &gt;5.5.</v>
      </c>
      <c r="D106" s="211">
        <f>F!D239</f>
        <v>0</v>
      </c>
      <c r="E106" s="300">
        <v>2</v>
      </c>
      <c r="F106" s="300">
        <f>D106*E106</f>
        <v>0</v>
      </c>
      <c r="G106" s="549"/>
      <c r="H106" s="2324"/>
      <c r="I106" s="2758"/>
    </row>
    <row r="107" spans="1:10" ht="27" customHeight="1" thickBot="1" x14ac:dyDescent="0.25">
      <c r="A107" s="2553"/>
      <c r="B107" s="2325"/>
      <c r="C107" s="420" t="str">
        <f>F!C240</f>
        <v>Neither of above is true, although some groundwater may discharge to or flow through the AA. Or groundwater influx is unknown.</v>
      </c>
      <c r="D107" s="206">
        <f>F!D240</f>
        <v>1</v>
      </c>
      <c r="E107" s="301">
        <v>0</v>
      </c>
      <c r="F107" s="301">
        <f>D107*E107</f>
        <v>0</v>
      </c>
      <c r="G107" s="431"/>
      <c r="H107" s="2325"/>
      <c r="I107" s="2759"/>
    </row>
    <row r="108" spans="1:10" ht="48" customHeight="1" thickBot="1" x14ac:dyDescent="0.25">
      <c r="A108" s="2404" t="str">
        <f>F!A247</f>
        <v>F52</v>
      </c>
      <c r="B108" s="2404" t="str">
        <f>F!B247</f>
        <v>Vegetated Buffer as % of Perimeter</v>
      </c>
      <c r="C108" s="481" t="str">
        <f>F!C247</f>
        <v>Within a zone extending 30 m laterally from the AA's edge with upland and/or other wetlands, the percentage that contains perennial vegetation cover (except lawns, row crops, heavily grazed land, conifer plantations) is:</v>
      </c>
      <c r="D108" s="304"/>
      <c r="E108" s="299"/>
      <c r="F108" s="321"/>
      <c r="G108" s="434">
        <f>MAX(F109:F113)/MAX(E109:E113)</f>
        <v>0</v>
      </c>
      <c r="H108" s="2404" t="s">
        <v>1566</v>
      </c>
      <c r="I108" s="2757" t="s">
        <v>153</v>
      </c>
    </row>
    <row r="109" spans="1:10" ht="24" customHeight="1" x14ac:dyDescent="0.2">
      <c r="A109" s="2404"/>
      <c r="B109" s="2404"/>
      <c r="C109" s="1292" t="str">
        <f>F!C248</f>
        <v>&lt;5%.</v>
      </c>
      <c r="D109" s="211">
        <f>F!D248</f>
        <v>1</v>
      </c>
      <c r="E109" s="316">
        <v>0</v>
      </c>
      <c r="F109" s="300">
        <f>D109*E109</f>
        <v>0</v>
      </c>
      <c r="G109" s="429"/>
      <c r="H109" s="2404"/>
      <c r="I109" s="2758"/>
    </row>
    <row r="110" spans="1:10" ht="24" customHeight="1" x14ac:dyDescent="0.2">
      <c r="A110" s="2404"/>
      <c r="B110" s="2404"/>
      <c r="C110" s="868" t="str">
        <f>F!C249</f>
        <v>5 to 30%.</v>
      </c>
      <c r="D110" s="205">
        <f>F!D249</f>
        <v>0</v>
      </c>
      <c r="E110" s="316">
        <v>2</v>
      </c>
      <c r="F110" s="300">
        <f>D110*E110</f>
        <v>0</v>
      </c>
      <c r="G110" s="430"/>
      <c r="H110" s="2404"/>
      <c r="I110" s="2758"/>
    </row>
    <row r="111" spans="1:10" ht="24" customHeight="1" x14ac:dyDescent="0.2">
      <c r="A111" s="2404"/>
      <c r="B111" s="2404"/>
      <c r="C111" s="868" t="str">
        <f>F!C250</f>
        <v>30 to 60%.</v>
      </c>
      <c r="D111" s="205">
        <f>F!D250</f>
        <v>0</v>
      </c>
      <c r="E111" s="316">
        <v>3</v>
      </c>
      <c r="F111" s="300">
        <f>D111*E111</f>
        <v>0</v>
      </c>
      <c r="G111" s="430"/>
      <c r="H111" s="2404"/>
      <c r="I111" s="2758"/>
    </row>
    <row r="112" spans="1:10" ht="24" customHeight="1" x14ac:dyDescent="0.2">
      <c r="A112" s="2404"/>
      <c r="B112" s="2404"/>
      <c r="C112" s="1131" t="str">
        <f>F!C251</f>
        <v>60 to 90%.</v>
      </c>
      <c r="D112" s="205">
        <f>F!D251</f>
        <v>0</v>
      </c>
      <c r="E112" s="316">
        <v>4</v>
      </c>
      <c r="F112" s="300">
        <f>D112*E112</f>
        <v>0</v>
      </c>
      <c r="G112" s="430"/>
      <c r="H112" s="2404"/>
      <c r="I112" s="2758"/>
    </row>
    <row r="113" spans="1:10" ht="24" customHeight="1" thickBot="1" x14ac:dyDescent="0.25">
      <c r="A113" s="2404"/>
      <c r="B113" s="2404"/>
      <c r="C113" s="937" t="str">
        <f>F!C252</f>
        <v>&gt;90%, or all the area within 30 m of the AA edge is other wetlands. SKIP to F55.</v>
      </c>
      <c r="D113" s="206">
        <f>F!D252</f>
        <v>0</v>
      </c>
      <c r="E113" s="458">
        <v>6</v>
      </c>
      <c r="F113" s="303">
        <f>D113*E113</f>
        <v>0</v>
      </c>
      <c r="G113" s="439"/>
      <c r="H113" s="2404"/>
      <c r="I113" s="2759"/>
    </row>
    <row r="114" spans="1:10" s="14" customFormat="1" ht="102" customHeight="1" thickBot="1" x14ac:dyDescent="0.25">
      <c r="A114" s="2529" t="str">
        <f>F!A253</f>
        <v>F53</v>
      </c>
      <c r="B114" s="2529" t="str">
        <f>F!B253</f>
        <v>Type of Cover in Buffer</v>
      </c>
      <c r="C114" s="4" t="str">
        <f>F!C253</f>
        <v>Within 30 m upslope of where the wetland transitions to upland, the upland land cover that is NOT perennial vegetation is mostly (mark ONE):</v>
      </c>
      <c r="D114" s="315"/>
      <c r="E114" s="304"/>
      <c r="F114" s="322"/>
      <c r="G114" s="428">
        <f>IF((NoCA=1),"",IF((BuffAllNat=1),"",MAX(F115:F116)/MAX(E115:E116)))</f>
        <v>0</v>
      </c>
      <c r="H114" s="2693" t="s">
        <v>2882</v>
      </c>
      <c r="I114" s="2757" t="s">
        <v>132</v>
      </c>
      <c r="J114" s="110"/>
    </row>
    <row r="115" spans="1:10" s="3" customFormat="1" ht="67.5" customHeight="1" x14ac:dyDescent="0.2">
      <c r="A115" s="2404"/>
      <c r="B115" s="2404"/>
      <c r="C115" s="1133" t="str">
        <f>F!C254</f>
        <v>Impervious surface, e.g., paved road, parking lot, building, exposed rock.</v>
      </c>
      <c r="D115" s="205">
        <f>F!D254</f>
        <v>0</v>
      </c>
      <c r="E115" s="316">
        <v>0</v>
      </c>
      <c r="F115" s="300">
        <f>D115*E115</f>
        <v>0</v>
      </c>
      <c r="G115" s="548"/>
      <c r="H115" s="2663"/>
      <c r="I115" s="2758"/>
      <c r="J115" s="151"/>
    </row>
    <row r="116" spans="1:10" s="3" customFormat="1" ht="60" customHeight="1" thickBot="1" x14ac:dyDescent="0.25">
      <c r="A116" s="2530"/>
      <c r="B116" s="2530"/>
      <c r="C116" s="1077" t="str">
        <f>F!C255</f>
        <v>Bare or nearly bare pervious surface or managed vegetation, e.g., lawn, row crops, unpaved road, dike, landslide.</v>
      </c>
      <c r="D116" s="1293">
        <f>F!D255</f>
        <v>0</v>
      </c>
      <c r="E116" s="301">
        <v>1</v>
      </c>
      <c r="F116" s="301">
        <f>D116*E116</f>
        <v>0</v>
      </c>
      <c r="G116" s="550"/>
      <c r="H116" s="2664"/>
      <c r="I116" s="2759"/>
      <c r="J116" s="151"/>
    </row>
    <row r="117" spans="1:10" ht="66.75" customHeight="1" thickBot="1" x14ac:dyDescent="0.25">
      <c r="A117" s="472" t="str">
        <f>S!A3</f>
        <v>S1</v>
      </c>
      <c r="B117" s="603" t="str">
        <f>S!B3</f>
        <v>Aberrant Timing of Water Inputs</v>
      </c>
      <c r="C117" s="597" t="s">
        <v>2585</v>
      </c>
      <c r="D117" s="242">
        <f>S!F24</f>
        <v>0.25</v>
      </c>
      <c r="E117" s="608"/>
      <c r="F117" s="313"/>
      <c r="G117" s="604">
        <f>IF((Inflows=0),"", 1-D117)</f>
        <v>0.75</v>
      </c>
      <c r="H117" s="1117" t="s">
        <v>1847</v>
      </c>
      <c r="I117" s="1287" t="s">
        <v>136</v>
      </c>
    </row>
    <row r="118" spans="1:10" s="14" customFormat="1" ht="45" customHeight="1" thickBot="1" x14ac:dyDescent="0.25">
      <c r="A118" s="417" t="str">
        <f>S!A25</f>
        <v>S2</v>
      </c>
      <c r="B118" s="4" t="str">
        <f>S!B25</f>
        <v>Accelerated Inputs of Contaminants and/or Salts</v>
      </c>
      <c r="C118" s="1044" t="s">
        <v>2585</v>
      </c>
      <c r="D118" s="202">
        <f>S!F37</f>
        <v>0.33333333333333331</v>
      </c>
      <c r="E118" s="333"/>
      <c r="F118" s="312"/>
      <c r="G118" s="428">
        <f>1-D118</f>
        <v>0.66666666666666674</v>
      </c>
      <c r="H118" s="73" t="s">
        <v>1567</v>
      </c>
      <c r="I118" s="1287" t="s">
        <v>1668</v>
      </c>
      <c r="J118" s="110"/>
    </row>
    <row r="119" spans="1:10" s="14" customFormat="1" ht="68.25" customHeight="1" thickBot="1" x14ac:dyDescent="0.25">
      <c r="A119" s="66" t="str">
        <f>S!A51</f>
        <v>S4</v>
      </c>
      <c r="B119" s="473" t="str">
        <f>S!B51</f>
        <v>Excessive Sediment Loading from Contributing Area</v>
      </c>
      <c r="C119" s="597" t="s">
        <v>2585</v>
      </c>
      <c r="D119" s="215">
        <f>S!F68</f>
        <v>0.58333333333333337</v>
      </c>
      <c r="E119" s="330"/>
      <c r="F119" s="302"/>
      <c r="G119" s="434">
        <f>1-D119</f>
        <v>0.41666666666666663</v>
      </c>
      <c r="H119" s="988" t="s">
        <v>1563</v>
      </c>
      <c r="I119" s="1287" t="s">
        <v>137</v>
      </c>
      <c r="J119" s="110"/>
    </row>
    <row r="120" spans="1:10" s="128" customFormat="1" ht="36" customHeight="1" thickBot="1" x14ac:dyDescent="0.25">
      <c r="A120" s="1197" t="s">
        <v>88</v>
      </c>
      <c r="B120" s="1198" t="s">
        <v>2432</v>
      </c>
      <c r="C120" s="1186" t="s">
        <v>1165</v>
      </c>
      <c r="D120" s="1185" t="s">
        <v>45</v>
      </c>
      <c r="E120" s="1283" t="s">
        <v>1189</v>
      </c>
      <c r="F120" s="1284" t="s">
        <v>1190</v>
      </c>
      <c r="G120" s="1285" t="s">
        <v>2555</v>
      </c>
      <c r="H120" s="1184" t="s">
        <v>1118</v>
      </c>
      <c r="I120" s="1288" t="s">
        <v>2424</v>
      </c>
      <c r="J120" s="110"/>
    </row>
    <row r="121" spans="1:10" s="11" customFormat="1" ht="21" customHeight="1" thickBot="1" x14ac:dyDescent="0.25">
      <c r="A121" s="2665" t="str">
        <f>OF!A50</f>
        <v>OF10</v>
      </c>
      <c r="B121" s="2665" t="str">
        <f>OF!B50</f>
        <v>Distance by Road to Nearest Population Center</v>
      </c>
      <c r="C121" s="598" t="str">
        <f>OF!C50</f>
        <v>Measured along the maintained road nearest the AA, the distance to the nearest population center is:</v>
      </c>
      <c r="D121" s="304"/>
      <c r="E121" s="609"/>
      <c r="F121" s="609"/>
      <c r="G121" s="447">
        <f>MAX(F122:F126)/MAX(E122:E126)</f>
        <v>0.75</v>
      </c>
      <c r="H121" s="2323" t="s">
        <v>1097</v>
      </c>
      <c r="I121" s="2574" t="s">
        <v>1666</v>
      </c>
      <c r="J121" s="110"/>
    </row>
    <row r="122" spans="1:10" s="11" customFormat="1" ht="15" customHeight="1" x14ac:dyDescent="0.2">
      <c r="A122" s="2666"/>
      <c r="B122" s="2666"/>
      <c r="C122" s="599" t="str">
        <f>OF!C51</f>
        <v>&lt;100 m.</v>
      </c>
      <c r="D122" s="245">
        <f>OF!D51</f>
        <v>0</v>
      </c>
      <c r="E122" s="324">
        <v>4</v>
      </c>
      <c r="F122" s="300">
        <f>D122*E122</f>
        <v>0</v>
      </c>
      <c r="G122" s="430"/>
      <c r="H122" s="2324"/>
      <c r="I122" s="2575"/>
      <c r="J122" s="110"/>
    </row>
    <row r="123" spans="1:10" s="11" customFormat="1" ht="15" customHeight="1" x14ac:dyDescent="0.2">
      <c r="A123" s="2666"/>
      <c r="B123" s="2666"/>
      <c r="C123" s="600" t="str">
        <f>OF!C52</f>
        <v>100 - 500 m.</v>
      </c>
      <c r="D123" s="246">
        <f>OF!D52</f>
        <v>1</v>
      </c>
      <c r="E123" s="324">
        <v>3</v>
      </c>
      <c r="F123" s="300">
        <f>D123*E123</f>
        <v>3</v>
      </c>
      <c r="G123" s="430"/>
      <c r="H123" s="2324"/>
      <c r="I123" s="2575"/>
      <c r="J123" s="110"/>
    </row>
    <row r="124" spans="1:10" s="11" customFormat="1" ht="15" customHeight="1" x14ac:dyDescent="0.2">
      <c r="A124" s="2666"/>
      <c r="B124" s="2666"/>
      <c r="C124" s="600" t="str">
        <f>OF!C53</f>
        <v>0.5- 1 km.</v>
      </c>
      <c r="D124" s="246">
        <f>OF!D53</f>
        <v>0</v>
      </c>
      <c r="E124" s="324">
        <v>2</v>
      </c>
      <c r="F124" s="300">
        <f>D124*E124</f>
        <v>0</v>
      </c>
      <c r="G124" s="430"/>
      <c r="H124" s="2324"/>
      <c r="I124" s="2575"/>
      <c r="J124" s="110"/>
    </row>
    <row r="125" spans="1:10" s="11" customFormat="1" ht="15" customHeight="1" x14ac:dyDescent="0.2">
      <c r="A125" s="2666"/>
      <c r="B125" s="2666"/>
      <c r="C125" s="600" t="str">
        <f>OF!C54</f>
        <v>1 - 5 km.</v>
      </c>
      <c r="D125" s="246">
        <f>OF!D54</f>
        <v>0</v>
      </c>
      <c r="E125" s="324">
        <v>1</v>
      </c>
      <c r="F125" s="300">
        <f>D125*E125</f>
        <v>0</v>
      </c>
      <c r="G125" s="430"/>
      <c r="H125" s="2324"/>
      <c r="I125" s="2575"/>
      <c r="J125" s="110"/>
    </row>
    <row r="126" spans="1:10" s="11" customFormat="1" ht="15" customHeight="1" thickBot="1" x14ac:dyDescent="0.25">
      <c r="A126" s="2667"/>
      <c r="B126" s="2667"/>
      <c r="C126" s="601" t="str">
        <f>OF!C55</f>
        <v>&gt;5 km.</v>
      </c>
      <c r="D126" s="247">
        <f>OF!D55</f>
        <v>0</v>
      </c>
      <c r="E126" s="328">
        <v>0</v>
      </c>
      <c r="F126" s="301">
        <f>D126*E126</f>
        <v>0</v>
      </c>
      <c r="G126" s="431"/>
      <c r="H126" s="2325"/>
      <c r="I126" s="2576"/>
      <c r="J126" s="110"/>
    </row>
    <row r="127" spans="1:10" s="11" customFormat="1" ht="21" customHeight="1" thickBot="1" x14ac:dyDescent="0.25">
      <c r="A127" s="2762" t="str">
        <f>OF!A56</f>
        <v>OF11</v>
      </c>
      <c r="B127" s="2666" t="str">
        <f>OF!B56</f>
        <v>Distance to Nearest Maintained Road</v>
      </c>
      <c r="C127" s="598" t="str">
        <f>OF!C56</f>
        <v>From the center of the AA, the distance to the nearest maintained public road (dirt or paved) is:</v>
      </c>
      <c r="D127" s="304"/>
      <c r="E127" s="330"/>
      <c r="F127" s="610"/>
      <c r="G127" s="441">
        <f>MAX(F128:F133)/MAX(E128:E133)</f>
        <v>0</v>
      </c>
      <c r="H127" s="2324" t="s">
        <v>1098</v>
      </c>
      <c r="I127" s="2574" t="s">
        <v>1667</v>
      </c>
      <c r="J127" s="110"/>
    </row>
    <row r="128" spans="1:10" s="11" customFormat="1" ht="15" customHeight="1" x14ac:dyDescent="0.2">
      <c r="A128" s="2762"/>
      <c r="B128" s="2666"/>
      <c r="C128" s="599" t="str">
        <f>OF!C57</f>
        <v>&lt;10 m.</v>
      </c>
      <c r="D128" s="245">
        <f>OF!D57</f>
        <v>0</v>
      </c>
      <c r="E128" s="324">
        <v>5</v>
      </c>
      <c r="F128" s="300">
        <f t="shared" ref="F128:F133" si="2">D128*E128</f>
        <v>0</v>
      </c>
      <c r="G128" s="430"/>
      <c r="H128" s="2324"/>
      <c r="I128" s="2575"/>
      <c r="J128" s="110"/>
    </row>
    <row r="129" spans="1:10" s="11" customFormat="1" ht="15" customHeight="1" x14ac:dyDescent="0.2">
      <c r="A129" s="2762"/>
      <c r="B129" s="2666"/>
      <c r="C129" s="600" t="str">
        <f>OF!C58</f>
        <v>10 - 25 m.</v>
      </c>
      <c r="D129" s="246">
        <f>OF!D58</f>
        <v>0</v>
      </c>
      <c r="E129" s="324">
        <v>4</v>
      </c>
      <c r="F129" s="300">
        <f t="shared" si="2"/>
        <v>0</v>
      </c>
      <c r="G129" s="430"/>
      <c r="H129" s="2324"/>
      <c r="I129" s="2575"/>
      <c r="J129" s="110"/>
    </row>
    <row r="130" spans="1:10" s="11" customFormat="1" ht="15" customHeight="1" x14ac:dyDescent="0.2">
      <c r="A130" s="2762"/>
      <c r="B130" s="2666"/>
      <c r="C130" s="600" t="str">
        <f>OF!C59</f>
        <v>25 - 50 m.</v>
      </c>
      <c r="D130" s="246">
        <f>OF!D59</f>
        <v>0</v>
      </c>
      <c r="E130" s="324">
        <v>3</v>
      </c>
      <c r="F130" s="300">
        <f t="shared" si="2"/>
        <v>0</v>
      </c>
      <c r="G130" s="430"/>
      <c r="H130" s="2324"/>
      <c r="I130" s="2575"/>
      <c r="J130" s="110"/>
    </row>
    <row r="131" spans="1:10" s="11" customFormat="1" ht="15" customHeight="1" x14ac:dyDescent="0.2">
      <c r="A131" s="2762"/>
      <c r="B131" s="2666"/>
      <c r="C131" s="600" t="str">
        <f>OF!C60</f>
        <v>50 - 100 m.</v>
      </c>
      <c r="D131" s="246">
        <f>OF!D60</f>
        <v>0</v>
      </c>
      <c r="E131" s="324">
        <v>2</v>
      </c>
      <c r="F131" s="300">
        <f t="shared" si="2"/>
        <v>0</v>
      </c>
      <c r="G131" s="430"/>
      <c r="H131" s="2324"/>
      <c r="I131" s="2575"/>
      <c r="J131" s="110"/>
    </row>
    <row r="132" spans="1:10" s="11" customFormat="1" ht="15" customHeight="1" x14ac:dyDescent="0.2">
      <c r="A132" s="2762"/>
      <c r="B132" s="2666"/>
      <c r="C132" s="600" t="str">
        <f>OF!C61</f>
        <v>100 - 500 m.</v>
      </c>
      <c r="D132" s="246">
        <f>OF!D61</f>
        <v>0</v>
      </c>
      <c r="E132" s="324">
        <v>1</v>
      </c>
      <c r="F132" s="300">
        <f t="shared" si="2"/>
        <v>0</v>
      </c>
      <c r="G132" s="430"/>
      <c r="H132" s="2324"/>
      <c r="I132" s="2575"/>
      <c r="J132" s="110"/>
    </row>
    <row r="133" spans="1:10" s="11" customFormat="1" ht="15" customHeight="1" thickBot="1" x14ac:dyDescent="0.25">
      <c r="A133" s="2762"/>
      <c r="B133" s="2666"/>
      <c r="C133" s="602" t="str">
        <f>OF!C62</f>
        <v>&gt;500 m.</v>
      </c>
      <c r="D133" s="248">
        <f>OF!D62</f>
        <v>1</v>
      </c>
      <c r="E133" s="326">
        <v>0</v>
      </c>
      <c r="F133" s="303">
        <f t="shared" si="2"/>
        <v>0</v>
      </c>
      <c r="G133" s="439"/>
      <c r="H133" s="2324"/>
      <c r="I133" s="2576"/>
      <c r="J133" s="110"/>
    </row>
    <row r="134" spans="1:10" ht="60" customHeight="1" thickBot="1" x14ac:dyDescent="0.25">
      <c r="A134" s="2323" t="str">
        <f>F!A282</f>
        <v>F60</v>
      </c>
      <c r="B134" s="2323" t="str">
        <f>F!B282</f>
        <v xml:space="preserve">Unvisited Core Area </v>
      </c>
      <c r="C134" s="365"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134" s="555"/>
      <c r="E134" s="331"/>
      <c r="F134" s="304"/>
      <c r="G134" s="447">
        <f>MAX(F135:F140)/MAX(E135:E140)</f>
        <v>0</v>
      </c>
      <c r="H134" s="2323" t="s">
        <v>1099</v>
      </c>
      <c r="I134" s="2757" t="s">
        <v>1027</v>
      </c>
    </row>
    <row r="135" spans="1:10" ht="15" customHeight="1" x14ac:dyDescent="0.2">
      <c r="A135" s="2324"/>
      <c r="B135" s="2324"/>
      <c r="C135" s="1133" t="str">
        <f>F!C283</f>
        <v>&lt;5% and no inhabited building is within 100 m of the AA.</v>
      </c>
      <c r="D135" s="205">
        <f>F!D283</f>
        <v>0</v>
      </c>
      <c r="E135" s="932">
        <v>3</v>
      </c>
      <c r="F135" s="300">
        <f t="shared" ref="F135:F140" si="3">D135*E135</f>
        <v>0</v>
      </c>
      <c r="G135" s="430"/>
      <c r="H135" s="2324"/>
      <c r="I135" s="2758"/>
    </row>
    <row r="136" spans="1:10" ht="15" customHeight="1" x14ac:dyDescent="0.2">
      <c r="A136" s="2324"/>
      <c r="B136" s="2324"/>
      <c r="C136" s="1131" t="str">
        <f>F!C284</f>
        <v>&lt;5% and inhabited building is within 100 m of the AA.</v>
      </c>
      <c r="D136" s="295">
        <f>F!D284</f>
        <v>0</v>
      </c>
      <c r="E136" s="932">
        <v>3</v>
      </c>
      <c r="F136" s="300">
        <f t="shared" si="3"/>
        <v>0</v>
      </c>
      <c r="G136" s="430"/>
      <c r="H136" s="2324"/>
      <c r="I136" s="2758"/>
    </row>
    <row r="137" spans="1:10" ht="15" customHeight="1" x14ac:dyDescent="0.2">
      <c r="A137" s="2324"/>
      <c r="B137" s="2324"/>
      <c r="C137" s="1294" t="str">
        <f>F!C285</f>
        <v>5-50% and no inhabited building is within 100 m of the AA.</v>
      </c>
      <c r="D137" s="205">
        <f>F!D285</f>
        <v>0</v>
      </c>
      <c r="E137" s="932">
        <v>2</v>
      </c>
      <c r="F137" s="300">
        <f t="shared" si="3"/>
        <v>0</v>
      </c>
      <c r="G137" s="430"/>
      <c r="H137" s="2324"/>
      <c r="I137" s="2758"/>
    </row>
    <row r="138" spans="1:10" ht="15" customHeight="1" x14ac:dyDescent="0.2">
      <c r="A138" s="2324"/>
      <c r="B138" s="2324"/>
      <c r="C138" s="868" t="str">
        <f>F!C286</f>
        <v>5-50% and inhabited building is within 100 m of the AA.</v>
      </c>
      <c r="D138" s="205">
        <f>F!D286</f>
        <v>0</v>
      </c>
      <c r="E138" s="932">
        <v>2</v>
      </c>
      <c r="F138" s="300">
        <f t="shared" si="3"/>
        <v>0</v>
      </c>
      <c r="G138" s="430"/>
      <c r="H138" s="2324"/>
      <c r="I138" s="2758"/>
    </row>
    <row r="139" spans="1:10" ht="15" customHeight="1" x14ac:dyDescent="0.2">
      <c r="A139" s="2324"/>
      <c r="B139" s="2324"/>
      <c r="C139" s="1131" t="str">
        <f>F!C287</f>
        <v>50-95%, with or without inhabited building nearby.</v>
      </c>
      <c r="D139" s="295">
        <f>F!D287</f>
        <v>0</v>
      </c>
      <c r="E139" s="932">
        <v>1</v>
      </c>
      <c r="F139" s="300">
        <f t="shared" si="3"/>
        <v>0</v>
      </c>
      <c r="G139" s="430"/>
      <c r="H139" s="2324"/>
      <c r="I139" s="2758"/>
    </row>
    <row r="140" spans="1:10" ht="15" customHeight="1" thickBot="1" x14ac:dyDescent="0.25">
      <c r="A140" s="2324"/>
      <c r="B140" s="2324"/>
      <c r="C140" s="937" t="str">
        <f>F!C288</f>
        <v>&gt;95% of the AA with or without inhabited building nearby.</v>
      </c>
      <c r="D140" s="206">
        <f>F!D288</f>
        <v>1</v>
      </c>
      <c r="E140" s="1003">
        <v>0</v>
      </c>
      <c r="F140" s="303">
        <f t="shared" si="3"/>
        <v>0</v>
      </c>
      <c r="G140" s="439"/>
      <c r="H140" s="2324"/>
      <c r="I140" s="2759"/>
    </row>
    <row r="141" spans="1:10" s="11" customFormat="1" ht="30" customHeight="1" thickBot="1" x14ac:dyDescent="0.25">
      <c r="A141" s="154" t="str">
        <f>F!A296</f>
        <v>F64</v>
      </c>
      <c r="B141" s="154" t="str">
        <f>F!B296</f>
        <v xml:space="preserve">Consumptive Uses (Provisioning Services)  </v>
      </c>
      <c r="C141" s="161" t="str">
        <f>F!C300</f>
        <v>Fishing.</v>
      </c>
      <c r="D141" s="243">
        <f>F!D300</f>
        <v>0</v>
      </c>
      <c r="E141" s="333"/>
      <c r="F141" s="333"/>
      <c r="G141" s="900"/>
      <c r="H141" s="4" t="s">
        <v>39</v>
      </c>
      <c r="I141" s="1231" t="s">
        <v>138</v>
      </c>
      <c r="J141" s="110"/>
    </row>
    <row r="142" spans="1:10" s="14" customFormat="1" ht="45" customHeight="1" thickBot="1" x14ac:dyDescent="0.25">
      <c r="A142" s="860"/>
      <c r="B142" s="642" t="str">
        <f>WBF!C171</f>
        <v>Function Score for Feeding Waterbird Habitat</v>
      </c>
      <c r="C142" s="897"/>
      <c r="D142" s="656"/>
      <c r="E142" s="656"/>
      <c r="F142" s="898"/>
      <c r="G142" s="899">
        <f>WBF!G171/10</f>
        <v>0.74398148148148135</v>
      </c>
      <c r="H142" s="960" t="s">
        <v>582</v>
      </c>
      <c r="I142" s="1287" t="s">
        <v>139</v>
      </c>
      <c r="J142" s="110"/>
    </row>
    <row r="143" spans="1:10" s="11" customFormat="1" ht="21" customHeight="1" thickBot="1" x14ac:dyDescent="0.25">
      <c r="A143" s="2767"/>
      <c r="B143" s="2767"/>
      <c r="C143" s="2767"/>
      <c r="D143" s="2767"/>
      <c r="E143" s="2767"/>
      <c r="F143" s="2767"/>
      <c r="G143" s="2767"/>
      <c r="H143" s="2767"/>
      <c r="J143" s="110"/>
    </row>
    <row r="144" spans="1:10" ht="24.75" customHeight="1" x14ac:dyDescent="0.2">
      <c r="A144" s="2768"/>
      <c r="B144" s="2768"/>
      <c r="C144" s="2768"/>
      <c r="D144" s="2677" t="s">
        <v>613</v>
      </c>
      <c r="E144" s="2678"/>
      <c r="F144" s="2678"/>
      <c r="G144" s="1289">
        <f>AVERAGE(SatPct9, Depth9,MAX(SeasWpct9, PermWpct9), Interspers9,ThruFlo9)</f>
        <v>0.76666666666666672</v>
      </c>
      <c r="H144" s="1422" t="s">
        <v>2070</v>
      </c>
      <c r="I144" s="1423" t="s">
        <v>2123</v>
      </c>
    </row>
    <row r="145" spans="1:11" ht="28.5" customHeight="1" x14ac:dyDescent="0.2">
      <c r="A145" s="2768"/>
      <c r="B145" s="2768"/>
      <c r="C145" s="2768"/>
      <c r="D145" s="2763" t="s">
        <v>121</v>
      </c>
      <c r="E145" s="2764"/>
      <c r="F145" s="2764"/>
      <c r="G145" s="1290">
        <f>IF((AllSat1=1),"", AVERAGE(Beaver9,AVERAGE(Wettype9,WoodAbove9, AqPlantCov9, Shade9)))</f>
        <v>0.85</v>
      </c>
      <c r="H145" s="1407" t="s">
        <v>1115</v>
      </c>
      <c r="I145" s="1424" t="s">
        <v>2124</v>
      </c>
    </row>
    <row r="146" spans="1:11" ht="21" customHeight="1" x14ac:dyDescent="0.2">
      <c r="A146" s="2768"/>
      <c r="B146" s="2768"/>
      <c r="C146" s="2768"/>
      <c r="D146" s="2763" t="s">
        <v>149</v>
      </c>
      <c r="E146" s="2764"/>
      <c r="F146" s="2764"/>
      <c r="G146" s="1290">
        <f>AVERAGE(GroundW9, TidalProx9, Elev9,Wettype9,Nfix9,Karst9a)</f>
        <v>0.49833333333333335</v>
      </c>
      <c r="H146" s="1407" t="s">
        <v>1025</v>
      </c>
      <c r="I146" s="1424" t="s">
        <v>2125</v>
      </c>
    </row>
    <row r="147" spans="1:11" ht="21" customHeight="1" x14ac:dyDescent="0.2">
      <c r="A147" s="2768"/>
      <c r="B147" s="2768"/>
      <c r="C147" s="2768"/>
      <c r="D147" s="2763" t="s">
        <v>118</v>
      </c>
      <c r="E147" s="2764"/>
      <c r="F147" s="2764"/>
      <c r="G147" s="1290">
        <f>AVERAGE(BuffPctNat9,BuffLU9, ImpervCA9)</f>
        <v>0.33333333333333331</v>
      </c>
      <c r="H147" s="1407" t="s">
        <v>2071</v>
      </c>
      <c r="I147" s="1424" t="s">
        <v>2126</v>
      </c>
    </row>
    <row r="148" spans="1:11" ht="21" customHeight="1" thickBot="1" x14ac:dyDescent="0.25">
      <c r="A148" s="2768"/>
      <c r="B148" s="2768"/>
      <c r="C148" s="2768"/>
      <c r="D148" s="2765" t="s">
        <v>451</v>
      </c>
      <c r="E148" s="2766"/>
      <c r="F148" s="2766"/>
      <c r="G148" s="1291">
        <f>MIN(Acid9,ToxicIn9,SedIn9,AltTime9,ToxData9)</f>
        <v>0.41666666666666663</v>
      </c>
      <c r="H148" s="1425" t="s">
        <v>2072</v>
      </c>
      <c r="I148" s="1426" t="s">
        <v>2127</v>
      </c>
    </row>
    <row r="149" spans="1:11" ht="21" customHeight="1" thickBot="1" x14ac:dyDescent="0.25">
      <c r="A149" s="2768"/>
      <c r="B149" s="2768"/>
      <c r="C149" s="2768"/>
      <c r="D149" s="2769"/>
      <c r="E149" s="2769"/>
      <c r="F149" s="2769"/>
      <c r="G149" s="2769"/>
      <c r="H149" s="2770"/>
    </row>
    <row r="150" spans="1:11" s="14" customFormat="1" ht="45" customHeight="1" thickBot="1" x14ac:dyDescent="0.25">
      <c r="A150" s="2581"/>
      <c r="B150" s="2771"/>
      <c r="C150" s="2557" t="s">
        <v>84</v>
      </c>
      <c r="D150" s="2558"/>
      <c r="E150" s="2559"/>
      <c r="F150" s="1268" t="s">
        <v>52</v>
      </c>
      <c r="G150" s="1272">
        <f>IF((Access9=0),0, IF((AllSat1&gt;0),0, 10*AVERAGE(Access9,OutDura9)*AVERAGE(Hydropd9,Struc9,Produc9,Lscape9,Stress9)))</f>
        <v>0</v>
      </c>
      <c r="H150" s="2753" t="s">
        <v>2269</v>
      </c>
      <c r="I150" s="2754"/>
      <c r="J150" s="156"/>
      <c r="K150" s="11"/>
    </row>
    <row r="151" spans="1:11" s="14" customFormat="1" ht="30" customHeight="1" thickBot="1" x14ac:dyDescent="0.25">
      <c r="A151" s="2581"/>
      <c r="B151" s="2771"/>
      <c r="C151" s="2557" t="s">
        <v>1909</v>
      </c>
      <c r="D151" s="2558"/>
      <c r="E151" s="2559"/>
      <c r="F151" s="1268" t="s">
        <v>53</v>
      </c>
      <c r="G151" s="1279">
        <f>10*(AVERAGE(Fishing9, WbirdFeed,Core9, PopCtr9, DistRd9))</f>
        <v>2.9879629629629627</v>
      </c>
      <c r="H151" s="2721" t="s">
        <v>1300</v>
      </c>
      <c r="I151" s="2722"/>
      <c r="J151" s="110"/>
    </row>
    <row r="152" spans="1:11" s="14" customFormat="1" ht="21" customHeight="1" thickBot="1" x14ac:dyDescent="0.25">
      <c r="A152" s="8"/>
      <c r="B152" s="8"/>
      <c r="C152" s="8"/>
      <c r="D152" s="8"/>
      <c r="E152" s="8"/>
      <c r="F152" s="8"/>
      <c r="G152" s="8"/>
      <c r="H152" s="8"/>
      <c r="J152" s="110"/>
    </row>
    <row r="153" spans="1:11" s="14" customFormat="1" ht="21" customHeight="1" thickBot="1" x14ac:dyDescent="0.25">
      <c r="A153" s="8"/>
      <c r="B153" s="8"/>
      <c r="C153" s="8"/>
      <c r="D153" s="8"/>
      <c r="E153" s="8"/>
      <c r="F153" s="8"/>
      <c r="G153" s="8"/>
      <c r="H153" s="2755" t="s">
        <v>669</v>
      </c>
      <c r="I153" s="2756"/>
      <c r="J153" s="110"/>
    </row>
    <row r="154" spans="1:11" s="14" customFormat="1" ht="42" customHeight="1" x14ac:dyDescent="0.2">
      <c r="A154" s="8"/>
      <c r="B154" s="8"/>
      <c r="C154" s="8"/>
      <c r="D154" s="8"/>
      <c r="E154" s="8"/>
      <c r="F154" s="8"/>
      <c r="G154" s="8"/>
      <c r="H154" s="2709" t="s">
        <v>687</v>
      </c>
      <c r="I154" s="2710"/>
      <c r="J154" s="110"/>
    </row>
    <row r="155" spans="1:11" s="14" customFormat="1" ht="40.5" customHeight="1" x14ac:dyDescent="0.2">
      <c r="A155" s="8"/>
      <c r="B155" s="8"/>
      <c r="C155" s="8"/>
      <c r="D155" s="8"/>
      <c r="E155" s="8"/>
      <c r="F155" s="8"/>
      <c r="G155" s="8"/>
      <c r="H155" s="2703" t="s">
        <v>795</v>
      </c>
      <c r="I155" s="2704"/>
      <c r="J155" s="110"/>
    </row>
    <row r="156" spans="1:11" s="14" customFormat="1" ht="42" customHeight="1" x14ac:dyDescent="0.2">
      <c r="A156" s="8"/>
      <c r="B156" s="8"/>
      <c r="C156" s="8"/>
      <c r="D156" s="8"/>
      <c r="E156" s="8"/>
      <c r="F156" s="8"/>
      <c r="G156" s="8"/>
      <c r="H156" s="2537" t="s">
        <v>796</v>
      </c>
      <c r="I156" s="2538"/>
      <c r="J156" s="110"/>
    </row>
    <row r="157" spans="1:11" s="14" customFormat="1" ht="84" customHeight="1" x14ac:dyDescent="0.2">
      <c r="A157" s="8"/>
      <c r="B157" s="8"/>
      <c r="C157" s="8"/>
      <c r="D157" s="8"/>
      <c r="E157" s="8"/>
      <c r="F157" s="8"/>
      <c r="G157" s="8"/>
      <c r="H157" s="2537" t="s">
        <v>1196</v>
      </c>
      <c r="I157" s="2538"/>
      <c r="J157" s="110"/>
    </row>
    <row r="158" spans="1:11" s="14" customFormat="1" ht="42" customHeight="1" x14ac:dyDescent="0.2">
      <c r="A158" s="8"/>
      <c r="B158" s="8"/>
      <c r="C158" s="8"/>
      <c r="D158" s="8"/>
      <c r="E158" s="8"/>
      <c r="F158" s="8"/>
      <c r="G158" s="8"/>
      <c r="H158" s="2537" t="s">
        <v>1346</v>
      </c>
      <c r="I158" s="2538"/>
      <c r="J158" s="110"/>
    </row>
    <row r="159" spans="1:11" s="14" customFormat="1" ht="27" customHeight="1" x14ac:dyDescent="0.2">
      <c r="A159" s="8"/>
      <c r="B159" s="8"/>
      <c r="C159" s="8"/>
      <c r="D159" s="8"/>
      <c r="E159" s="8"/>
      <c r="F159" s="8"/>
      <c r="G159" s="8"/>
      <c r="H159" s="2537" t="s">
        <v>797</v>
      </c>
      <c r="I159" s="2538"/>
      <c r="J159" s="110"/>
    </row>
    <row r="160" spans="1:11" s="14" customFormat="1" ht="42" customHeight="1" x14ac:dyDescent="0.2">
      <c r="A160" s="8"/>
      <c r="B160" s="8"/>
      <c r="C160" s="8"/>
      <c r="D160" s="8"/>
      <c r="E160" s="8"/>
      <c r="F160" s="8"/>
      <c r="G160" s="8"/>
      <c r="H160" s="2537" t="s">
        <v>798</v>
      </c>
      <c r="I160" s="2538"/>
      <c r="J160" s="110"/>
    </row>
    <row r="161" spans="1:10" s="14" customFormat="1" ht="42" customHeight="1" x14ac:dyDescent="0.2">
      <c r="A161" s="8"/>
      <c r="B161" s="8"/>
      <c r="C161" s="8"/>
      <c r="D161" s="8"/>
      <c r="E161" s="8"/>
      <c r="F161" s="8"/>
      <c r="G161" s="8"/>
      <c r="H161" s="2537" t="s">
        <v>799</v>
      </c>
      <c r="I161" s="2538"/>
      <c r="J161" s="110"/>
    </row>
    <row r="162" spans="1:10" s="14" customFormat="1" ht="27" customHeight="1" x14ac:dyDescent="0.2">
      <c r="A162" s="8"/>
      <c r="B162" s="8"/>
      <c r="C162" s="8"/>
      <c r="D162" s="8"/>
      <c r="E162" s="8"/>
      <c r="F162" s="8"/>
      <c r="G162" s="8"/>
      <c r="H162" s="2537" t="s">
        <v>1195</v>
      </c>
      <c r="I162" s="2538"/>
      <c r="J162" s="110"/>
    </row>
    <row r="163" spans="1:10" s="14" customFormat="1" ht="42" customHeight="1" x14ac:dyDescent="0.2">
      <c r="A163" s="8"/>
      <c r="B163" s="8"/>
      <c r="C163" s="8"/>
      <c r="D163" s="8"/>
      <c r="E163" s="8"/>
      <c r="F163" s="8"/>
      <c r="G163" s="8"/>
      <c r="H163" s="2537" t="s">
        <v>1726</v>
      </c>
      <c r="I163" s="2538"/>
      <c r="J163" s="110"/>
    </row>
    <row r="164" spans="1:10" s="14" customFormat="1" ht="27" customHeight="1" x14ac:dyDescent="0.2">
      <c r="A164" s="8"/>
      <c r="B164" s="8"/>
      <c r="C164" s="8"/>
      <c r="D164" s="8"/>
      <c r="E164" s="8"/>
      <c r="F164" s="8"/>
      <c r="G164" s="8"/>
      <c r="H164" s="2537" t="s">
        <v>800</v>
      </c>
      <c r="I164" s="2538"/>
      <c r="J164" s="110"/>
    </row>
    <row r="165" spans="1:10" s="14" customFormat="1" ht="42" customHeight="1" x14ac:dyDescent="0.2">
      <c r="A165" s="8"/>
      <c r="B165" s="8"/>
      <c r="C165" s="8"/>
      <c r="D165" s="8"/>
      <c r="E165" s="8"/>
      <c r="F165" s="8"/>
      <c r="G165" s="8"/>
      <c r="H165" s="2537" t="s">
        <v>801</v>
      </c>
      <c r="I165" s="2538"/>
      <c r="J165" s="110"/>
    </row>
    <row r="166" spans="1:10" s="14" customFormat="1" ht="42" customHeight="1" x14ac:dyDescent="0.2">
      <c r="A166" s="8"/>
      <c r="B166" s="8"/>
      <c r="C166" s="8"/>
      <c r="D166" s="8"/>
      <c r="E166" s="8"/>
      <c r="F166" s="8"/>
      <c r="G166" s="8"/>
      <c r="H166" s="2537" t="s">
        <v>802</v>
      </c>
      <c r="I166" s="2538"/>
      <c r="J166" s="110"/>
    </row>
    <row r="167" spans="1:10" s="14" customFormat="1" ht="42" customHeight="1" x14ac:dyDescent="0.2">
      <c r="A167" s="8"/>
      <c r="B167" s="8"/>
      <c r="C167" s="8"/>
      <c r="D167" s="8"/>
      <c r="E167" s="8"/>
      <c r="F167" s="8"/>
      <c r="G167" s="8"/>
      <c r="H167" s="2537" t="s">
        <v>803</v>
      </c>
      <c r="I167" s="2538"/>
      <c r="J167" s="110"/>
    </row>
    <row r="168" spans="1:10" s="14" customFormat="1" ht="27" customHeight="1" x14ac:dyDescent="0.2">
      <c r="A168" s="8"/>
      <c r="B168" s="8"/>
      <c r="C168" s="8"/>
      <c r="D168" s="8"/>
      <c r="E168" s="8"/>
      <c r="F168" s="8"/>
      <c r="G168" s="8"/>
      <c r="H168" s="2537" t="s">
        <v>804</v>
      </c>
      <c r="I168" s="2538"/>
      <c r="J168" s="110"/>
    </row>
    <row r="169" spans="1:10" s="14" customFormat="1" ht="27" customHeight="1" x14ac:dyDescent="0.2">
      <c r="A169" s="8"/>
      <c r="B169" s="8"/>
      <c r="C169" s="8"/>
      <c r="D169" s="8"/>
      <c r="E169" s="8"/>
      <c r="F169" s="8"/>
      <c r="G169" s="8"/>
      <c r="H169" s="2537" t="s">
        <v>805</v>
      </c>
      <c r="I169" s="2538"/>
      <c r="J169" s="110"/>
    </row>
    <row r="170" spans="1:10" s="14" customFormat="1" ht="27" customHeight="1" x14ac:dyDescent="0.2">
      <c r="A170" s="8"/>
      <c r="B170" s="8"/>
      <c r="C170" s="8"/>
      <c r="D170" s="8"/>
      <c r="E170" s="8"/>
      <c r="F170" s="8"/>
      <c r="G170" s="8"/>
      <c r="H170" s="2703" t="s">
        <v>1727</v>
      </c>
      <c r="I170" s="2704"/>
      <c r="J170" s="110"/>
    </row>
    <row r="171" spans="1:10" s="14" customFormat="1" ht="42" customHeight="1" x14ac:dyDescent="0.2">
      <c r="A171" s="8"/>
      <c r="B171" s="8"/>
      <c r="C171" s="8"/>
      <c r="D171" s="8"/>
      <c r="E171" s="8"/>
      <c r="F171" s="8"/>
      <c r="G171" s="8"/>
      <c r="H171" s="2537" t="s">
        <v>807</v>
      </c>
      <c r="I171" s="2538"/>
      <c r="J171" s="110"/>
    </row>
    <row r="172" spans="1:10" s="14" customFormat="1" ht="27" customHeight="1" x14ac:dyDescent="0.2">
      <c r="A172" s="8"/>
      <c r="B172" s="8"/>
      <c r="C172" s="8"/>
      <c r="D172" s="8"/>
      <c r="E172" s="8"/>
      <c r="F172" s="8"/>
      <c r="G172" s="8"/>
      <c r="H172" s="2537" t="s">
        <v>1728</v>
      </c>
      <c r="I172" s="2538"/>
      <c r="J172" s="110"/>
    </row>
    <row r="173" spans="1:10" s="14" customFormat="1" ht="42" customHeight="1" x14ac:dyDescent="0.2">
      <c r="A173" s="8"/>
      <c r="B173" s="8"/>
      <c r="C173" s="8"/>
      <c r="D173" s="8"/>
      <c r="E173" s="8"/>
      <c r="F173" s="8"/>
      <c r="G173" s="8"/>
      <c r="H173" s="2537" t="s">
        <v>808</v>
      </c>
      <c r="I173" s="2538"/>
      <c r="J173" s="110"/>
    </row>
    <row r="174" spans="1:10" s="14" customFormat="1" ht="42" customHeight="1" x14ac:dyDescent="0.2">
      <c r="A174" s="8"/>
      <c r="B174" s="8"/>
      <c r="C174" s="8"/>
      <c r="D174" s="8"/>
      <c r="E174" s="8"/>
      <c r="F174" s="8"/>
      <c r="G174" s="8"/>
      <c r="H174" s="2537" t="s">
        <v>1729</v>
      </c>
      <c r="I174" s="2538"/>
      <c r="J174" s="110"/>
    </row>
    <row r="175" spans="1:10" s="14" customFormat="1" ht="42" customHeight="1" x14ac:dyDescent="0.2">
      <c r="A175" s="8"/>
      <c r="B175" s="8"/>
      <c r="C175" s="8"/>
      <c r="D175" s="8"/>
      <c r="E175" s="8"/>
      <c r="F175" s="8"/>
      <c r="G175" s="8"/>
      <c r="H175" s="2537" t="s">
        <v>809</v>
      </c>
      <c r="I175" s="2538"/>
      <c r="J175" s="110"/>
    </row>
    <row r="176" spans="1:10" s="14" customFormat="1" ht="27" customHeight="1" x14ac:dyDescent="0.2">
      <c r="A176" s="8"/>
      <c r="B176" s="8"/>
      <c r="C176" s="8"/>
      <c r="D176" s="8"/>
      <c r="E176" s="8"/>
      <c r="F176" s="8"/>
      <c r="G176" s="8"/>
      <c r="H176" s="2537" t="s">
        <v>696</v>
      </c>
      <c r="I176" s="2538"/>
      <c r="J176" s="110"/>
    </row>
    <row r="177" spans="1:10" s="14" customFormat="1" ht="27" customHeight="1" x14ac:dyDescent="0.2">
      <c r="A177" s="8"/>
      <c r="B177" s="8"/>
      <c r="C177" s="8"/>
      <c r="D177" s="8"/>
      <c r="E177" s="8"/>
      <c r="F177" s="8"/>
      <c r="G177" s="8"/>
      <c r="H177" s="2537" t="s">
        <v>1730</v>
      </c>
      <c r="I177" s="2538"/>
      <c r="J177" s="110"/>
    </row>
    <row r="178" spans="1:10" s="14" customFormat="1" ht="42" customHeight="1" x14ac:dyDescent="0.2">
      <c r="A178" s="8"/>
      <c r="B178" s="8"/>
      <c r="C178" s="8"/>
      <c r="D178" s="8"/>
      <c r="E178" s="8"/>
      <c r="F178" s="8"/>
      <c r="G178" s="8"/>
      <c r="H178" s="2537" t="s">
        <v>1347</v>
      </c>
      <c r="I178" s="2538"/>
      <c r="J178" s="110"/>
    </row>
    <row r="179" spans="1:10" s="14" customFormat="1" ht="27" customHeight="1" x14ac:dyDescent="0.2">
      <c r="A179" s="8"/>
      <c r="B179" s="8"/>
      <c r="C179" s="8"/>
      <c r="D179" s="8"/>
      <c r="E179" s="8"/>
      <c r="F179" s="8"/>
      <c r="G179" s="8"/>
      <c r="H179" s="2537" t="s">
        <v>810</v>
      </c>
      <c r="I179" s="2538"/>
      <c r="J179" s="110"/>
    </row>
    <row r="180" spans="1:10" s="14" customFormat="1" ht="27" customHeight="1" x14ac:dyDescent="0.2">
      <c r="A180" s="8"/>
      <c r="B180" s="8"/>
      <c r="C180" s="8"/>
      <c r="D180" s="8"/>
      <c r="E180" s="8"/>
      <c r="F180" s="8"/>
      <c r="G180" s="8"/>
      <c r="H180" s="2537" t="s">
        <v>811</v>
      </c>
      <c r="I180" s="2538"/>
      <c r="J180" s="110"/>
    </row>
    <row r="181" spans="1:10" s="14" customFormat="1" ht="42" customHeight="1" x14ac:dyDescent="0.2">
      <c r="A181" s="8"/>
      <c r="B181" s="8"/>
      <c r="C181" s="8"/>
      <c r="D181" s="8"/>
      <c r="E181" s="8"/>
      <c r="F181" s="8"/>
      <c r="G181" s="8"/>
      <c r="H181" s="2537" t="s">
        <v>1194</v>
      </c>
      <c r="I181" s="2538"/>
      <c r="J181" s="110"/>
    </row>
    <row r="182" spans="1:10" s="14" customFormat="1" ht="27" customHeight="1" x14ac:dyDescent="0.2">
      <c r="A182" s="8"/>
      <c r="B182" s="8"/>
      <c r="C182" s="8"/>
      <c r="D182" s="8"/>
      <c r="E182" s="8"/>
      <c r="F182" s="8"/>
      <c r="G182" s="8"/>
      <c r="H182" s="2537" t="s">
        <v>1732</v>
      </c>
      <c r="I182" s="2538"/>
      <c r="J182" s="110"/>
    </row>
    <row r="183" spans="1:10" s="14" customFormat="1" ht="27" customHeight="1" x14ac:dyDescent="0.2">
      <c r="A183" s="8"/>
      <c r="B183" s="8"/>
      <c r="C183" s="8"/>
      <c r="D183" s="8"/>
      <c r="E183" s="8"/>
      <c r="F183" s="8"/>
      <c r="G183" s="8"/>
      <c r="H183" s="2537" t="s">
        <v>812</v>
      </c>
      <c r="I183" s="2538"/>
      <c r="J183" s="110"/>
    </row>
    <row r="184" spans="1:10" s="14" customFormat="1" ht="27" customHeight="1" x14ac:dyDescent="0.2">
      <c r="A184" s="8"/>
      <c r="B184" s="8"/>
      <c r="C184" s="8"/>
      <c r="D184" s="8"/>
      <c r="E184" s="8"/>
      <c r="F184" s="8"/>
      <c r="G184" s="8"/>
      <c r="H184" s="2537" t="s">
        <v>1111</v>
      </c>
      <c r="I184" s="2538"/>
      <c r="J184" s="110"/>
    </row>
    <row r="185" spans="1:10" s="14" customFormat="1" ht="57" customHeight="1" x14ac:dyDescent="0.2">
      <c r="A185" s="8"/>
      <c r="B185" s="8"/>
      <c r="C185" s="8"/>
      <c r="D185" s="8"/>
      <c r="E185" s="8"/>
      <c r="F185" s="8"/>
      <c r="G185" s="8"/>
      <c r="H185" s="2703" t="s">
        <v>1731</v>
      </c>
      <c r="I185" s="2704"/>
      <c r="J185" s="110"/>
    </row>
    <row r="186" spans="1:10" s="14" customFormat="1" ht="42" customHeight="1" x14ac:dyDescent="0.2">
      <c r="A186" s="8"/>
      <c r="B186" s="8"/>
      <c r="C186" s="8"/>
      <c r="D186" s="8"/>
      <c r="E186" s="8"/>
      <c r="F186" s="8"/>
      <c r="G186" s="8"/>
      <c r="H186" s="2537" t="s">
        <v>813</v>
      </c>
      <c r="I186" s="2538"/>
      <c r="J186" s="110"/>
    </row>
    <row r="187" spans="1:10" s="14" customFormat="1" ht="42" customHeight="1" x14ac:dyDescent="0.2">
      <c r="A187" s="8"/>
      <c r="B187" s="8"/>
      <c r="C187" s="8"/>
      <c r="D187" s="8"/>
      <c r="E187" s="8"/>
      <c r="F187" s="8"/>
      <c r="G187" s="8"/>
      <c r="H187" s="2537" t="s">
        <v>814</v>
      </c>
      <c r="I187" s="2538"/>
      <c r="J187" s="110"/>
    </row>
    <row r="188" spans="1:10" s="14" customFormat="1" ht="27" customHeight="1" x14ac:dyDescent="0.2">
      <c r="A188" s="8"/>
      <c r="B188" s="8"/>
      <c r="C188" s="8"/>
      <c r="D188" s="8"/>
      <c r="E188" s="8"/>
      <c r="F188" s="8"/>
      <c r="G188" s="8"/>
      <c r="H188" s="2537" t="s">
        <v>686</v>
      </c>
      <c r="I188" s="2538"/>
      <c r="J188" s="110"/>
    </row>
    <row r="189" spans="1:10" s="14" customFormat="1" ht="27" customHeight="1" x14ac:dyDescent="0.2">
      <c r="A189" s="8"/>
      <c r="B189" s="8"/>
      <c r="C189" s="8"/>
      <c r="D189" s="8"/>
      <c r="E189" s="8"/>
      <c r="F189" s="8"/>
      <c r="G189" s="8"/>
      <c r="H189" s="2537" t="s">
        <v>815</v>
      </c>
      <c r="I189" s="2538"/>
      <c r="J189" s="110"/>
    </row>
    <row r="190" spans="1:10" s="14" customFormat="1" ht="27" customHeight="1" x14ac:dyDescent="0.2">
      <c r="A190" s="8"/>
      <c r="B190" s="8"/>
      <c r="C190" s="8"/>
      <c r="D190" s="8"/>
      <c r="E190" s="8"/>
      <c r="F190" s="8"/>
      <c r="G190" s="8"/>
      <c r="H190" s="2537" t="s">
        <v>816</v>
      </c>
      <c r="I190" s="2538"/>
      <c r="J190" s="110"/>
    </row>
    <row r="191" spans="1:10" s="14" customFormat="1" ht="27" customHeight="1" x14ac:dyDescent="0.2">
      <c r="A191" s="50"/>
      <c r="B191" s="3"/>
      <c r="C191" s="12"/>
      <c r="D191" s="119"/>
      <c r="E191" s="119"/>
      <c r="F191" s="139"/>
      <c r="G191" s="158"/>
      <c r="H191" s="2537" t="s">
        <v>1348</v>
      </c>
      <c r="I191" s="2538"/>
      <c r="J191" s="110"/>
    </row>
    <row r="192" spans="1:10" s="14" customFormat="1" ht="42" customHeight="1" x14ac:dyDescent="0.2">
      <c r="A192" s="50"/>
      <c r="B192" s="3"/>
      <c r="C192" s="12"/>
      <c r="D192" s="119"/>
      <c r="E192" s="119"/>
      <c r="F192" s="139"/>
      <c r="G192" s="158"/>
      <c r="H192" s="2537" t="s">
        <v>818</v>
      </c>
      <c r="I192" s="2538"/>
      <c r="J192" s="110"/>
    </row>
    <row r="193" spans="1:10" s="14" customFormat="1" ht="42" customHeight="1" thickBot="1" x14ac:dyDescent="0.25">
      <c r="A193" s="50"/>
      <c r="B193" s="3"/>
      <c r="C193" s="12"/>
      <c r="D193" s="119"/>
      <c r="E193" s="119"/>
      <c r="F193" s="139"/>
      <c r="G193" s="158"/>
      <c r="H193" s="2570" t="s">
        <v>819</v>
      </c>
      <c r="I193" s="2571"/>
      <c r="J193" s="110"/>
    </row>
    <row r="194" spans="1:10" s="14" customFormat="1" x14ac:dyDescent="0.2">
      <c r="A194" s="50"/>
      <c r="B194" s="3"/>
      <c r="C194" s="12"/>
      <c r="D194" s="119"/>
      <c r="E194" s="119"/>
      <c r="F194" s="139"/>
      <c r="G194" s="158"/>
      <c r="H194" s="1094"/>
      <c r="J194" s="110"/>
    </row>
    <row r="195" spans="1:10" s="14" customFormat="1" x14ac:dyDescent="0.2">
      <c r="A195" s="50"/>
      <c r="B195" s="3"/>
      <c r="C195" s="12"/>
      <c r="D195" s="119"/>
      <c r="E195" s="119"/>
      <c r="F195" s="139"/>
      <c r="G195" s="158"/>
      <c r="H195" s="1060"/>
      <c r="J195" s="110"/>
    </row>
    <row r="196" spans="1:10" s="14" customFormat="1" x14ac:dyDescent="0.2">
      <c r="A196" s="50"/>
      <c r="B196" s="3"/>
      <c r="C196" s="12"/>
      <c r="D196" s="119"/>
      <c r="E196" s="119"/>
      <c r="F196" s="139"/>
      <c r="G196" s="158"/>
      <c r="H196" s="1054"/>
      <c r="J196" s="110"/>
    </row>
    <row r="197" spans="1:10" s="14" customFormat="1" x14ac:dyDescent="0.2">
      <c r="A197" s="50"/>
      <c r="B197" s="3"/>
      <c r="C197" s="12"/>
      <c r="D197" s="119"/>
      <c r="E197" s="119"/>
      <c r="F197" s="139"/>
      <c r="G197" s="158"/>
      <c r="H197" s="1054"/>
      <c r="J197" s="110"/>
    </row>
    <row r="198" spans="1:10" s="14" customFormat="1" x14ac:dyDescent="0.2">
      <c r="A198" s="50"/>
      <c r="B198" s="3"/>
      <c r="C198" s="12"/>
      <c r="D198" s="119"/>
      <c r="E198" s="119"/>
      <c r="F198" s="139"/>
      <c r="G198" s="158"/>
      <c r="H198" s="1060"/>
      <c r="J198" s="110"/>
    </row>
    <row r="199" spans="1:10" s="14" customFormat="1" x14ac:dyDescent="0.2">
      <c r="A199" s="50"/>
      <c r="B199" s="3"/>
      <c r="C199" s="12"/>
      <c r="D199" s="119"/>
      <c r="E199" s="119"/>
      <c r="F199" s="139"/>
      <c r="G199" s="158"/>
      <c r="H199" s="1060"/>
      <c r="J199" s="110"/>
    </row>
    <row r="200" spans="1:10" s="14" customFormat="1" x14ac:dyDescent="0.2">
      <c r="A200" s="50"/>
      <c r="B200" s="3"/>
      <c r="C200" s="12"/>
      <c r="D200" s="119"/>
      <c r="E200" s="119"/>
      <c r="F200" s="139"/>
      <c r="G200" s="158"/>
      <c r="H200" s="1060"/>
      <c r="J200" s="110"/>
    </row>
    <row r="201" spans="1:10" s="14" customFormat="1" x14ac:dyDescent="0.2">
      <c r="A201" s="50"/>
      <c r="B201" s="3"/>
      <c r="C201" s="12"/>
      <c r="D201" s="119"/>
      <c r="E201" s="119"/>
      <c r="F201" s="139"/>
      <c r="G201" s="158"/>
      <c r="H201" s="1060"/>
      <c r="J201" s="110"/>
    </row>
    <row r="202" spans="1:10" s="14" customFormat="1" x14ac:dyDescent="0.2">
      <c r="A202" s="50"/>
      <c r="B202" s="3"/>
      <c r="C202" s="12"/>
      <c r="D202" s="119"/>
      <c r="E202" s="119"/>
      <c r="F202" s="139"/>
      <c r="G202" s="158"/>
      <c r="H202" s="1094"/>
      <c r="J202" s="110"/>
    </row>
    <row r="203" spans="1:10" s="14" customFormat="1" x14ac:dyDescent="0.2">
      <c r="A203" s="50"/>
      <c r="B203" s="3"/>
      <c r="C203" s="12"/>
      <c r="D203" s="119"/>
      <c r="E203" s="119"/>
      <c r="F203" s="139"/>
      <c r="G203" s="158"/>
      <c r="H203" s="1094"/>
      <c r="J203" s="110"/>
    </row>
    <row r="204" spans="1:10" s="14" customFormat="1" x14ac:dyDescent="0.2">
      <c r="A204" s="50"/>
      <c r="B204" s="3"/>
      <c r="C204" s="12"/>
      <c r="D204" s="119"/>
      <c r="E204" s="119"/>
      <c r="F204" s="139"/>
      <c r="G204" s="158"/>
      <c r="H204" s="1094"/>
      <c r="J204" s="110"/>
    </row>
    <row r="205" spans="1:10" s="14" customFormat="1" x14ac:dyDescent="0.2">
      <c r="A205" s="50"/>
      <c r="B205" s="3"/>
      <c r="C205" s="12"/>
      <c r="D205" s="119"/>
      <c r="E205" s="119"/>
      <c r="F205" s="139"/>
      <c r="G205" s="158"/>
      <c r="H205" s="1094"/>
      <c r="J205" s="110"/>
    </row>
    <row r="206" spans="1:10" s="14" customFormat="1" x14ac:dyDescent="0.2">
      <c r="A206" s="50"/>
      <c r="B206" s="3"/>
      <c r="C206" s="12"/>
      <c r="D206" s="119"/>
      <c r="E206" s="119"/>
      <c r="F206" s="139"/>
      <c r="G206" s="158"/>
      <c r="H206" s="1094"/>
      <c r="J206" s="110"/>
    </row>
    <row r="207" spans="1:10" s="14" customFormat="1" x14ac:dyDescent="0.2">
      <c r="A207" s="50"/>
      <c r="B207" s="3"/>
      <c r="C207" s="12"/>
      <c r="D207" s="119"/>
      <c r="E207" s="119"/>
      <c r="F207" s="139"/>
      <c r="G207" s="158"/>
      <c r="H207" s="1094"/>
      <c r="J207" s="110"/>
    </row>
    <row r="208" spans="1:10" s="14" customFormat="1" x14ac:dyDescent="0.2">
      <c r="A208" s="50"/>
      <c r="B208" s="3"/>
      <c r="C208" s="12"/>
      <c r="D208" s="119"/>
      <c r="E208" s="119"/>
      <c r="F208" s="139"/>
      <c r="G208" s="158"/>
      <c r="H208" s="1094"/>
      <c r="J208" s="110"/>
    </row>
    <row r="209" spans="1:10" s="14" customFormat="1" x14ac:dyDescent="0.2">
      <c r="A209" s="50"/>
      <c r="B209" s="3"/>
      <c r="C209" s="12"/>
      <c r="D209" s="119"/>
      <c r="E209" s="119"/>
      <c r="F209" s="139"/>
      <c r="G209" s="158"/>
      <c r="H209" s="1094"/>
      <c r="J209" s="110"/>
    </row>
    <row r="210" spans="1:10" s="14" customFormat="1" x14ac:dyDescent="0.2">
      <c r="A210" s="50"/>
      <c r="B210" s="3"/>
      <c r="C210" s="12"/>
      <c r="D210" s="119"/>
      <c r="E210" s="119"/>
      <c r="F210" s="139"/>
      <c r="G210" s="158"/>
      <c r="H210" s="1094"/>
      <c r="J210" s="110"/>
    </row>
    <row r="211" spans="1:10" s="14" customFormat="1" x14ac:dyDescent="0.2">
      <c r="A211" s="50"/>
      <c r="B211" s="3"/>
      <c r="C211" s="12"/>
      <c r="D211" s="119"/>
      <c r="E211" s="119"/>
      <c r="F211" s="139"/>
      <c r="G211" s="158"/>
      <c r="H211" s="1094"/>
      <c r="J211" s="110"/>
    </row>
    <row r="212" spans="1:10" s="14" customFormat="1" x14ac:dyDescent="0.2">
      <c r="A212" s="50"/>
      <c r="B212" s="3"/>
      <c r="C212" s="12"/>
      <c r="D212" s="119"/>
      <c r="E212" s="119"/>
      <c r="F212" s="139"/>
      <c r="G212" s="158"/>
      <c r="H212" s="1094"/>
      <c r="J212" s="110"/>
    </row>
    <row r="213" spans="1:10" s="14" customFormat="1" x14ac:dyDescent="0.2">
      <c r="A213" s="50"/>
      <c r="B213" s="3"/>
      <c r="C213" s="12"/>
      <c r="D213" s="119"/>
      <c r="E213" s="119"/>
      <c r="F213" s="139"/>
      <c r="G213" s="158"/>
      <c r="H213" s="1094"/>
      <c r="J213" s="110"/>
    </row>
    <row r="214" spans="1:10" s="14" customFormat="1" x14ac:dyDescent="0.2">
      <c r="A214" s="50"/>
      <c r="B214" s="3"/>
      <c r="C214" s="12"/>
      <c r="D214" s="119"/>
      <c r="E214" s="119"/>
      <c r="F214" s="139"/>
      <c r="G214" s="158"/>
      <c r="H214" s="1094"/>
      <c r="J214" s="110"/>
    </row>
    <row r="215" spans="1:10" s="14" customFormat="1" x14ac:dyDescent="0.2">
      <c r="A215" s="50"/>
      <c r="B215" s="3"/>
      <c r="C215" s="12"/>
      <c r="D215" s="119"/>
      <c r="E215" s="119"/>
      <c r="F215" s="139"/>
      <c r="G215" s="158"/>
      <c r="H215" s="1094"/>
      <c r="J215" s="110"/>
    </row>
    <row r="216" spans="1:10" s="14" customFormat="1" x14ac:dyDescent="0.2">
      <c r="A216" s="50"/>
      <c r="B216" s="3"/>
      <c r="C216" s="12"/>
      <c r="D216" s="119"/>
      <c r="E216" s="119"/>
      <c r="F216" s="139"/>
      <c r="G216" s="158"/>
      <c r="H216" s="1094"/>
      <c r="J216" s="110"/>
    </row>
    <row r="217" spans="1:10" s="14" customFormat="1" x14ac:dyDescent="0.2">
      <c r="A217" s="50"/>
      <c r="B217" s="3"/>
      <c r="C217" s="12"/>
      <c r="D217" s="119"/>
      <c r="E217" s="119"/>
      <c r="F217" s="139"/>
      <c r="G217" s="158"/>
      <c r="H217" s="1094"/>
      <c r="J217" s="110"/>
    </row>
    <row r="218" spans="1:10" s="14" customFormat="1" x14ac:dyDescent="0.2">
      <c r="A218" s="50"/>
      <c r="B218" s="3"/>
      <c r="C218" s="12"/>
      <c r="D218" s="119"/>
      <c r="E218" s="119"/>
      <c r="F218" s="139"/>
      <c r="G218" s="158"/>
      <c r="H218" s="1094"/>
      <c r="J218" s="110"/>
    </row>
    <row r="219" spans="1:10" s="14" customFormat="1" x14ac:dyDescent="0.2">
      <c r="A219" s="50"/>
      <c r="B219" s="3"/>
      <c r="C219" s="12"/>
      <c r="D219" s="119"/>
      <c r="E219" s="119"/>
      <c r="F219" s="139"/>
      <c r="G219" s="158"/>
      <c r="H219" s="1094"/>
      <c r="J219" s="110"/>
    </row>
    <row r="220" spans="1:10" s="14" customFormat="1" x14ac:dyDescent="0.2">
      <c r="A220" s="50"/>
      <c r="B220" s="3"/>
      <c r="C220" s="12"/>
      <c r="D220" s="119"/>
      <c r="E220" s="119"/>
      <c r="F220" s="139"/>
      <c r="G220" s="158"/>
      <c r="H220" s="1094"/>
      <c r="J220" s="110"/>
    </row>
    <row r="221" spans="1:10" s="14" customFormat="1" x14ac:dyDescent="0.2">
      <c r="A221" s="50"/>
      <c r="B221" s="3"/>
      <c r="C221" s="12"/>
      <c r="D221" s="119"/>
      <c r="E221" s="119"/>
      <c r="F221" s="139"/>
      <c r="G221" s="158"/>
      <c r="H221" s="1094"/>
      <c r="J221" s="110"/>
    </row>
    <row r="222" spans="1:10" s="14" customFormat="1" x14ac:dyDescent="0.2">
      <c r="A222" s="50"/>
      <c r="B222" s="3"/>
      <c r="C222" s="12"/>
      <c r="D222" s="119"/>
      <c r="E222" s="119"/>
      <c r="F222" s="139"/>
      <c r="G222" s="158"/>
      <c r="H222" s="1094"/>
      <c r="J222" s="110"/>
    </row>
    <row r="223" spans="1:10" s="14" customFormat="1" x14ac:dyDescent="0.2">
      <c r="A223" s="50"/>
      <c r="B223" s="3"/>
      <c r="C223" s="12"/>
      <c r="D223" s="119"/>
      <c r="E223" s="119"/>
      <c r="F223" s="139"/>
      <c r="G223" s="158"/>
      <c r="H223" s="1094"/>
      <c r="J223" s="110"/>
    </row>
    <row r="224" spans="1:10" s="14" customFormat="1" x14ac:dyDescent="0.2">
      <c r="A224" s="50"/>
      <c r="B224" s="3"/>
      <c r="C224" s="12"/>
      <c r="D224" s="119"/>
      <c r="E224" s="119"/>
      <c r="F224" s="139"/>
      <c r="G224" s="158"/>
      <c r="H224" s="1094"/>
      <c r="J224" s="110"/>
    </row>
    <row r="225" spans="1:10" s="14" customFormat="1" x14ac:dyDescent="0.2">
      <c r="A225" s="50"/>
      <c r="B225" s="3"/>
      <c r="C225" s="12"/>
      <c r="D225" s="119"/>
      <c r="E225" s="119"/>
      <c r="F225" s="139"/>
      <c r="G225" s="158"/>
      <c r="H225" s="1094"/>
      <c r="J225" s="110"/>
    </row>
    <row r="226" spans="1:10" s="14" customFormat="1" x14ac:dyDescent="0.2">
      <c r="A226" s="50"/>
      <c r="B226" s="3"/>
      <c r="C226" s="12"/>
      <c r="D226" s="119"/>
      <c r="E226" s="119"/>
      <c r="F226" s="139"/>
      <c r="G226" s="158"/>
      <c r="H226" s="1094"/>
      <c r="J226" s="110"/>
    </row>
    <row r="227" spans="1:10" s="14" customFormat="1" x14ac:dyDescent="0.2">
      <c r="A227" s="50"/>
      <c r="B227" s="3"/>
      <c r="C227" s="12"/>
      <c r="D227" s="119"/>
      <c r="E227" s="119"/>
      <c r="F227" s="139"/>
      <c r="G227" s="158"/>
      <c r="H227" s="1094"/>
      <c r="J227" s="110"/>
    </row>
    <row r="228" spans="1:10" s="14" customFormat="1" x14ac:dyDescent="0.2">
      <c r="A228" s="50"/>
      <c r="B228" s="3"/>
      <c r="C228" s="12"/>
      <c r="D228" s="119"/>
      <c r="E228" s="119"/>
      <c r="F228" s="139"/>
      <c r="G228" s="158"/>
      <c r="H228" s="1094"/>
      <c r="J228" s="110"/>
    </row>
    <row r="229" spans="1:10" s="14" customFormat="1" x14ac:dyDescent="0.2">
      <c r="A229" s="50"/>
      <c r="B229" s="3"/>
      <c r="C229" s="12"/>
      <c r="D229" s="119"/>
      <c r="E229" s="119"/>
      <c r="F229" s="139"/>
      <c r="G229" s="158"/>
      <c r="H229" s="1094"/>
      <c r="J229" s="110"/>
    </row>
    <row r="230" spans="1:10" s="14" customFormat="1" x14ac:dyDescent="0.2">
      <c r="A230" s="50"/>
      <c r="B230" s="3"/>
      <c r="C230" s="12"/>
      <c r="D230" s="119"/>
      <c r="E230" s="119"/>
      <c r="F230" s="139"/>
      <c r="G230" s="158"/>
      <c r="H230" s="1094"/>
      <c r="J230" s="110"/>
    </row>
    <row r="231" spans="1:10" s="14" customFormat="1" x14ac:dyDescent="0.2">
      <c r="A231" s="50"/>
      <c r="B231" s="3"/>
      <c r="C231" s="12"/>
      <c r="D231" s="119"/>
      <c r="E231" s="119"/>
      <c r="F231" s="139"/>
      <c r="G231" s="158"/>
      <c r="H231" s="1094"/>
      <c r="J231" s="110"/>
    </row>
    <row r="232" spans="1:10" s="14" customFormat="1" x14ac:dyDescent="0.2">
      <c r="A232" s="50"/>
      <c r="B232" s="3"/>
      <c r="C232" s="12"/>
      <c r="D232" s="119"/>
      <c r="E232" s="119"/>
      <c r="F232" s="139"/>
      <c r="G232" s="158"/>
      <c r="H232" s="20"/>
      <c r="J232" s="110"/>
    </row>
    <row r="233" spans="1:10" s="14" customFormat="1" x14ac:dyDescent="0.2">
      <c r="A233" s="50"/>
      <c r="B233" s="3"/>
      <c r="C233" s="12"/>
      <c r="D233" s="119"/>
      <c r="E233" s="119"/>
      <c r="F233" s="139"/>
      <c r="G233" s="158"/>
      <c r="H233" s="20"/>
      <c r="J233" s="110"/>
    </row>
    <row r="234" spans="1:10" s="14" customFormat="1" x14ac:dyDescent="0.2">
      <c r="A234" s="50"/>
      <c r="B234" s="3"/>
      <c r="C234" s="12"/>
      <c r="D234" s="119"/>
      <c r="E234" s="119"/>
      <c r="F234" s="139"/>
      <c r="G234" s="158"/>
      <c r="H234" s="20"/>
      <c r="J234" s="110"/>
    </row>
    <row r="235" spans="1:10" s="14" customFormat="1" x14ac:dyDescent="0.2">
      <c r="A235" s="50"/>
      <c r="B235" s="3"/>
      <c r="C235" s="12"/>
      <c r="D235" s="119"/>
      <c r="E235" s="119"/>
      <c r="F235" s="139"/>
      <c r="G235" s="158"/>
      <c r="H235" s="20"/>
      <c r="J235" s="110"/>
    </row>
    <row r="236" spans="1:10" s="14" customFormat="1" x14ac:dyDescent="0.2">
      <c r="A236" s="50"/>
      <c r="B236" s="3"/>
      <c r="C236" s="12"/>
      <c r="D236" s="119"/>
      <c r="E236" s="119"/>
      <c r="F236" s="139"/>
      <c r="G236" s="158"/>
      <c r="H236" s="20"/>
      <c r="J236" s="110"/>
    </row>
    <row r="237" spans="1:10" s="14" customFormat="1" x14ac:dyDescent="0.2">
      <c r="A237" s="50"/>
      <c r="B237" s="3"/>
      <c r="C237" s="12"/>
      <c r="D237" s="119"/>
      <c r="E237" s="119"/>
      <c r="F237" s="139"/>
      <c r="G237" s="158"/>
      <c r="H237" s="20"/>
      <c r="J237" s="110"/>
    </row>
    <row r="238" spans="1:10" s="14" customFormat="1" x14ac:dyDescent="0.2">
      <c r="A238" s="50"/>
      <c r="B238" s="3"/>
      <c r="C238" s="12"/>
      <c r="D238" s="119"/>
      <c r="E238" s="119"/>
      <c r="F238" s="139"/>
      <c r="G238" s="158"/>
      <c r="H238" s="20"/>
      <c r="J238" s="110"/>
    </row>
    <row r="239" spans="1:10" s="14" customFormat="1" x14ac:dyDescent="0.2">
      <c r="A239" s="50"/>
      <c r="B239" s="3"/>
      <c r="C239" s="12"/>
      <c r="D239" s="119"/>
      <c r="E239" s="119"/>
      <c r="F239" s="139"/>
      <c r="G239" s="158"/>
      <c r="H239" s="20"/>
      <c r="J239" s="110"/>
    </row>
    <row r="240" spans="1:10" s="14" customFormat="1" x14ac:dyDescent="0.2">
      <c r="A240" s="50"/>
      <c r="B240" s="3"/>
      <c r="C240" s="12"/>
      <c r="D240" s="119"/>
      <c r="E240" s="119"/>
      <c r="F240" s="139"/>
      <c r="G240" s="158"/>
      <c r="H240" s="20"/>
      <c r="J240" s="110"/>
    </row>
    <row r="241" spans="1:10" s="14" customFormat="1" x14ac:dyDescent="0.2">
      <c r="A241" s="50"/>
      <c r="B241" s="3"/>
      <c r="C241" s="12"/>
      <c r="D241" s="119"/>
      <c r="E241" s="119"/>
      <c r="F241" s="139"/>
      <c r="G241" s="158"/>
      <c r="H241" s="20"/>
      <c r="J241" s="110"/>
    </row>
    <row r="242" spans="1:10" s="14" customFormat="1" x14ac:dyDescent="0.2">
      <c r="A242" s="50"/>
      <c r="B242" s="3"/>
      <c r="C242" s="12"/>
      <c r="D242" s="119"/>
      <c r="E242" s="119"/>
      <c r="F242" s="139"/>
      <c r="G242" s="158"/>
      <c r="H242" s="20"/>
      <c r="J242" s="110"/>
    </row>
    <row r="243" spans="1:10" s="14" customFormat="1" x14ac:dyDescent="0.2">
      <c r="A243" s="50"/>
      <c r="B243" s="3"/>
      <c r="C243" s="12"/>
      <c r="D243" s="119"/>
      <c r="E243" s="119"/>
      <c r="F243" s="139"/>
      <c r="G243" s="158"/>
      <c r="H243" s="20"/>
      <c r="J243" s="110"/>
    </row>
    <row r="244" spans="1:10" s="14" customFormat="1" x14ac:dyDescent="0.2">
      <c r="A244" s="50"/>
      <c r="B244" s="3"/>
      <c r="C244" s="12"/>
      <c r="D244" s="119"/>
      <c r="E244" s="119"/>
      <c r="F244" s="139"/>
      <c r="G244" s="158"/>
      <c r="H244" s="20"/>
      <c r="J244" s="110"/>
    </row>
    <row r="245" spans="1:10" s="14" customFormat="1" x14ac:dyDescent="0.2">
      <c r="A245" s="50"/>
      <c r="B245" s="3"/>
      <c r="C245" s="12"/>
      <c r="D245" s="119"/>
      <c r="E245" s="119"/>
      <c r="F245" s="139"/>
      <c r="G245" s="158"/>
      <c r="H245" s="20"/>
      <c r="J245" s="110"/>
    </row>
    <row r="246" spans="1:10" s="14" customFormat="1" x14ac:dyDescent="0.2">
      <c r="A246" s="50"/>
      <c r="B246" s="3"/>
      <c r="C246" s="12"/>
      <c r="D246" s="119"/>
      <c r="E246" s="119"/>
      <c r="F246" s="139"/>
      <c r="G246" s="158"/>
      <c r="H246" s="20"/>
      <c r="J246" s="110"/>
    </row>
    <row r="247" spans="1:10" s="14" customFormat="1" x14ac:dyDescent="0.2">
      <c r="A247" s="50"/>
      <c r="B247" s="3"/>
      <c r="C247" s="12"/>
      <c r="D247" s="119"/>
      <c r="E247" s="119"/>
      <c r="F247" s="139"/>
      <c r="G247" s="158"/>
      <c r="H247" s="20"/>
      <c r="J247" s="110"/>
    </row>
    <row r="248" spans="1:10" s="14" customFormat="1" x14ac:dyDescent="0.2">
      <c r="A248" s="50"/>
      <c r="B248" s="3"/>
      <c r="C248" s="12"/>
      <c r="D248" s="119"/>
      <c r="E248" s="119"/>
      <c r="F248" s="139"/>
      <c r="G248" s="158"/>
      <c r="H248" s="20"/>
      <c r="J248" s="110"/>
    </row>
    <row r="249" spans="1:10" s="14" customFormat="1" x14ac:dyDescent="0.2">
      <c r="A249" s="50"/>
      <c r="B249" s="3"/>
      <c r="C249" s="12"/>
      <c r="D249" s="119"/>
      <c r="E249" s="119"/>
      <c r="F249" s="139"/>
      <c r="G249" s="158"/>
      <c r="H249" s="20"/>
      <c r="J249" s="110"/>
    </row>
    <row r="250" spans="1:10" s="14" customFormat="1" x14ac:dyDescent="0.2">
      <c r="A250" s="50"/>
      <c r="B250" s="3"/>
      <c r="C250" s="12"/>
      <c r="D250" s="119"/>
      <c r="E250" s="119"/>
      <c r="F250" s="139"/>
      <c r="G250" s="158"/>
      <c r="H250" s="20"/>
      <c r="J250" s="110"/>
    </row>
    <row r="251" spans="1:10" s="14" customFormat="1" x14ac:dyDescent="0.2">
      <c r="A251" s="50"/>
      <c r="B251" s="3"/>
      <c r="C251" s="12"/>
      <c r="D251" s="119"/>
      <c r="E251" s="119"/>
      <c r="F251" s="139"/>
      <c r="G251" s="158"/>
      <c r="H251" s="20"/>
      <c r="J251" s="110"/>
    </row>
    <row r="252" spans="1:10" s="14" customFormat="1" x14ac:dyDescent="0.2">
      <c r="A252" s="50"/>
      <c r="B252" s="3"/>
      <c r="C252" s="12"/>
      <c r="D252" s="119"/>
      <c r="E252" s="119"/>
      <c r="F252" s="139"/>
      <c r="G252" s="158"/>
      <c r="H252" s="20"/>
      <c r="J252" s="110"/>
    </row>
    <row r="253" spans="1:10" s="14" customFormat="1" x14ac:dyDescent="0.2">
      <c r="A253" s="50"/>
      <c r="B253" s="3"/>
      <c r="C253" s="12"/>
      <c r="D253" s="119"/>
      <c r="E253" s="119"/>
      <c r="F253" s="139"/>
      <c r="G253" s="158"/>
      <c r="H253" s="20"/>
      <c r="J253" s="110"/>
    </row>
    <row r="254" spans="1:10" s="14" customFormat="1" x14ac:dyDescent="0.2">
      <c r="A254" s="50"/>
      <c r="B254" s="3"/>
      <c r="C254" s="12"/>
      <c r="D254" s="119"/>
      <c r="E254" s="119"/>
      <c r="F254" s="139"/>
      <c r="G254" s="158"/>
      <c r="H254" s="20"/>
      <c r="J254" s="110"/>
    </row>
    <row r="255" spans="1:10" s="14" customFormat="1" x14ac:dyDescent="0.2">
      <c r="A255" s="50"/>
      <c r="B255" s="3"/>
      <c r="C255" s="12"/>
      <c r="D255" s="119"/>
      <c r="E255" s="119"/>
      <c r="F255" s="139"/>
      <c r="G255" s="158"/>
      <c r="H255" s="20"/>
      <c r="J255" s="110"/>
    </row>
    <row r="256" spans="1:10" s="14" customFormat="1" x14ac:dyDescent="0.2">
      <c r="A256" s="50"/>
      <c r="B256" s="3"/>
      <c r="C256" s="12"/>
      <c r="D256" s="119"/>
      <c r="E256" s="119"/>
      <c r="F256" s="139"/>
      <c r="G256" s="158"/>
      <c r="H256" s="20"/>
      <c r="J256" s="110"/>
    </row>
    <row r="257" spans="1:10" s="14" customFormat="1" x14ac:dyDescent="0.2">
      <c r="A257" s="50"/>
      <c r="B257" s="3"/>
      <c r="C257" s="12"/>
      <c r="D257" s="119"/>
      <c r="E257" s="119"/>
      <c r="F257" s="139"/>
      <c r="G257" s="158"/>
      <c r="H257" s="20"/>
      <c r="J257" s="110"/>
    </row>
    <row r="258" spans="1:10" s="14" customFormat="1" x14ac:dyDescent="0.2">
      <c r="A258" s="50"/>
      <c r="B258" s="3"/>
      <c r="C258" s="12"/>
      <c r="D258" s="119"/>
      <c r="E258" s="119"/>
      <c r="F258" s="139"/>
      <c r="G258" s="158"/>
      <c r="H258" s="20"/>
      <c r="J258" s="110"/>
    </row>
    <row r="259" spans="1:10" s="14" customFormat="1" x14ac:dyDescent="0.2">
      <c r="A259" s="50"/>
      <c r="B259" s="3"/>
      <c r="C259" s="12"/>
      <c r="D259" s="119"/>
      <c r="E259" s="119"/>
      <c r="F259" s="139"/>
      <c r="G259" s="158"/>
      <c r="H259" s="20"/>
      <c r="J259" s="110"/>
    </row>
    <row r="260" spans="1:10" s="14" customFormat="1" x14ac:dyDescent="0.2">
      <c r="A260" s="50"/>
      <c r="B260" s="3"/>
      <c r="C260" s="12"/>
      <c r="D260" s="119"/>
      <c r="E260" s="119"/>
      <c r="F260" s="139"/>
      <c r="G260" s="158"/>
      <c r="H260" s="20"/>
      <c r="J260" s="110"/>
    </row>
    <row r="261" spans="1:10" s="14" customFormat="1" x14ac:dyDescent="0.2">
      <c r="A261" s="50"/>
      <c r="B261" s="3"/>
      <c r="C261" s="12"/>
      <c r="D261" s="119"/>
      <c r="E261" s="119"/>
      <c r="F261" s="139"/>
      <c r="G261" s="158"/>
      <c r="H261" s="20"/>
      <c r="J261" s="110"/>
    </row>
    <row r="262" spans="1:10" s="14" customFormat="1" x14ac:dyDescent="0.2">
      <c r="A262" s="50"/>
      <c r="B262" s="3"/>
      <c r="C262" s="12"/>
      <c r="D262" s="119"/>
      <c r="E262" s="119"/>
      <c r="F262" s="139"/>
      <c r="G262" s="158"/>
      <c r="H262" s="20"/>
      <c r="J262" s="110"/>
    </row>
    <row r="263" spans="1:10" s="14" customFormat="1" x14ac:dyDescent="0.2">
      <c r="A263" s="50"/>
      <c r="B263" s="3"/>
      <c r="C263" s="12"/>
      <c r="D263" s="119"/>
      <c r="E263" s="119"/>
      <c r="F263" s="139"/>
      <c r="G263" s="158"/>
      <c r="H263" s="20"/>
      <c r="J263" s="110"/>
    </row>
    <row r="264" spans="1:10" s="14" customFormat="1" x14ac:dyDescent="0.2">
      <c r="A264" s="50"/>
      <c r="B264" s="3"/>
      <c r="C264" s="12"/>
      <c r="D264" s="119"/>
      <c r="E264" s="119"/>
      <c r="F264" s="139"/>
      <c r="G264" s="158"/>
      <c r="H264" s="20"/>
      <c r="J264" s="110"/>
    </row>
    <row r="265" spans="1:10" s="14" customFormat="1" x14ac:dyDescent="0.2">
      <c r="A265" s="50"/>
      <c r="B265" s="3"/>
      <c r="C265" s="12"/>
      <c r="D265" s="119"/>
      <c r="E265" s="119"/>
      <c r="F265" s="139"/>
      <c r="G265" s="158"/>
      <c r="H265" s="20"/>
      <c r="J265" s="110"/>
    </row>
    <row r="266" spans="1:10" s="14" customFormat="1" x14ac:dyDescent="0.2">
      <c r="A266" s="50"/>
      <c r="B266" s="3"/>
      <c r="C266" s="12"/>
      <c r="D266" s="119"/>
      <c r="E266" s="119"/>
      <c r="F266" s="139"/>
      <c r="G266" s="158"/>
      <c r="H266" s="20"/>
      <c r="J266" s="110"/>
    </row>
    <row r="267" spans="1:10" s="14" customFormat="1" x14ac:dyDescent="0.2">
      <c r="A267" s="50"/>
      <c r="B267" s="3"/>
      <c r="C267" s="12"/>
      <c r="D267" s="119"/>
      <c r="E267" s="119"/>
      <c r="F267" s="139"/>
      <c r="G267" s="158"/>
      <c r="H267" s="20"/>
      <c r="J267" s="110"/>
    </row>
    <row r="268" spans="1:10" s="14" customFormat="1" x14ac:dyDescent="0.2">
      <c r="A268" s="50"/>
      <c r="B268" s="3"/>
      <c r="C268" s="12"/>
      <c r="D268" s="119"/>
      <c r="E268" s="119"/>
      <c r="F268" s="139"/>
      <c r="G268" s="158"/>
      <c r="H268" s="20"/>
      <c r="J268" s="110"/>
    </row>
    <row r="269" spans="1:10" s="14" customFormat="1" x14ac:dyDescent="0.2">
      <c r="A269" s="50"/>
      <c r="B269" s="3"/>
      <c r="C269" s="12"/>
      <c r="D269" s="119"/>
      <c r="E269" s="119"/>
      <c r="F269" s="139"/>
      <c r="G269" s="158"/>
      <c r="H269" s="20"/>
      <c r="J269" s="110"/>
    </row>
    <row r="270" spans="1:10" s="14" customFormat="1" x14ac:dyDescent="0.2">
      <c r="A270" s="50"/>
      <c r="B270" s="3"/>
      <c r="C270" s="12"/>
      <c r="D270" s="119"/>
      <c r="E270" s="119"/>
      <c r="F270" s="139"/>
      <c r="G270" s="158"/>
      <c r="H270" s="20"/>
      <c r="J270" s="110"/>
    </row>
    <row r="271" spans="1:10" s="14" customFormat="1" x14ac:dyDescent="0.2">
      <c r="A271" s="50"/>
      <c r="B271" s="3"/>
      <c r="C271" s="12"/>
      <c r="D271" s="119"/>
      <c r="E271" s="119"/>
      <c r="F271" s="139"/>
      <c r="G271" s="158"/>
      <c r="H271" s="20"/>
      <c r="J271" s="110"/>
    </row>
    <row r="272" spans="1:10" s="14" customFormat="1" x14ac:dyDescent="0.2">
      <c r="A272" s="50"/>
      <c r="B272" s="3"/>
      <c r="C272" s="12"/>
      <c r="D272" s="119"/>
      <c r="E272" s="119"/>
      <c r="F272" s="139"/>
      <c r="G272" s="158"/>
      <c r="H272" s="20"/>
      <c r="J272" s="110"/>
    </row>
    <row r="273" spans="1:10" s="14" customFormat="1" x14ac:dyDescent="0.2">
      <c r="A273" s="50"/>
      <c r="B273" s="3"/>
      <c r="C273" s="12"/>
      <c r="D273" s="119"/>
      <c r="E273" s="119"/>
      <c r="F273" s="139"/>
      <c r="G273" s="158"/>
      <c r="H273" s="20"/>
      <c r="J273" s="110"/>
    </row>
    <row r="274" spans="1:10" s="14" customFormat="1" x14ac:dyDescent="0.2">
      <c r="A274" s="50"/>
      <c r="B274" s="3"/>
      <c r="C274" s="12"/>
      <c r="D274" s="119"/>
      <c r="E274" s="119"/>
      <c r="F274" s="139"/>
      <c r="G274" s="158"/>
      <c r="H274" s="20"/>
      <c r="J274" s="110"/>
    </row>
    <row r="275" spans="1:10" s="14" customFormat="1" x14ac:dyDescent="0.2">
      <c r="A275" s="50"/>
      <c r="B275" s="3"/>
      <c r="C275" s="12"/>
      <c r="D275" s="119"/>
      <c r="E275" s="119"/>
      <c r="F275" s="139"/>
      <c r="G275" s="158"/>
      <c r="H275" s="20"/>
      <c r="J275" s="110"/>
    </row>
    <row r="276" spans="1:10" s="14" customFormat="1" x14ac:dyDescent="0.2">
      <c r="A276" s="50"/>
      <c r="B276" s="3"/>
      <c r="C276" s="12"/>
      <c r="D276" s="119"/>
      <c r="E276" s="119"/>
      <c r="F276" s="139"/>
      <c r="G276" s="158"/>
      <c r="H276" s="20"/>
      <c r="J276" s="110"/>
    </row>
    <row r="277" spans="1:10" s="14" customFormat="1" x14ac:dyDescent="0.2">
      <c r="A277" s="50"/>
      <c r="B277" s="3"/>
      <c r="C277" s="12"/>
      <c r="D277" s="119"/>
      <c r="E277" s="119"/>
      <c r="F277" s="139"/>
      <c r="G277" s="158"/>
      <c r="H277" s="20"/>
      <c r="J277" s="110"/>
    </row>
    <row r="278" spans="1:10" s="14" customFormat="1" x14ac:dyDescent="0.2">
      <c r="A278" s="50"/>
      <c r="B278" s="3"/>
      <c r="C278" s="12"/>
      <c r="D278" s="119"/>
      <c r="E278" s="119"/>
      <c r="F278" s="139"/>
      <c r="G278" s="158"/>
      <c r="H278" s="20"/>
      <c r="J278" s="110"/>
    </row>
    <row r="279" spans="1:10" s="14" customFormat="1" x14ac:dyDescent="0.2">
      <c r="A279" s="50"/>
      <c r="B279" s="3"/>
      <c r="C279" s="12"/>
      <c r="D279" s="119"/>
      <c r="E279" s="119"/>
      <c r="F279" s="139"/>
      <c r="G279" s="158"/>
      <c r="H279" s="20"/>
      <c r="J279" s="110"/>
    </row>
    <row r="280" spans="1:10" s="14" customFormat="1" x14ac:dyDescent="0.2">
      <c r="A280" s="50"/>
      <c r="B280" s="3"/>
      <c r="C280" s="12"/>
      <c r="D280" s="119"/>
      <c r="E280" s="119"/>
      <c r="F280" s="139"/>
      <c r="G280" s="158"/>
      <c r="H280" s="20"/>
      <c r="J280" s="110"/>
    </row>
    <row r="281" spans="1:10" s="14" customFormat="1" x14ac:dyDescent="0.2">
      <c r="A281" s="50"/>
      <c r="B281" s="3"/>
      <c r="C281" s="12"/>
      <c r="D281" s="119"/>
      <c r="E281" s="119"/>
      <c r="F281" s="139"/>
      <c r="G281" s="158"/>
      <c r="H281" s="20"/>
      <c r="J281" s="110"/>
    </row>
    <row r="282" spans="1:10" s="14" customFormat="1" x14ac:dyDescent="0.2">
      <c r="A282" s="50"/>
      <c r="B282" s="3"/>
      <c r="C282" s="12"/>
      <c r="D282" s="119"/>
      <c r="E282" s="119"/>
      <c r="F282" s="139"/>
      <c r="G282" s="158"/>
      <c r="H282" s="20"/>
      <c r="J282" s="110"/>
    </row>
    <row r="283" spans="1:10" s="14" customFormat="1" x14ac:dyDescent="0.2">
      <c r="A283" s="50"/>
      <c r="B283" s="3"/>
      <c r="C283" s="12"/>
      <c r="D283" s="119"/>
      <c r="E283" s="119"/>
      <c r="F283" s="139"/>
      <c r="G283" s="158"/>
      <c r="H283" s="20"/>
      <c r="J283" s="110"/>
    </row>
    <row r="284" spans="1:10" s="14" customFormat="1" x14ac:dyDescent="0.2">
      <c r="A284" s="50"/>
      <c r="B284" s="3"/>
      <c r="C284" s="12"/>
      <c r="D284" s="119"/>
      <c r="E284" s="119"/>
      <c r="F284" s="139"/>
      <c r="G284" s="158"/>
      <c r="H284" s="20"/>
      <c r="J284" s="110"/>
    </row>
    <row r="285" spans="1:10" s="14" customFormat="1" x14ac:dyDescent="0.2">
      <c r="A285" s="50"/>
      <c r="B285" s="3"/>
      <c r="C285" s="12"/>
      <c r="D285" s="119"/>
      <c r="E285" s="119"/>
      <c r="F285" s="139"/>
      <c r="G285" s="158"/>
      <c r="H285" s="20"/>
      <c r="J285" s="110"/>
    </row>
    <row r="286" spans="1:10" s="14" customFormat="1" x14ac:dyDescent="0.2">
      <c r="A286" s="50"/>
      <c r="B286" s="3"/>
      <c r="C286" s="12"/>
      <c r="D286" s="119"/>
      <c r="E286" s="119"/>
      <c r="F286" s="139"/>
      <c r="G286" s="158"/>
      <c r="H286" s="20"/>
      <c r="J286" s="110"/>
    </row>
    <row r="287" spans="1:10" s="14" customFormat="1" x14ac:dyDescent="0.2">
      <c r="A287" s="50"/>
      <c r="B287" s="3"/>
      <c r="C287" s="12"/>
      <c r="D287" s="119"/>
      <c r="E287" s="119"/>
      <c r="F287" s="139"/>
      <c r="G287" s="158"/>
      <c r="H287" s="20"/>
      <c r="J287" s="110"/>
    </row>
    <row r="288" spans="1:10" s="14" customFormat="1" x14ac:dyDescent="0.2">
      <c r="A288" s="50"/>
      <c r="B288" s="3"/>
      <c r="C288" s="12"/>
      <c r="D288" s="119"/>
      <c r="E288" s="119"/>
      <c r="F288" s="139"/>
      <c r="G288" s="158"/>
      <c r="H288" s="20"/>
      <c r="J288" s="110"/>
    </row>
    <row r="289" spans="1:10" s="14" customFormat="1" x14ac:dyDescent="0.2">
      <c r="A289" s="50"/>
      <c r="B289" s="3"/>
      <c r="C289" s="12"/>
      <c r="D289" s="119"/>
      <c r="E289" s="119"/>
      <c r="F289" s="139"/>
      <c r="G289" s="158"/>
      <c r="H289" s="20"/>
      <c r="J289" s="110"/>
    </row>
    <row r="290" spans="1:10" s="14" customFormat="1" x14ac:dyDescent="0.2">
      <c r="A290" s="50"/>
      <c r="B290" s="3"/>
      <c r="C290" s="12"/>
      <c r="D290" s="119"/>
      <c r="E290" s="119"/>
      <c r="F290" s="139"/>
      <c r="G290" s="158"/>
      <c r="H290" s="20"/>
      <c r="J290" s="110"/>
    </row>
    <row r="291" spans="1:10" s="14" customFormat="1" x14ac:dyDescent="0.2">
      <c r="A291" s="50"/>
      <c r="B291" s="3"/>
      <c r="C291" s="12"/>
      <c r="D291" s="119"/>
      <c r="E291" s="119"/>
      <c r="F291" s="139"/>
      <c r="G291" s="158"/>
      <c r="H291" s="20"/>
      <c r="J291" s="110"/>
    </row>
    <row r="292" spans="1:10" s="14" customFormat="1" x14ac:dyDescent="0.2">
      <c r="A292" s="50"/>
      <c r="B292" s="3"/>
      <c r="C292" s="12"/>
      <c r="D292" s="119"/>
      <c r="E292" s="119"/>
      <c r="F292" s="139"/>
      <c r="G292" s="158"/>
      <c r="H292" s="20"/>
      <c r="J292" s="110"/>
    </row>
    <row r="293" spans="1:10" s="14" customFormat="1" x14ac:dyDescent="0.2">
      <c r="A293" s="50"/>
      <c r="B293" s="3"/>
      <c r="C293" s="12"/>
      <c r="D293" s="119"/>
      <c r="E293" s="119"/>
      <c r="F293" s="139"/>
      <c r="G293" s="158"/>
      <c r="H293" s="20"/>
      <c r="J293" s="110"/>
    </row>
    <row r="294" spans="1:10" s="14" customFormat="1" x14ac:dyDescent="0.2">
      <c r="A294" s="50"/>
      <c r="B294" s="3"/>
      <c r="C294" s="12"/>
      <c r="D294" s="119"/>
      <c r="E294" s="119"/>
      <c r="F294" s="139"/>
      <c r="G294" s="158"/>
      <c r="H294" s="20"/>
      <c r="J294" s="110"/>
    </row>
    <row r="295" spans="1:10" s="14" customFormat="1" x14ac:dyDescent="0.2">
      <c r="A295" s="50"/>
      <c r="B295" s="3"/>
      <c r="C295" s="12"/>
      <c r="D295" s="119"/>
      <c r="E295" s="119"/>
      <c r="F295" s="139"/>
      <c r="G295" s="158"/>
      <c r="H295" s="20"/>
      <c r="J295" s="110"/>
    </row>
    <row r="296" spans="1:10" s="14" customFormat="1" x14ac:dyDescent="0.2">
      <c r="A296" s="50"/>
      <c r="B296" s="3"/>
      <c r="C296" s="12"/>
      <c r="D296" s="119"/>
      <c r="E296" s="119"/>
      <c r="F296" s="139"/>
      <c r="G296" s="158"/>
      <c r="H296" s="20"/>
      <c r="J296" s="110"/>
    </row>
    <row r="297" spans="1:10" s="14" customFormat="1" x14ac:dyDescent="0.2">
      <c r="A297" s="50"/>
      <c r="B297" s="3"/>
      <c r="C297" s="12"/>
      <c r="D297" s="119"/>
      <c r="E297" s="119"/>
      <c r="F297" s="139"/>
      <c r="G297" s="158"/>
      <c r="H297" s="20"/>
      <c r="J297" s="110"/>
    </row>
    <row r="298" spans="1:10" s="14" customFormat="1" x14ac:dyDescent="0.2">
      <c r="A298" s="50"/>
      <c r="B298" s="3"/>
      <c r="C298" s="12"/>
      <c r="D298" s="119"/>
      <c r="E298" s="119"/>
      <c r="F298" s="139"/>
      <c r="G298" s="158"/>
      <c r="H298" s="20"/>
      <c r="J298" s="110"/>
    </row>
    <row r="299" spans="1:10" s="14" customFormat="1" x14ac:dyDescent="0.2">
      <c r="A299" s="50"/>
      <c r="B299" s="3"/>
      <c r="C299" s="12"/>
      <c r="D299" s="119"/>
      <c r="E299" s="119"/>
      <c r="F299" s="139"/>
      <c r="G299" s="158"/>
      <c r="H299" s="20"/>
      <c r="J299" s="110"/>
    </row>
    <row r="300" spans="1:10" s="14" customFormat="1" x14ac:dyDescent="0.2">
      <c r="A300" s="50"/>
      <c r="B300" s="3"/>
      <c r="C300" s="12"/>
      <c r="D300" s="119"/>
      <c r="E300" s="119"/>
      <c r="F300" s="139"/>
      <c r="G300" s="158"/>
      <c r="H300" s="20"/>
      <c r="J300" s="110"/>
    </row>
    <row r="301" spans="1:10" s="14" customFormat="1" x14ac:dyDescent="0.2">
      <c r="A301" s="50"/>
      <c r="B301" s="3"/>
      <c r="C301" s="12"/>
      <c r="D301" s="119"/>
      <c r="E301" s="119"/>
      <c r="F301" s="139"/>
      <c r="G301" s="158"/>
      <c r="H301" s="20"/>
      <c r="J301" s="110"/>
    </row>
    <row r="302" spans="1:10" s="14" customFormat="1" x14ac:dyDescent="0.2">
      <c r="A302" s="50"/>
      <c r="B302" s="3"/>
      <c r="C302" s="12"/>
      <c r="D302" s="119"/>
      <c r="E302" s="119"/>
      <c r="F302" s="139"/>
      <c r="G302" s="158"/>
      <c r="H302" s="20"/>
      <c r="J302" s="110"/>
    </row>
    <row r="303" spans="1:10" s="14" customFormat="1" x14ac:dyDescent="0.2">
      <c r="A303" s="50"/>
      <c r="B303" s="3"/>
      <c r="C303" s="12"/>
      <c r="D303" s="119"/>
      <c r="E303" s="119"/>
      <c r="F303" s="139"/>
      <c r="G303" s="158"/>
      <c r="H303" s="20"/>
      <c r="J303" s="110"/>
    </row>
    <row r="304" spans="1:10" s="14" customFormat="1" x14ac:dyDescent="0.2">
      <c r="A304" s="50"/>
      <c r="B304" s="3"/>
      <c r="C304" s="12"/>
      <c r="D304" s="119"/>
      <c r="E304" s="119"/>
      <c r="F304" s="139"/>
      <c r="G304" s="158"/>
      <c r="H304" s="20"/>
      <c r="J304" s="110"/>
    </row>
    <row r="305" spans="1:10" s="14" customFormat="1" x14ac:dyDescent="0.2">
      <c r="A305" s="50"/>
      <c r="B305" s="3"/>
      <c r="C305" s="12"/>
      <c r="D305" s="119"/>
      <c r="E305" s="119"/>
      <c r="F305" s="139"/>
      <c r="G305" s="158"/>
      <c r="H305" s="20"/>
      <c r="J305" s="110"/>
    </row>
    <row r="306" spans="1:10" s="14" customFormat="1" x14ac:dyDescent="0.2">
      <c r="A306" s="50"/>
      <c r="B306" s="3"/>
      <c r="C306" s="12"/>
      <c r="D306" s="119"/>
      <c r="E306" s="119"/>
      <c r="F306" s="139"/>
      <c r="G306" s="158"/>
      <c r="H306" s="20"/>
      <c r="J306" s="110"/>
    </row>
    <row r="307" spans="1:10" s="14" customFormat="1" x14ac:dyDescent="0.2">
      <c r="A307" s="50"/>
      <c r="B307" s="3"/>
      <c r="C307" s="12"/>
      <c r="D307" s="119"/>
      <c r="E307" s="119"/>
      <c r="F307" s="139"/>
      <c r="G307" s="158"/>
      <c r="H307" s="20"/>
      <c r="J307" s="110"/>
    </row>
    <row r="308" spans="1:10" s="14" customFormat="1" x14ac:dyDescent="0.2">
      <c r="A308" s="50"/>
      <c r="B308" s="3"/>
      <c r="C308" s="12"/>
      <c r="D308" s="119"/>
      <c r="E308" s="119"/>
      <c r="F308" s="139"/>
      <c r="G308" s="158"/>
      <c r="H308" s="20"/>
      <c r="J308" s="110"/>
    </row>
    <row r="309" spans="1:10" s="14" customFormat="1" x14ac:dyDescent="0.2">
      <c r="A309" s="50"/>
      <c r="B309" s="3"/>
      <c r="C309" s="12"/>
      <c r="D309" s="119"/>
      <c r="E309" s="119"/>
      <c r="F309" s="139"/>
      <c r="G309" s="158"/>
      <c r="H309" s="20"/>
      <c r="J309" s="110"/>
    </row>
    <row r="310" spans="1:10" s="14" customFormat="1" x14ac:dyDescent="0.2">
      <c r="A310" s="50"/>
      <c r="B310" s="3"/>
      <c r="C310" s="12"/>
      <c r="D310" s="119"/>
      <c r="E310" s="119"/>
      <c r="F310" s="139"/>
      <c r="G310" s="158"/>
      <c r="H310" s="20"/>
      <c r="J310" s="110"/>
    </row>
    <row r="311" spans="1:10" s="14" customFormat="1" x14ac:dyDescent="0.2">
      <c r="A311" s="50"/>
      <c r="B311" s="3"/>
      <c r="C311" s="12"/>
      <c r="D311" s="119"/>
      <c r="E311" s="119"/>
      <c r="F311" s="139"/>
      <c r="G311" s="158"/>
      <c r="H311" s="20"/>
      <c r="J311" s="110"/>
    </row>
    <row r="312" spans="1:10" s="14" customFormat="1" x14ac:dyDescent="0.2">
      <c r="A312" s="50"/>
      <c r="B312" s="3"/>
      <c r="C312" s="12"/>
      <c r="D312" s="119"/>
      <c r="E312" s="119"/>
      <c r="F312" s="139"/>
      <c r="G312" s="158"/>
      <c r="H312" s="20"/>
      <c r="J312" s="110"/>
    </row>
    <row r="313" spans="1:10" s="14" customFormat="1" x14ac:dyDescent="0.2">
      <c r="A313" s="50"/>
      <c r="B313" s="3"/>
      <c r="C313" s="12"/>
      <c r="D313" s="119"/>
      <c r="E313" s="119"/>
      <c r="F313" s="139"/>
      <c r="G313" s="158"/>
      <c r="H313" s="20"/>
      <c r="J313" s="110"/>
    </row>
    <row r="314" spans="1:10" s="14" customFormat="1" x14ac:dyDescent="0.2">
      <c r="A314" s="50"/>
      <c r="B314" s="3"/>
      <c r="C314" s="12"/>
      <c r="D314" s="119"/>
      <c r="E314" s="119"/>
      <c r="F314" s="139"/>
      <c r="G314" s="158"/>
      <c r="H314" s="20"/>
      <c r="J314" s="110"/>
    </row>
    <row r="315" spans="1:10" s="14" customFormat="1" x14ac:dyDescent="0.2">
      <c r="A315" s="50"/>
      <c r="B315" s="3"/>
      <c r="C315" s="12"/>
      <c r="D315" s="119"/>
      <c r="E315" s="119"/>
      <c r="F315" s="139"/>
      <c r="G315" s="158"/>
      <c r="H315" s="20"/>
      <c r="J315" s="110"/>
    </row>
    <row r="316" spans="1:10" s="14" customFormat="1" x14ac:dyDescent="0.2">
      <c r="A316" s="50"/>
      <c r="B316" s="3"/>
      <c r="C316" s="12"/>
      <c r="D316" s="119"/>
      <c r="E316" s="119"/>
      <c r="F316" s="139"/>
      <c r="G316" s="158"/>
      <c r="H316" s="20"/>
      <c r="J316" s="110"/>
    </row>
    <row r="317" spans="1:10" s="14" customFormat="1" x14ac:dyDescent="0.2">
      <c r="A317" s="50"/>
      <c r="B317" s="3"/>
      <c r="C317" s="12"/>
      <c r="D317" s="119"/>
      <c r="E317" s="119"/>
      <c r="F317" s="139"/>
      <c r="G317" s="158"/>
      <c r="H317" s="20"/>
      <c r="J317" s="110"/>
    </row>
    <row r="318" spans="1:10" s="14" customFormat="1" x14ac:dyDescent="0.2">
      <c r="A318" s="50"/>
      <c r="B318" s="3"/>
      <c r="C318" s="12"/>
      <c r="D318" s="119"/>
      <c r="E318" s="119"/>
      <c r="F318" s="139"/>
      <c r="G318" s="158"/>
      <c r="H318" s="20"/>
      <c r="J318" s="110"/>
    </row>
    <row r="319" spans="1:10" s="14" customFormat="1" x14ac:dyDescent="0.2">
      <c r="A319" s="50"/>
      <c r="B319" s="3"/>
      <c r="C319" s="12"/>
      <c r="D319" s="119"/>
      <c r="E319" s="119"/>
      <c r="F319" s="139"/>
      <c r="G319" s="158"/>
      <c r="H319" s="20"/>
      <c r="J319" s="110"/>
    </row>
    <row r="320" spans="1:10" s="14" customFormat="1" x14ac:dyDescent="0.2">
      <c r="A320" s="50"/>
      <c r="B320" s="3"/>
      <c r="C320" s="12"/>
      <c r="D320" s="119"/>
      <c r="E320" s="119"/>
      <c r="F320" s="139"/>
      <c r="G320" s="158"/>
      <c r="H320" s="20"/>
      <c r="J320" s="110"/>
    </row>
    <row r="321" spans="1:10" s="14" customFormat="1" x14ac:dyDescent="0.2">
      <c r="A321" s="50"/>
      <c r="B321" s="3"/>
      <c r="C321" s="12"/>
      <c r="D321" s="119"/>
      <c r="E321" s="119"/>
      <c r="F321" s="139"/>
      <c r="G321" s="158"/>
      <c r="H321" s="20"/>
      <c r="J321" s="110"/>
    </row>
    <row r="322" spans="1:10" s="14" customFormat="1" x14ac:dyDescent="0.2">
      <c r="A322" s="50"/>
      <c r="B322" s="3"/>
      <c r="C322" s="12"/>
      <c r="D322" s="119"/>
      <c r="E322" s="119"/>
      <c r="F322" s="139"/>
      <c r="G322" s="158"/>
      <c r="H322" s="20"/>
      <c r="J322" s="110"/>
    </row>
    <row r="323" spans="1:10" s="14" customFormat="1" x14ac:dyDescent="0.2">
      <c r="A323" s="50"/>
      <c r="B323" s="3"/>
      <c r="C323" s="12"/>
      <c r="D323" s="119"/>
      <c r="E323" s="119"/>
      <c r="F323" s="139"/>
      <c r="G323" s="158"/>
      <c r="H323" s="20"/>
      <c r="J323" s="110"/>
    </row>
    <row r="324" spans="1:10" s="14" customFormat="1" x14ac:dyDescent="0.2">
      <c r="A324" s="50"/>
      <c r="B324" s="3"/>
      <c r="C324" s="12"/>
      <c r="D324" s="119"/>
      <c r="E324" s="119"/>
      <c r="F324" s="139"/>
      <c r="G324" s="158"/>
      <c r="H324" s="20"/>
      <c r="J324" s="110"/>
    </row>
    <row r="325" spans="1:10" s="14" customFormat="1" x14ac:dyDescent="0.2">
      <c r="A325" s="50"/>
      <c r="B325" s="3"/>
      <c r="C325" s="12"/>
      <c r="D325" s="119"/>
      <c r="E325" s="119"/>
      <c r="F325" s="139"/>
      <c r="G325" s="158"/>
      <c r="H325" s="20"/>
      <c r="J325" s="110"/>
    </row>
    <row r="326" spans="1:10" s="14" customFormat="1" x14ac:dyDescent="0.2">
      <c r="A326" s="50"/>
      <c r="B326" s="3"/>
      <c r="C326" s="12"/>
      <c r="D326" s="119"/>
      <c r="E326" s="119"/>
      <c r="F326" s="139"/>
      <c r="G326" s="158"/>
      <c r="H326" s="20"/>
      <c r="J326" s="110"/>
    </row>
    <row r="327" spans="1:10" s="14" customFormat="1" x14ac:dyDescent="0.2">
      <c r="A327" s="50"/>
      <c r="B327" s="3"/>
      <c r="C327" s="12"/>
      <c r="D327" s="119"/>
      <c r="E327" s="119"/>
      <c r="F327" s="139"/>
      <c r="G327" s="158"/>
      <c r="H327" s="20"/>
      <c r="J327" s="110"/>
    </row>
    <row r="328" spans="1:10" s="14" customFormat="1" x14ac:dyDescent="0.2">
      <c r="A328" s="50"/>
      <c r="B328" s="3"/>
      <c r="C328" s="12"/>
      <c r="D328" s="119"/>
      <c r="E328" s="119"/>
      <c r="F328" s="139"/>
      <c r="G328" s="158"/>
      <c r="H328" s="20"/>
      <c r="J328" s="110"/>
    </row>
    <row r="329" spans="1:10" s="14" customFormat="1" x14ac:dyDescent="0.2">
      <c r="A329" s="50"/>
      <c r="B329" s="3"/>
      <c r="C329" s="12"/>
      <c r="D329" s="119"/>
      <c r="E329" s="119"/>
      <c r="F329" s="139"/>
      <c r="G329" s="158"/>
      <c r="H329" s="20"/>
      <c r="J329" s="110"/>
    </row>
    <row r="330" spans="1:10" s="14" customFormat="1" x14ac:dyDescent="0.2">
      <c r="A330" s="50"/>
      <c r="B330" s="3"/>
      <c r="C330" s="3"/>
      <c r="D330" s="139"/>
      <c r="E330" s="139"/>
      <c r="F330" s="139"/>
      <c r="G330" s="158"/>
      <c r="H330" s="20"/>
      <c r="J330" s="110"/>
    </row>
    <row r="331" spans="1:10" s="14" customFormat="1" x14ac:dyDescent="0.2">
      <c r="A331" s="48"/>
      <c r="C331" s="3"/>
      <c r="D331" s="139"/>
      <c r="E331" s="139"/>
      <c r="F331" s="139"/>
      <c r="G331" s="158"/>
      <c r="H331" s="20"/>
      <c r="J331" s="110"/>
    </row>
    <row r="332" spans="1:10" s="14" customFormat="1" x14ac:dyDescent="0.2">
      <c r="A332" s="48"/>
      <c r="C332" s="3"/>
      <c r="D332" s="139"/>
      <c r="E332" s="139"/>
      <c r="F332" s="139"/>
      <c r="G332" s="158"/>
      <c r="H332" s="20"/>
      <c r="J332" s="110"/>
    </row>
    <row r="333" spans="1:10" s="14" customFormat="1" x14ac:dyDescent="0.2">
      <c r="A333" s="48"/>
      <c r="C333" s="3"/>
      <c r="D333" s="139"/>
      <c r="E333" s="139"/>
      <c r="F333" s="139"/>
      <c r="G333" s="158"/>
      <c r="H333" s="20"/>
      <c r="J333" s="110"/>
    </row>
    <row r="334" spans="1:10" s="14" customFormat="1" x14ac:dyDescent="0.2">
      <c r="A334" s="48"/>
      <c r="C334" s="3"/>
      <c r="D334" s="139"/>
      <c r="E334" s="139"/>
      <c r="F334" s="139"/>
      <c r="G334" s="158"/>
      <c r="H334" s="20"/>
      <c r="J334" s="110"/>
    </row>
    <row r="335" spans="1:10" s="14" customFormat="1" x14ac:dyDescent="0.2">
      <c r="A335" s="48"/>
      <c r="C335" s="3"/>
      <c r="D335" s="139"/>
      <c r="E335" s="139"/>
      <c r="F335" s="139"/>
      <c r="G335" s="158"/>
      <c r="H335" s="20"/>
      <c r="J335" s="110"/>
    </row>
    <row r="336" spans="1:10" s="14" customFormat="1" x14ac:dyDescent="0.2">
      <c r="A336" s="48"/>
      <c r="C336" s="3"/>
      <c r="D336" s="139"/>
      <c r="E336" s="139"/>
      <c r="F336" s="139"/>
      <c r="G336" s="158"/>
      <c r="H336" s="20"/>
      <c r="J336" s="110"/>
    </row>
    <row r="337" spans="1:10" s="14" customFormat="1" x14ac:dyDescent="0.2">
      <c r="A337" s="48"/>
      <c r="C337" s="3"/>
      <c r="D337" s="139"/>
      <c r="E337" s="139"/>
      <c r="F337" s="139"/>
      <c r="G337" s="158"/>
      <c r="H337" s="20"/>
      <c r="J337" s="110"/>
    </row>
    <row r="338" spans="1:10" s="14" customFormat="1" x14ac:dyDescent="0.2">
      <c r="A338" s="48"/>
      <c r="C338" s="3"/>
      <c r="D338" s="139"/>
      <c r="E338" s="139"/>
      <c r="F338" s="139"/>
      <c r="G338" s="158"/>
      <c r="H338" s="20"/>
      <c r="J338" s="110"/>
    </row>
    <row r="339" spans="1:10" s="14" customFormat="1" x14ac:dyDescent="0.2">
      <c r="A339" s="48"/>
      <c r="C339" s="3"/>
      <c r="D339" s="139"/>
      <c r="E339" s="139"/>
      <c r="F339" s="139"/>
      <c r="G339" s="158"/>
      <c r="H339" s="20"/>
      <c r="J339" s="110"/>
    </row>
    <row r="340" spans="1:10" s="14" customFormat="1" x14ac:dyDescent="0.2">
      <c r="A340" s="48"/>
      <c r="C340" s="3"/>
      <c r="D340" s="139"/>
      <c r="E340" s="139"/>
      <c r="F340" s="139"/>
      <c r="G340" s="158"/>
      <c r="H340" s="20"/>
      <c r="J340" s="110"/>
    </row>
    <row r="341" spans="1:10" s="14" customFormat="1" x14ac:dyDescent="0.2">
      <c r="A341" s="48"/>
      <c r="C341" s="3"/>
      <c r="D341" s="139"/>
      <c r="E341" s="139"/>
      <c r="F341" s="139"/>
      <c r="G341" s="158"/>
      <c r="H341" s="20"/>
      <c r="J341" s="110"/>
    </row>
    <row r="342" spans="1:10" s="14" customFormat="1" x14ac:dyDescent="0.2">
      <c r="A342" s="48"/>
      <c r="C342" s="3"/>
      <c r="D342" s="139"/>
      <c r="E342" s="139"/>
      <c r="F342" s="139"/>
      <c r="G342" s="158"/>
      <c r="H342" s="20"/>
      <c r="J342" s="110"/>
    </row>
    <row r="343" spans="1:10" s="14" customFormat="1" x14ac:dyDescent="0.2">
      <c r="A343" s="48"/>
      <c r="C343" s="3"/>
      <c r="D343" s="139"/>
      <c r="E343" s="139"/>
      <c r="F343" s="139"/>
      <c r="G343" s="158"/>
      <c r="H343" s="20"/>
      <c r="J343" s="110"/>
    </row>
    <row r="344" spans="1:10" s="14" customFormat="1" x14ac:dyDescent="0.2">
      <c r="A344" s="48"/>
      <c r="C344" s="3"/>
      <c r="D344" s="139"/>
      <c r="E344" s="139"/>
      <c r="F344" s="139"/>
      <c r="G344" s="158"/>
      <c r="H344" s="20"/>
      <c r="J344" s="110"/>
    </row>
    <row r="345" spans="1:10" s="14" customFormat="1" x14ac:dyDescent="0.2">
      <c r="A345" s="48"/>
      <c r="C345" s="3"/>
      <c r="D345" s="139"/>
      <c r="E345" s="139"/>
      <c r="F345" s="139"/>
      <c r="G345" s="158"/>
      <c r="H345" s="20"/>
      <c r="J345" s="110"/>
    </row>
    <row r="346" spans="1:10" s="14" customFormat="1" x14ac:dyDescent="0.2">
      <c r="A346" s="48"/>
      <c r="C346" s="3"/>
      <c r="D346" s="139"/>
      <c r="E346" s="139"/>
      <c r="F346" s="139"/>
      <c r="G346" s="158"/>
      <c r="H346" s="20"/>
      <c r="J346" s="110"/>
    </row>
    <row r="347" spans="1:10" s="14" customFormat="1" x14ac:dyDescent="0.2">
      <c r="A347" s="48"/>
      <c r="C347" s="3"/>
      <c r="D347" s="139"/>
      <c r="E347" s="139"/>
      <c r="F347" s="139"/>
      <c r="G347" s="158"/>
      <c r="H347" s="20"/>
      <c r="J347" s="110"/>
    </row>
    <row r="348" spans="1:10" s="14" customFormat="1" x14ac:dyDescent="0.2">
      <c r="A348" s="48"/>
      <c r="C348" s="3"/>
      <c r="D348" s="139"/>
      <c r="E348" s="139"/>
      <c r="F348" s="139"/>
      <c r="G348" s="158"/>
      <c r="H348" s="20"/>
      <c r="J348" s="110"/>
    </row>
    <row r="349" spans="1:10" s="14" customFormat="1" x14ac:dyDescent="0.2">
      <c r="A349" s="48"/>
      <c r="C349" s="3"/>
      <c r="D349" s="139"/>
      <c r="E349" s="139"/>
      <c r="F349" s="139"/>
      <c r="G349" s="158"/>
      <c r="H349" s="20"/>
      <c r="J349" s="110"/>
    </row>
    <row r="350" spans="1:10" s="14" customFormat="1" x14ac:dyDescent="0.2">
      <c r="A350" s="48"/>
      <c r="C350" s="3"/>
      <c r="D350" s="139"/>
      <c r="E350" s="139"/>
      <c r="F350" s="139"/>
      <c r="G350" s="158"/>
      <c r="H350" s="20"/>
      <c r="J350" s="110"/>
    </row>
    <row r="351" spans="1:10" s="14" customFormat="1" x14ac:dyDescent="0.2">
      <c r="A351" s="48"/>
      <c r="C351" s="3"/>
      <c r="D351" s="139"/>
      <c r="E351" s="139"/>
      <c r="F351" s="139"/>
      <c r="G351" s="158"/>
      <c r="H351" s="20"/>
      <c r="J351" s="110"/>
    </row>
    <row r="352" spans="1:10" s="14" customFormat="1" x14ac:dyDescent="0.2">
      <c r="A352" s="48"/>
      <c r="C352" s="3"/>
      <c r="D352" s="139"/>
      <c r="E352" s="139"/>
      <c r="F352" s="139"/>
      <c r="G352" s="158"/>
      <c r="H352" s="20"/>
      <c r="J352" s="110"/>
    </row>
    <row r="353" spans="1:10" s="14" customFormat="1" x14ac:dyDescent="0.2">
      <c r="A353" s="48"/>
      <c r="C353" s="3"/>
      <c r="D353" s="139"/>
      <c r="E353" s="139"/>
      <c r="F353" s="139"/>
      <c r="G353" s="158"/>
      <c r="H353" s="20"/>
      <c r="J353" s="110"/>
    </row>
    <row r="354" spans="1:10" s="14" customFormat="1" x14ac:dyDescent="0.2">
      <c r="A354" s="48"/>
      <c r="C354" s="3"/>
      <c r="D354" s="139"/>
      <c r="E354" s="139"/>
      <c r="F354" s="139"/>
      <c r="G354" s="158"/>
      <c r="H354" s="20"/>
      <c r="J354" s="110"/>
    </row>
    <row r="355" spans="1:10" s="14" customFormat="1" x14ac:dyDescent="0.2">
      <c r="A355" s="48"/>
      <c r="C355" s="3"/>
      <c r="D355" s="139"/>
      <c r="E355" s="139"/>
      <c r="F355" s="139"/>
      <c r="G355" s="158"/>
      <c r="H355" s="20"/>
      <c r="J355" s="110"/>
    </row>
    <row r="356" spans="1:10" s="14" customFormat="1" x14ac:dyDescent="0.2">
      <c r="A356" s="48"/>
      <c r="C356" s="3"/>
      <c r="D356" s="139"/>
      <c r="E356" s="139"/>
      <c r="F356" s="139"/>
      <c r="G356" s="158"/>
      <c r="H356" s="20"/>
      <c r="J356" s="110"/>
    </row>
    <row r="357" spans="1:10" s="14" customFormat="1" x14ac:dyDescent="0.2">
      <c r="A357" s="48"/>
      <c r="C357" s="3"/>
      <c r="D357" s="139"/>
      <c r="E357" s="139"/>
      <c r="F357" s="139"/>
      <c r="G357" s="158"/>
      <c r="H357" s="20"/>
      <c r="J357" s="110"/>
    </row>
    <row r="358" spans="1:10" s="14" customFormat="1" x14ac:dyDescent="0.2">
      <c r="A358" s="48"/>
      <c r="C358" s="3"/>
      <c r="D358" s="139"/>
      <c r="E358" s="139"/>
      <c r="F358" s="139"/>
      <c r="G358" s="158"/>
      <c r="H358" s="20"/>
      <c r="J358" s="110"/>
    </row>
    <row r="359" spans="1:10" s="14" customFormat="1" x14ac:dyDescent="0.2">
      <c r="A359" s="48"/>
      <c r="C359" s="3"/>
      <c r="D359" s="139"/>
      <c r="E359" s="139"/>
      <c r="F359" s="139"/>
      <c r="G359" s="158"/>
      <c r="H359" s="20"/>
      <c r="J359" s="110"/>
    </row>
    <row r="360" spans="1:10" s="14" customFormat="1" x14ac:dyDescent="0.2">
      <c r="A360" s="48"/>
      <c r="C360" s="3"/>
      <c r="D360" s="139"/>
      <c r="E360" s="139"/>
      <c r="F360" s="139"/>
      <c r="G360" s="158"/>
      <c r="H360" s="20"/>
      <c r="J360" s="110"/>
    </row>
    <row r="361" spans="1:10" s="14" customFormat="1" x14ac:dyDescent="0.2">
      <c r="A361" s="48"/>
      <c r="C361" s="3"/>
      <c r="D361" s="139"/>
      <c r="E361" s="139"/>
      <c r="F361" s="139"/>
      <c r="G361" s="158"/>
      <c r="H361" s="20"/>
      <c r="J361" s="110"/>
    </row>
    <row r="362" spans="1:10" s="14" customFormat="1" x14ac:dyDescent="0.2">
      <c r="A362" s="48"/>
      <c r="C362" s="3"/>
      <c r="D362" s="139"/>
      <c r="E362" s="139"/>
      <c r="F362" s="139"/>
      <c r="G362" s="158"/>
      <c r="H362" s="20"/>
      <c r="J362" s="110"/>
    </row>
    <row r="363" spans="1:10" s="14" customFormat="1" x14ac:dyDescent="0.2">
      <c r="A363" s="48"/>
      <c r="C363" s="3"/>
      <c r="D363" s="139"/>
      <c r="E363" s="139"/>
      <c r="F363" s="139"/>
      <c r="G363" s="158"/>
      <c r="H363" s="20"/>
      <c r="J363" s="110"/>
    </row>
    <row r="364" spans="1:10" s="14" customFormat="1" x14ac:dyDescent="0.2">
      <c r="A364" s="48"/>
      <c r="C364" s="3"/>
      <c r="D364" s="139"/>
      <c r="E364" s="139"/>
      <c r="F364" s="139"/>
      <c r="G364" s="158"/>
      <c r="H364" s="20"/>
      <c r="J364" s="110"/>
    </row>
    <row r="365" spans="1:10" s="14" customFormat="1" x14ac:dyDescent="0.2">
      <c r="A365" s="48"/>
      <c r="C365" s="3"/>
      <c r="D365" s="139"/>
      <c r="E365" s="139"/>
      <c r="F365" s="139"/>
      <c r="G365" s="158"/>
      <c r="H365" s="20"/>
      <c r="J365" s="110"/>
    </row>
    <row r="366" spans="1:10" s="14" customFormat="1" x14ac:dyDescent="0.2">
      <c r="A366" s="48"/>
      <c r="C366" s="3"/>
      <c r="D366" s="139"/>
      <c r="E366" s="139"/>
      <c r="F366" s="139"/>
      <c r="G366" s="158"/>
      <c r="H366" s="20"/>
      <c r="J366" s="110"/>
    </row>
    <row r="367" spans="1:10" s="14" customFormat="1" x14ac:dyDescent="0.2">
      <c r="A367" s="48"/>
      <c r="C367" s="3"/>
      <c r="D367" s="139"/>
      <c r="E367" s="139"/>
      <c r="F367" s="139"/>
      <c r="G367" s="158"/>
      <c r="H367" s="20"/>
      <c r="J367" s="110"/>
    </row>
    <row r="368" spans="1:10" s="14" customFormat="1" x14ac:dyDescent="0.2">
      <c r="A368" s="48"/>
      <c r="C368" s="3"/>
      <c r="D368" s="139"/>
      <c r="E368" s="139"/>
      <c r="F368" s="139"/>
      <c r="G368" s="158"/>
      <c r="H368" s="20"/>
      <c r="J368" s="110"/>
    </row>
    <row r="369" spans="1:10" s="14" customFormat="1" x14ac:dyDescent="0.2">
      <c r="A369" s="48"/>
      <c r="C369" s="3"/>
      <c r="D369" s="139"/>
      <c r="E369" s="139"/>
      <c r="F369" s="139"/>
      <c r="G369" s="158"/>
      <c r="H369" s="20"/>
      <c r="J369" s="110"/>
    </row>
    <row r="370" spans="1:10" s="14" customFormat="1" x14ac:dyDescent="0.2">
      <c r="A370" s="48"/>
      <c r="C370" s="3"/>
      <c r="D370" s="139"/>
      <c r="E370" s="139"/>
      <c r="F370" s="139"/>
      <c r="G370" s="158"/>
      <c r="H370" s="20"/>
      <c r="J370" s="110"/>
    </row>
    <row r="371" spans="1:10" s="14" customFormat="1" x14ac:dyDescent="0.2">
      <c r="A371" s="48"/>
      <c r="C371" s="3"/>
      <c r="D371" s="139"/>
      <c r="E371" s="139"/>
      <c r="F371" s="139"/>
      <c r="G371" s="158"/>
      <c r="H371" s="20"/>
      <c r="J371" s="110"/>
    </row>
    <row r="372" spans="1:10" s="14" customFormat="1" x14ac:dyDescent="0.2">
      <c r="A372" s="48"/>
      <c r="C372" s="3"/>
      <c r="D372" s="139"/>
      <c r="E372" s="139"/>
      <c r="F372" s="139"/>
      <c r="G372" s="158"/>
      <c r="H372" s="20"/>
      <c r="J372" s="110"/>
    </row>
    <row r="373" spans="1:10" s="14" customFormat="1" x14ac:dyDescent="0.2">
      <c r="A373" s="48"/>
      <c r="C373" s="3"/>
      <c r="D373" s="139"/>
      <c r="E373" s="139"/>
      <c r="F373" s="139"/>
      <c r="G373" s="158"/>
      <c r="H373" s="20"/>
      <c r="J373" s="110"/>
    </row>
    <row r="374" spans="1:10" s="14" customFormat="1" x14ac:dyDescent="0.2">
      <c r="A374" s="48"/>
      <c r="C374" s="3"/>
      <c r="D374" s="139"/>
      <c r="E374" s="139"/>
      <c r="F374" s="139"/>
      <c r="G374" s="158"/>
      <c r="H374" s="20"/>
      <c r="J374" s="110"/>
    </row>
    <row r="375" spans="1:10" s="14" customFormat="1" x14ac:dyDescent="0.2">
      <c r="A375" s="48"/>
      <c r="C375" s="3"/>
      <c r="D375" s="139"/>
      <c r="E375" s="139"/>
      <c r="F375" s="139"/>
      <c r="G375" s="158"/>
      <c r="H375" s="20"/>
      <c r="J375" s="110"/>
    </row>
    <row r="376" spans="1:10" s="14" customFormat="1" x14ac:dyDescent="0.2">
      <c r="A376" s="48"/>
      <c r="C376" s="3"/>
      <c r="D376" s="139"/>
      <c r="E376" s="139"/>
      <c r="F376" s="139"/>
      <c r="G376" s="158"/>
      <c r="H376" s="20"/>
      <c r="J376" s="110"/>
    </row>
    <row r="377" spans="1:10" s="14" customFormat="1" x14ac:dyDescent="0.2">
      <c r="A377" s="48"/>
      <c r="C377" s="3"/>
      <c r="D377" s="139"/>
      <c r="E377" s="139"/>
      <c r="F377" s="139"/>
      <c r="G377" s="158"/>
      <c r="H377" s="20"/>
      <c r="J377" s="110"/>
    </row>
    <row r="378" spans="1:10" s="14" customFormat="1" x14ac:dyDescent="0.2">
      <c r="A378" s="48"/>
      <c r="C378" s="3"/>
      <c r="D378" s="139"/>
      <c r="E378" s="139"/>
      <c r="F378" s="139"/>
      <c r="G378" s="158"/>
      <c r="H378" s="20"/>
      <c r="J378" s="110"/>
    </row>
    <row r="379" spans="1:10" s="14" customFormat="1" x14ac:dyDescent="0.2">
      <c r="A379" s="48"/>
      <c r="C379" s="3"/>
      <c r="D379" s="139"/>
      <c r="E379" s="139"/>
      <c r="F379" s="139"/>
      <c r="G379" s="158"/>
      <c r="H379" s="20"/>
      <c r="J379" s="110"/>
    </row>
    <row r="380" spans="1:10" s="14" customFormat="1" x14ac:dyDescent="0.2">
      <c r="A380" s="48"/>
      <c r="C380" s="3"/>
      <c r="D380" s="139"/>
      <c r="E380" s="139"/>
      <c r="F380" s="139"/>
      <c r="G380" s="158"/>
      <c r="H380" s="20"/>
      <c r="J380" s="110"/>
    </row>
    <row r="381" spans="1:10" s="14" customFormat="1" x14ac:dyDescent="0.2">
      <c r="A381" s="48"/>
      <c r="C381" s="3"/>
      <c r="D381" s="139"/>
      <c r="E381" s="139"/>
      <c r="F381" s="139"/>
      <c r="G381" s="158"/>
      <c r="H381" s="20"/>
      <c r="J381" s="110"/>
    </row>
    <row r="382" spans="1:10" s="14" customFormat="1" x14ac:dyDescent="0.2">
      <c r="A382" s="48"/>
      <c r="C382" s="3"/>
      <c r="D382" s="139"/>
      <c r="E382" s="139"/>
      <c r="F382" s="139"/>
      <c r="G382" s="158"/>
      <c r="H382" s="20"/>
      <c r="J382" s="110"/>
    </row>
    <row r="383" spans="1:10" s="14" customFormat="1" x14ac:dyDescent="0.2">
      <c r="A383" s="48"/>
      <c r="C383" s="3"/>
      <c r="D383" s="139"/>
      <c r="E383" s="139"/>
      <c r="F383" s="139"/>
      <c r="G383" s="158"/>
      <c r="H383" s="20"/>
      <c r="J383" s="110"/>
    </row>
    <row r="384" spans="1:10" s="14" customFormat="1" x14ac:dyDescent="0.2">
      <c r="A384" s="48"/>
      <c r="C384" s="3"/>
      <c r="D384" s="139"/>
      <c r="E384" s="139"/>
      <c r="F384" s="139"/>
      <c r="G384" s="158"/>
      <c r="H384" s="20"/>
      <c r="J384" s="110"/>
    </row>
    <row r="385" spans="1:10" s="14" customFormat="1" x14ac:dyDescent="0.2">
      <c r="A385" s="48"/>
      <c r="C385" s="3"/>
      <c r="D385" s="139"/>
      <c r="E385" s="139"/>
      <c r="F385" s="139"/>
      <c r="G385" s="158"/>
      <c r="H385" s="20"/>
      <c r="J385" s="110"/>
    </row>
    <row r="386" spans="1:10" s="14" customFormat="1" x14ac:dyDescent="0.2">
      <c r="A386" s="48"/>
      <c r="C386" s="3"/>
      <c r="D386" s="139"/>
      <c r="E386" s="139"/>
      <c r="F386" s="139"/>
      <c r="G386" s="158"/>
      <c r="H386" s="20"/>
      <c r="J386" s="110"/>
    </row>
    <row r="387" spans="1:10" s="14" customFormat="1" x14ac:dyDescent="0.2">
      <c r="A387" s="48"/>
      <c r="C387" s="3"/>
      <c r="D387" s="139"/>
      <c r="E387" s="139"/>
      <c r="F387" s="139"/>
      <c r="G387" s="158"/>
      <c r="H387" s="20"/>
      <c r="J387" s="110"/>
    </row>
    <row r="388" spans="1:10" s="14" customFormat="1" x14ac:dyDescent="0.2">
      <c r="A388" s="48"/>
      <c r="C388" s="3"/>
      <c r="D388" s="139"/>
      <c r="E388" s="139"/>
      <c r="F388" s="139"/>
      <c r="G388" s="158"/>
      <c r="H388" s="20"/>
      <c r="J388" s="110"/>
    </row>
    <row r="389" spans="1:10" s="14" customFormat="1" x14ac:dyDescent="0.2">
      <c r="A389" s="48"/>
      <c r="C389" s="3"/>
      <c r="D389" s="139"/>
      <c r="E389" s="139"/>
      <c r="F389" s="139"/>
      <c r="G389" s="158"/>
      <c r="H389" s="20"/>
      <c r="J389" s="110"/>
    </row>
    <row r="390" spans="1:10" s="14" customFormat="1" x14ac:dyDescent="0.2">
      <c r="A390" s="48"/>
      <c r="C390" s="3"/>
      <c r="D390" s="139"/>
      <c r="E390" s="139"/>
      <c r="F390" s="139"/>
      <c r="G390" s="158"/>
      <c r="H390" s="20"/>
      <c r="J390" s="110"/>
    </row>
    <row r="391" spans="1:10" s="14" customFormat="1" x14ac:dyDescent="0.2">
      <c r="A391" s="48"/>
      <c r="C391" s="3"/>
      <c r="D391" s="139"/>
      <c r="E391" s="139"/>
      <c r="F391" s="139"/>
      <c r="G391" s="158"/>
      <c r="H391" s="20"/>
      <c r="J391" s="110"/>
    </row>
    <row r="392" spans="1:10" s="14" customFormat="1" x14ac:dyDescent="0.2">
      <c r="A392" s="48"/>
      <c r="C392" s="3"/>
      <c r="D392" s="139"/>
      <c r="E392" s="139"/>
      <c r="F392" s="139"/>
      <c r="G392" s="158"/>
      <c r="H392" s="20"/>
      <c r="J392" s="110"/>
    </row>
    <row r="393" spans="1:10" s="14" customFormat="1" x14ac:dyDescent="0.2">
      <c r="A393" s="48"/>
      <c r="C393" s="3"/>
      <c r="D393" s="139"/>
      <c r="E393" s="139"/>
      <c r="F393" s="139"/>
      <c r="G393" s="158"/>
      <c r="H393" s="20"/>
      <c r="J393" s="110"/>
    </row>
    <row r="394" spans="1:10" s="14" customFormat="1" x14ac:dyDescent="0.2">
      <c r="A394" s="48"/>
      <c r="C394" s="3"/>
      <c r="D394" s="139"/>
      <c r="E394" s="139"/>
      <c r="F394" s="139"/>
      <c r="G394" s="158"/>
      <c r="H394" s="20"/>
      <c r="J394" s="110"/>
    </row>
    <row r="395" spans="1:10" s="14" customFormat="1" x14ac:dyDescent="0.2">
      <c r="A395" s="48"/>
      <c r="C395" s="3"/>
      <c r="D395" s="139"/>
      <c r="E395" s="139"/>
      <c r="F395" s="139"/>
      <c r="G395" s="158"/>
      <c r="H395" s="20"/>
      <c r="J395" s="110"/>
    </row>
    <row r="396" spans="1:10" s="14" customFormat="1" x14ac:dyDescent="0.2">
      <c r="A396" s="48"/>
      <c r="C396" s="3"/>
      <c r="D396" s="139"/>
      <c r="E396" s="139"/>
      <c r="F396" s="139"/>
      <c r="G396" s="158"/>
      <c r="H396" s="20"/>
      <c r="J396" s="110"/>
    </row>
    <row r="397" spans="1:10" s="14" customFormat="1" x14ac:dyDescent="0.2">
      <c r="A397" s="48"/>
      <c r="C397" s="3"/>
      <c r="D397" s="139"/>
      <c r="E397" s="139"/>
      <c r="F397" s="139"/>
      <c r="G397" s="158"/>
      <c r="H397" s="20"/>
      <c r="J397" s="110"/>
    </row>
    <row r="398" spans="1:10" s="14" customFormat="1" x14ac:dyDescent="0.2">
      <c r="A398" s="48"/>
      <c r="C398" s="3"/>
      <c r="D398" s="139"/>
      <c r="E398" s="139"/>
      <c r="F398" s="139"/>
      <c r="G398" s="158"/>
      <c r="H398" s="20"/>
      <c r="J398" s="110"/>
    </row>
    <row r="399" spans="1:10" s="14" customFormat="1" x14ac:dyDescent="0.2">
      <c r="A399" s="48"/>
      <c r="C399" s="3"/>
      <c r="D399" s="139"/>
      <c r="E399" s="139"/>
      <c r="F399" s="139"/>
      <c r="G399" s="158"/>
      <c r="H399" s="20"/>
      <c r="J399" s="110"/>
    </row>
    <row r="400" spans="1:10" s="14" customFormat="1" x14ac:dyDescent="0.2">
      <c r="A400" s="48"/>
      <c r="C400" s="3"/>
      <c r="D400" s="139"/>
      <c r="E400" s="139"/>
      <c r="F400" s="139"/>
      <c r="G400" s="158"/>
      <c r="H400" s="20"/>
      <c r="J400" s="110"/>
    </row>
    <row r="401" spans="1:10" s="14" customFormat="1" x14ac:dyDescent="0.2">
      <c r="A401" s="48"/>
      <c r="C401" s="3"/>
      <c r="D401" s="139"/>
      <c r="E401" s="139"/>
      <c r="F401" s="139"/>
      <c r="G401" s="158"/>
      <c r="H401" s="20"/>
      <c r="J401" s="110"/>
    </row>
    <row r="402" spans="1:10" s="14" customFormat="1" x14ac:dyDescent="0.2">
      <c r="A402" s="48"/>
      <c r="C402" s="3"/>
      <c r="D402" s="139"/>
      <c r="E402" s="139"/>
      <c r="F402" s="139"/>
      <c r="G402" s="158"/>
      <c r="H402" s="20"/>
      <c r="J402" s="110"/>
    </row>
    <row r="403" spans="1:10" s="14" customFormat="1" x14ac:dyDescent="0.2">
      <c r="A403" s="48"/>
      <c r="C403" s="3"/>
      <c r="D403" s="139"/>
      <c r="E403" s="139"/>
      <c r="F403" s="139"/>
      <c r="G403" s="158"/>
      <c r="H403" s="20"/>
      <c r="J403" s="110"/>
    </row>
    <row r="404" spans="1:10" s="14" customFormat="1" x14ac:dyDescent="0.2">
      <c r="A404" s="48"/>
      <c r="C404" s="3"/>
      <c r="D404" s="139"/>
      <c r="E404" s="139"/>
      <c r="F404" s="139"/>
      <c r="G404" s="158"/>
      <c r="H404" s="20"/>
      <c r="J404" s="110"/>
    </row>
    <row r="405" spans="1:10" s="14" customFormat="1" x14ac:dyDescent="0.2">
      <c r="A405" s="48"/>
      <c r="C405" s="3"/>
      <c r="D405" s="139"/>
      <c r="E405" s="139"/>
      <c r="F405" s="139"/>
      <c r="G405" s="158"/>
      <c r="H405" s="20"/>
      <c r="J405" s="110"/>
    </row>
    <row r="406" spans="1:10" s="14" customFormat="1" x14ac:dyDescent="0.2">
      <c r="A406" s="48"/>
      <c r="C406" s="3"/>
      <c r="D406" s="139"/>
      <c r="E406" s="139"/>
      <c r="F406" s="139"/>
      <c r="G406" s="158"/>
      <c r="H406" s="20"/>
      <c r="J406" s="110"/>
    </row>
    <row r="407" spans="1:10" s="14" customFormat="1" x14ac:dyDescent="0.2">
      <c r="A407" s="48"/>
      <c r="C407" s="3"/>
      <c r="D407" s="139"/>
      <c r="E407" s="139"/>
      <c r="F407" s="139"/>
      <c r="G407" s="158"/>
      <c r="H407" s="20"/>
      <c r="J407" s="110"/>
    </row>
    <row r="408" spans="1:10" s="14" customFormat="1" x14ac:dyDescent="0.2">
      <c r="A408" s="48"/>
      <c r="C408" s="3"/>
      <c r="D408" s="139"/>
      <c r="E408" s="139"/>
      <c r="F408" s="139"/>
      <c r="G408" s="158"/>
      <c r="H408" s="20"/>
      <c r="J408" s="110"/>
    </row>
    <row r="409" spans="1:10" s="14" customFormat="1" x14ac:dyDescent="0.2">
      <c r="A409" s="48"/>
      <c r="C409" s="3"/>
      <c r="D409" s="139"/>
      <c r="E409" s="139"/>
      <c r="F409" s="139"/>
      <c r="G409" s="158"/>
      <c r="H409" s="20"/>
      <c r="J409" s="110"/>
    </row>
    <row r="410" spans="1:10" s="14" customFormat="1" x14ac:dyDescent="0.2">
      <c r="A410" s="48"/>
      <c r="C410" s="3"/>
      <c r="D410" s="139"/>
      <c r="E410" s="139"/>
      <c r="F410" s="139"/>
      <c r="G410" s="158"/>
      <c r="H410" s="20"/>
      <c r="J410" s="110"/>
    </row>
    <row r="411" spans="1:10" s="14" customFormat="1" x14ac:dyDescent="0.2">
      <c r="A411" s="48"/>
      <c r="C411" s="3"/>
      <c r="D411" s="139"/>
      <c r="E411" s="139"/>
      <c r="F411" s="139"/>
      <c r="G411" s="158"/>
      <c r="H411" s="20"/>
      <c r="J411" s="110"/>
    </row>
    <row r="412" spans="1:10" s="14" customFormat="1" x14ac:dyDescent="0.2">
      <c r="A412" s="48"/>
      <c r="C412" s="3"/>
      <c r="D412" s="139"/>
      <c r="E412" s="139"/>
      <c r="F412" s="139"/>
      <c r="G412" s="158"/>
      <c r="H412" s="20"/>
      <c r="J412" s="110"/>
    </row>
    <row r="413" spans="1:10" s="14" customFormat="1" x14ac:dyDescent="0.2">
      <c r="A413" s="48"/>
      <c r="C413" s="3"/>
      <c r="D413" s="139"/>
      <c r="E413" s="139"/>
      <c r="F413" s="139"/>
      <c r="G413" s="158"/>
      <c r="H413" s="20"/>
      <c r="J413" s="110"/>
    </row>
    <row r="414" spans="1:10" s="14" customFormat="1" x14ac:dyDescent="0.2">
      <c r="A414" s="48"/>
      <c r="C414" s="3"/>
      <c r="D414" s="139"/>
      <c r="E414" s="139"/>
      <c r="F414" s="139"/>
      <c r="G414" s="158"/>
      <c r="H414" s="20"/>
      <c r="J414" s="110"/>
    </row>
    <row r="415" spans="1:10" s="14" customFormat="1" x14ac:dyDescent="0.2">
      <c r="A415" s="48"/>
      <c r="C415" s="3"/>
      <c r="D415" s="139"/>
      <c r="E415" s="139"/>
      <c r="F415" s="139"/>
      <c r="G415" s="158"/>
      <c r="H415" s="20"/>
      <c r="J415" s="110"/>
    </row>
    <row r="416" spans="1:10" s="14" customFormat="1" x14ac:dyDescent="0.2">
      <c r="A416" s="48"/>
      <c r="C416" s="3"/>
      <c r="D416" s="139"/>
      <c r="E416" s="139"/>
      <c r="F416" s="139"/>
      <c r="G416" s="158"/>
      <c r="H416" s="20"/>
      <c r="J416" s="110"/>
    </row>
    <row r="417" spans="1:10" s="14" customFormat="1" x14ac:dyDescent="0.2">
      <c r="A417" s="48"/>
      <c r="C417" s="3"/>
      <c r="D417" s="139"/>
      <c r="E417" s="139"/>
      <c r="F417" s="139"/>
      <c r="G417" s="158"/>
      <c r="H417" s="20"/>
      <c r="J417" s="110"/>
    </row>
    <row r="418" spans="1:10" s="14" customFormat="1" x14ac:dyDescent="0.2">
      <c r="A418" s="48"/>
      <c r="C418" s="3"/>
      <c r="D418" s="139"/>
      <c r="E418" s="139"/>
      <c r="F418" s="139"/>
      <c r="G418" s="158"/>
      <c r="H418" s="20"/>
      <c r="J418" s="110"/>
    </row>
    <row r="419" spans="1:10" s="14" customFormat="1" x14ac:dyDescent="0.2">
      <c r="A419" s="48"/>
      <c r="C419" s="3"/>
      <c r="D419" s="139"/>
      <c r="E419" s="139"/>
      <c r="F419" s="139"/>
      <c r="G419" s="158"/>
      <c r="H419" s="20"/>
      <c r="J419" s="110"/>
    </row>
    <row r="420" spans="1:10" s="14" customFormat="1" x14ac:dyDescent="0.2">
      <c r="A420" s="48"/>
      <c r="C420" s="3"/>
      <c r="D420" s="139"/>
      <c r="E420" s="139"/>
      <c r="F420" s="139"/>
      <c r="G420" s="158"/>
      <c r="H420" s="20"/>
      <c r="J420" s="110"/>
    </row>
    <row r="421" spans="1:10" s="14" customFormat="1" x14ac:dyDescent="0.2">
      <c r="A421" s="48"/>
      <c r="C421" s="3"/>
      <c r="D421" s="139"/>
      <c r="E421" s="139"/>
      <c r="F421" s="139"/>
      <c r="G421" s="158"/>
      <c r="H421" s="20"/>
      <c r="J421" s="110"/>
    </row>
    <row r="422" spans="1:10" s="14" customFormat="1" x14ac:dyDescent="0.2">
      <c r="A422" s="48"/>
      <c r="C422" s="3"/>
      <c r="D422" s="139"/>
      <c r="E422" s="139"/>
      <c r="F422" s="139"/>
      <c r="G422" s="158"/>
      <c r="H422" s="20"/>
      <c r="J422" s="110"/>
    </row>
    <row r="423" spans="1:10" s="14" customFormat="1" x14ac:dyDescent="0.2">
      <c r="A423" s="48"/>
      <c r="C423" s="3"/>
      <c r="D423" s="139"/>
      <c r="E423" s="139"/>
      <c r="F423" s="139"/>
      <c r="G423" s="158"/>
      <c r="H423" s="20"/>
      <c r="J423" s="110"/>
    </row>
    <row r="424" spans="1:10" s="14" customFormat="1" x14ac:dyDescent="0.2">
      <c r="A424" s="48"/>
      <c r="C424" s="3"/>
      <c r="D424" s="139"/>
      <c r="E424" s="139"/>
      <c r="F424" s="139"/>
      <c r="G424" s="158"/>
      <c r="H424" s="20"/>
      <c r="J424" s="110"/>
    </row>
    <row r="425" spans="1:10" s="14" customFormat="1" x14ac:dyDescent="0.2">
      <c r="A425" s="48"/>
      <c r="C425" s="3"/>
      <c r="D425" s="139"/>
      <c r="E425" s="139"/>
      <c r="F425" s="139"/>
      <c r="G425" s="158"/>
      <c r="H425" s="20"/>
      <c r="J425" s="110"/>
    </row>
    <row r="426" spans="1:10" s="14" customFormat="1" x14ac:dyDescent="0.2">
      <c r="A426" s="48"/>
      <c r="C426" s="3"/>
      <c r="D426" s="139"/>
      <c r="E426" s="139"/>
      <c r="F426" s="139"/>
      <c r="G426" s="158"/>
      <c r="H426" s="20"/>
      <c r="J426" s="110"/>
    </row>
    <row r="427" spans="1:10" s="14" customFormat="1" x14ac:dyDescent="0.2">
      <c r="A427" s="48"/>
      <c r="C427" s="3"/>
      <c r="D427" s="139"/>
      <c r="E427" s="139"/>
      <c r="F427" s="139"/>
      <c r="G427" s="158"/>
      <c r="H427" s="20"/>
      <c r="J427" s="110"/>
    </row>
    <row r="428" spans="1:10" s="14" customFormat="1" x14ac:dyDescent="0.2">
      <c r="A428" s="48"/>
      <c r="C428" s="3"/>
      <c r="D428" s="139"/>
      <c r="E428" s="139"/>
      <c r="F428" s="139"/>
      <c r="G428" s="158"/>
      <c r="H428" s="20"/>
      <c r="J428" s="110"/>
    </row>
    <row r="429" spans="1:10" s="14" customFormat="1" x14ac:dyDescent="0.2">
      <c r="A429" s="48"/>
      <c r="C429" s="3"/>
      <c r="D429" s="139"/>
      <c r="E429" s="139"/>
      <c r="F429" s="139"/>
      <c r="G429" s="158"/>
      <c r="H429" s="20"/>
      <c r="J429" s="110"/>
    </row>
    <row r="430" spans="1:10" s="14" customFormat="1" x14ac:dyDescent="0.2">
      <c r="A430" s="48"/>
      <c r="C430" s="3"/>
      <c r="D430" s="139"/>
      <c r="E430" s="139"/>
      <c r="F430" s="139"/>
      <c r="G430" s="158"/>
      <c r="H430" s="20"/>
      <c r="J430" s="110"/>
    </row>
    <row r="431" spans="1:10" s="14" customFormat="1" x14ac:dyDescent="0.2">
      <c r="A431" s="48"/>
      <c r="C431" s="3"/>
      <c r="D431" s="139"/>
      <c r="E431" s="139"/>
      <c r="F431" s="139"/>
      <c r="G431" s="158"/>
      <c r="H431" s="20"/>
      <c r="J431" s="110"/>
    </row>
    <row r="432" spans="1:10" s="14" customFormat="1" x14ac:dyDescent="0.2">
      <c r="A432" s="48"/>
      <c r="C432" s="3"/>
      <c r="D432" s="139"/>
      <c r="E432" s="139"/>
      <c r="F432" s="139"/>
      <c r="G432" s="158"/>
      <c r="H432" s="20"/>
      <c r="J432" s="110"/>
    </row>
    <row r="433" spans="1:10" s="14" customFormat="1" x14ac:dyDescent="0.2">
      <c r="A433" s="48"/>
      <c r="C433" s="3"/>
      <c r="D433" s="139"/>
      <c r="E433" s="139"/>
      <c r="F433" s="139"/>
      <c r="G433" s="158"/>
      <c r="H433" s="20"/>
      <c r="J433" s="110"/>
    </row>
    <row r="434" spans="1:10" s="14" customFormat="1" x14ac:dyDescent="0.2">
      <c r="A434" s="48"/>
      <c r="C434" s="3"/>
      <c r="D434" s="139"/>
      <c r="E434" s="139"/>
      <c r="F434" s="139"/>
      <c r="G434" s="158"/>
      <c r="H434" s="20"/>
      <c r="J434" s="110"/>
    </row>
    <row r="435" spans="1:10" s="14" customFormat="1" x14ac:dyDescent="0.2">
      <c r="A435" s="48"/>
      <c r="C435" s="3"/>
      <c r="D435" s="139"/>
      <c r="E435" s="139"/>
      <c r="F435" s="139"/>
      <c r="G435" s="158"/>
      <c r="H435" s="20"/>
      <c r="J435" s="110"/>
    </row>
    <row r="436" spans="1:10" s="14" customFormat="1" x14ac:dyDescent="0.2">
      <c r="A436" s="48"/>
      <c r="C436" s="3"/>
      <c r="D436" s="139"/>
      <c r="E436" s="139"/>
      <c r="F436" s="139"/>
      <c r="G436" s="158"/>
      <c r="H436" s="20"/>
      <c r="J436" s="110"/>
    </row>
    <row r="437" spans="1:10" s="14" customFormat="1" x14ac:dyDescent="0.2">
      <c r="A437" s="48"/>
      <c r="C437" s="3"/>
      <c r="D437" s="139"/>
      <c r="E437" s="139"/>
      <c r="F437" s="139"/>
      <c r="G437" s="158"/>
      <c r="H437" s="20"/>
      <c r="J437" s="110"/>
    </row>
    <row r="438" spans="1:10" s="14" customFormat="1" x14ac:dyDescent="0.2">
      <c r="A438" s="48"/>
      <c r="C438" s="3"/>
      <c r="D438" s="139"/>
      <c r="E438" s="139"/>
      <c r="F438" s="139"/>
      <c r="G438" s="158"/>
      <c r="H438" s="20"/>
      <c r="J438" s="110"/>
    </row>
    <row r="439" spans="1:10" s="14" customFormat="1" x14ac:dyDescent="0.2">
      <c r="A439" s="48"/>
      <c r="C439" s="3"/>
      <c r="D439" s="139"/>
      <c r="E439" s="139"/>
      <c r="F439" s="139"/>
      <c r="G439" s="158"/>
      <c r="H439" s="20"/>
      <c r="J439" s="110"/>
    </row>
    <row r="440" spans="1:10" s="14" customFormat="1" x14ac:dyDescent="0.2">
      <c r="A440" s="48"/>
      <c r="C440" s="3"/>
      <c r="D440" s="139"/>
      <c r="E440" s="139"/>
      <c r="F440" s="139"/>
      <c r="G440" s="158"/>
      <c r="H440" s="20"/>
      <c r="J440" s="110"/>
    </row>
    <row r="441" spans="1:10" s="14" customFormat="1" x14ac:dyDescent="0.2">
      <c r="A441" s="48"/>
      <c r="C441" s="3"/>
      <c r="D441" s="139"/>
      <c r="E441" s="139"/>
      <c r="F441" s="139"/>
      <c r="G441" s="158"/>
      <c r="H441" s="20"/>
      <c r="J441" s="110"/>
    </row>
    <row r="442" spans="1:10" s="14" customFormat="1" x14ac:dyDescent="0.2">
      <c r="A442" s="48"/>
      <c r="C442" s="3"/>
      <c r="D442" s="139"/>
      <c r="E442" s="139"/>
      <c r="F442" s="139"/>
      <c r="G442" s="158"/>
      <c r="H442" s="20"/>
      <c r="J442" s="110"/>
    </row>
    <row r="443" spans="1:10" s="14" customFormat="1" x14ac:dyDescent="0.2">
      <c r="A443" s="48"/>
      <c r="C443" s="3"/>
      <c r="D443" s="139"/>
      <c r="E443" s="139"/>
      <c r="F443" s="139"/>
      <c r="G443" s="158"/>
      <c r="H443" s="20"/>
      <c r="J443" s="110"/>
    </row>
    <row r="444" spans="1:10" s="14" customFormat="1" x14ac:dyDescent="0.2">
      <c r="A444" s="48"/>
      <c r="C444" s="3"/>
      <c r="D444" s="139"/>
      <c r="E444" s="139"/>
      <c r="F444" s="139"/>
      <c r="G444" s="158"/>
      <c r="H444" s="20"/>
      <c r="J444" s="110"/>
    </row>
    <row r="445" spans="1:10" s="14" customFormat="1" x14ac:dyDescent="0.2">
      <c r="A445" s="48"/>
      <c r="C445" s="3"/>
      <c r="D445" s="139"/>
      <c r="E445" s="139"/>
      <c r="F445" s="139"/>
      <c r="G445" s="158"/>
      <c r="H445" s="20"/>
      <c r="J445" s="110"/>
    </row>
    <row r="446" spans="1:10" s="14" customFormat="1" x14ac:dyDescent="0.2">
      <c r="A446" s="48"/>
      <c r="C446" s="3"/>
      <c r="D446" s="139"/>
      <c r="E446" s="139"/>
      <c r="F446" s="139"/>
      <c r="G446" s="158"/>
      <c r="H446" s="20"/>
      <c r="J446" s="110"/>
    </row>
    <row r="447" spans="1:10" s="14" customFormat="1" x14ac:dyDescent="0.2">
      <c r="A447" s="48"/>
      <c r="C447" s="3"/>
      <c r="D447" s="139"/>
      <c r="E447" s="139"/>
      <c r="F447" s="139"/>
      <c r="G447" s="158"/>
      <c r="H447" s="20"/>
      <c r="J447" s="110"/>
    </row>
    <row r="448" spans="1:10" s="14" customFormat="1" x14ac:dyDescent="0.2">
      <c r="A448" s="48"/>
      <c r="C448" s="3"/>
      <c r="D448" s="139"/>
      <c r="E448" s="139"/>
      <c r="F448" s="139"/>
      <c r="G448" s="158"/>
      <c r="H448" s="20"/>
      <c r="J448" s="110"/>
    </row>
    <row r="449" spans="1:10" s="14" customFormat="1" x14ac:dyDescent="0.2">
      <c r="A449" s="48"/>
      <c r="C449" s="3"/>
      <c r="D449" s="139"/>
      <c r="E449" s="139"/>
      <c r="F449" s="139"/>
      <c r="G449" s="158"/>
      <c r="H449" s="20"/>
      <c r="J449" s="110"/>
    </row>
    <row r="450" spans="1:10" s="14" customFormat="1" x14ac:dyDescent="0.2">
      <c r="A450" s="48"/>
      <c r="C450" s="3"/>
      <c r="D450" s="139"/>
      <c r="E450" s="139"/>
      <c r="F450" s="139"/>
      <c r="G450" s="158"/>
      <c r="H450" s="20"/>
      <c r="J450" s="110"/>
    </row>
    <row r="451" spans="1:10" s="14" customFormat="1" x14ac:dyDescent="0.2">
      <c r="A451" s="48"/>
      <c r="C451" s="3"/>
      <c r="D451" s="139"/>
      <c r="E451" s="139"/>
      <c r="F451" s="139"/>
      <c r="G451" s="158"/>
      <c r="H451" s="20"/>
      <c r="J451" s="110"/>
    </row>
    <row r="452" spans="1:10" s="14" customFormat="1" x14ac:dyDescent="0.2">
      <c r="A452" s="48"/>
      <c r="C452" s="3"/>
      <c r="D452" s="139"/>
      <c r="E452" s="139"/>
      <c r="F452" s="139"/>
      <c r="G452" s="158"/>
      <c r="H452" s="20"/>
      <c r="J452" s="110"/>
    </row>
    <row r="453" spans="1:10" s="14" customFormat="1" x14ac:dyDescent="0.2">
      <c r="A453" s="48"/>
      <c r="C453" s="3"/>
      <c r="D453" s="139"/>
      <c r="E453" s="139"/>
      <c r="F453" s="139"/>
      <c r="G453" s="158"/>
      <c r="H453" s="20"/>
      <c r="J453" s="110"/>
    </row>
    <row r="454" spans="1:10" s="14" customFormat="1" x14ac:dyDescent="0.2">
      <c r="A454" s="48"/>
      <c r="C454" s="3"/>
      <c r="D454" s="139"/>
      <c r="E454" s="139"/>
      <c r="F454" s="139"/>
      <c r="G454" s="158"/>
      <c r="H454" s="20"/>
      <c r="J454" s="110"/>
    </row>
    <row r="455" spans="1:10" s="14" customFormat="1" x14ac:dyDescent="0.2">
      <c r="A455" s="48"/>
      <c r="C455" s="3"/>
      <c r="D455" s="139"/>
      <c r="E455" s="139"/>
      <c r="F455" s="139"/>
      <c r="G455" s="158"/>
      <c r="H455" s="20"/>
      <c r="J455" s="110"/>
    </row>
    <row r="456" spans="1:10" s="14" customFormat="1" x14ac:dyDescent="0.2">
      <c r="A456" s="48"/>
      <c r="C456" s="3"/>
      <c r="D456" s="139"/>
      <c r="E456" s="139"/>
      <c r="F456" s="139"/>
      <c r="G456" s="158"/>
      <c r="H456" s="20"/>
      <c r="J456" s="110"/>
    </row>
    <row r="457" spans="1:10" s="14" customFormat="1" x14ac:dyDescent="0.2">
      <c r="A457" s="48"/>
      <c r="C457" s="3"/>
      <c r="D457" s="139"/>
      <c r="E457" s="139"/>
      <c r="F457" s="139"/>
      <c r="G457" s="158"/>
      <c r="H457" s="20"/>
      <c r="J457" s="110"/>
    </row>
    <row r="458" spans="1:10" s="14" customFormat="1" x14ac:dyDescent="0.2">
      <c r="A458" s="48"/>
      <c r="C458" s="3"/>
      <c r="D458" s="139"/>
      <c r="E458" s="139"/>
      <c r="F458" s="139"/>
      <c r="G458" s="158"/>
      <c r="H458" s="20"/>
      <c r="J458" s="110"/>
    </row>
    <row r="459" spans="1:10" s="14" customFormat="1" x14ac:dyDescent="0.2">
      <c r="A459" s="48"/>
      <c r="C459" s="3"/>
      <c r="D459" s="139"/>
      <c r="E459" s="139"/>
      <c r="F459" s="139"/>
      <c r="G459" s="158"/>
      <c r="H459" s="20"/>
      <c r="J459" s="110"/>
    </row>
    <row r="460" spans="1:10" s="14" customFormat="1" x14ac:dyDescent="0.2">
      <c r="A460" s="48"/>
      <c r="C460" s="3"/>
      <c r="D460" s="139"/>
      <c r="E460" s="139"/>
      <c r="F460" s="139"/>
      <c r="G460" s="158"/>
      <c r="H460" s="20"/>
      <c r="J460" s="110"/>
    </row>
    <row r="461" spans="1:10" s="14" customFormat="1" x14ac:dyDescent="0.2">
      <c r="A461" s="48"/>
      <c r="C461" s="3"/>
      <c r="D461" s="139"/>
      <c r="E461" s="139"/>
      <c r="F461" s="139"/>
      <c r="G461" s="158"/>
      <c r="H461" s="20"/>
      <c r="J461" s="110"/>
    </row>
    <row r="462" spans="1:10" s="14" customFormat="1" x14ac:dyDescent="0.2">
      <c r="A462" s="48"/>
      <c r="C462" s="3"/>
      <c r="D462" s="139"/>
      <c r="E462" s="139"/>
      <c r="F462" s="139"/>
      <c r="G462" s="158"/>
      <c r="H462" s="20"/>
      <c r="J462" s="110"/>
    </row>
    <row r="463" spans="1:10" s="14" customFormat="1" x14ac:dyDescent="0.2">
      <c r="A463" s="48"/>
      <c r="C463" s="3"/>
      <c r="D463" s="139"/>
      <c r="E463" s="139"/>
      <c r="F463" s="139"/>
      <c r="G463" s="158"/>
      <c r="H463" s="20"/>
      <c r="J463" s="110"/>
    </row>
    <row r="464" spans="1:10" s="14" customFormat="1" x14ac:dyDescent="0.2">
      <c r="A464" s="48"/>
      <c r="C464" s="3"/>
      <c r="D464" s="139"/>
      <c r="E464" s="139"/>
      <c r="F464" s="139"/>
      <c r="G464" s="158"/>
      <c r="H464" s="20"/>
      <c r="J464" s="110"/>
    </row>
    <row r="465" spans="1:10" s="14" customFormat="1" x14ac:dyDescent="0.2">
      <c r="A465" s="48"/>
      <c r="C465" s="3"/>
      <c r="D465" s="139"/>
      <c r="E465" s="139"/>
      <c r="F465" s="139"/>
      <c r="G465" s="158"/>
      <c r="H465" s="20"/>
      <c r="J465" s="110"/>
    </row>
    <row r="466" spans="1:10" s="14" customFormat="1" x14ac:dyDescent="0.2">
      <c r="A466" s="48"/>
      <c r="C466" s="3"/>
      <c r="D466" s="139"/>
      <c r="E466" s="139"/>
      <c r="F466" s="139"/>
      <c r="G466" s="158"/>
      <c r="H466" s="20"/>
      <c r="J466" s="110"/>
    </row>
    <row r="467" spans="1:10" s="14" customFormat="1" x14ac:dyDescent="0.2">
      <c r="A467" s="48"/>
      <c r="C467" s="3"/>
      <c r="D467" s="139"/>
      <c r="E467" s="139"/>
      <c r="F467" s="139"/>
      <c r="G467" s="158"/>
      <c r="H467" s="20"/>
      <c r="J467" s="110"/>
    </row>
    <row r="468" spans="1:10" s="14" customFormat="1" x14ac:dyDescent="0.2">
      <c r="A468" s="48"/>
      <c r="C468" s="3"/>
      <c r="D468" s="139"/>
      <c r="E468" s="139"/>
      <c r="F468" s="139"/>
      <c r="G468" s="158"/>
      <c r="H468" s="20"/>
      <c r="J468" s="110"/>
    </row>
    <row r="469" spans="1:10" s="14" customFormat="1" x14ac:dyDescent="0.2">
      <c r="A469" s="48"/>
      <c r="C469" s="3"/>
      <c r="D469" s="139"/>
      <c r="E469" s="139"/>
      <c r="F469" s="139"/>
      <c r="G469" s="158"/>
      <c r="H469" s="20"/>
      <c r="J469" s="110"/>
    </row>
    <row r="470" spans="1:10" s="14" customFormat="1" x14ac:dyDescent="0.2">
      <c r="A470" s="48"/>
      <c r="C470" s="3"/>
      <c r="D470" s="139"/>
      <c r="E470" s="139"/>
      <c r="F470" s="139"/>
      <c r="G470" s="158"/>
      <c r="H470" s="20"/>
      <c r="J470" s="110"/>
    </row>
    <row r="471" spans="1:10" s="14" customFormat="1" x14ac:dyDescent="0.2">
      <c r="A471" s="48"/>
      <c r="C471" s="3"/>
      <c r="D471" s="139"/>
      <c r="E471" s="139"/>
      <c r="F471" s="139"/>
      <c r="G471" s="158"/>
      <c r="H471" s="20"/>
      <c r="J471" s="110"/>
    </row>
    <row r="472" spans="1:10" s="14" customFormat="1" x14ac:dyDescent="0.2">
      <c r="A472" s="48"/>
      <c r="C472" s="3"/>
      <c r="D472" s="139"/>
      <c r="E472" s="139"/>
      <c r="F472" s="139"/>
      <c r="G472" s="158"/>
      <c r="H472" s="20"/>
      <c r="J472" s="110"/>
    </row>
    <row r="473" spans="1:10" s="14" customFormat="1" x14ac:dyDescent="0.2">
      <c r="A473" s="48"/>
      <c r="C473" s="3"/>
      <c r="D473" s="139"/>
      <c r="E473" s="139"/>
      <c r="F473" s="139"/>
      <c r="G473" s="158"/>
      <c r="H473" s="20"/>
      <c r="J473" s="110"/>
    </row>
    <row r="474" spans="1:10" s="14" customFormat="1" x14ac:dyDescent="0.2">
      <c r="A474" s="48"/>
      <c r="C474" s="3"/>
      <c r="D474" s="139"/>
      <c r="E474" s="139"/>
      <c r="F474" s="139"/>
      <c r="G474" s="158"/>
      <c r="H474" s="20"/>
      <c r="J474" s="110"/>
    </row>
    <row r="475" spans="1:10" s="14" customFormat="1" x14ac:dyDescent="0.2">
      <c r="A475" s="48"/>
      <c r="C475" s="3"/>
      <c r="D475" s="139"/>
      <c r="E475" s="139"/>
      <c r="F475" s="139"/>
      <c r="G475" s="158"/>
      <c r="H475" s="20"/>
      <c r="J475" s="110"/>
    </row>
    <row r="476" spans="1:10" s="14" customFormat="1" x14ac:dyDescent="0.2">
      <c r="A476" s="48"/>
      <c r="C476" s="3"/>
      <c r="D476" s="139"/>
      <c r="E476" s="139"/>
      <c r="F476" s="139"/>
      <c r="G476" s="158"/>
      <c r="H476" s="20"/>
      <c r="J476" s="110"/>
    </row>
    <row r="477" spans="1:10" s="14" customFormat="1" x14ac:dyDescent="0.2">
      <c r="A477" s="48"/>
      <c r="C477" s="3"/>
      <c r="D477" s="139"/>
      <c r="E477" s="139"/>
      <c r="F477" s="139"/>
      <c r="G477" s="158"/>
      <c r="H477" s="20"/>
      <c r="J477" s="110"/>
    </row>
    <row r="478" spans="1:10" s="14" customFormat="1" x14ac:dyDescent="0.2">
      <c r="A478" s="48"/>
      <c r="C478" s="3"/>
      <c r="D478" s="139"/>
      <c r="E478" s="139"/>
      <c r="F478" s="139"/>
      <c r="G478" s="158"/>
      <c r="H478" s="20"/>
      <c r="J478" s="110"/>
    </row>
    <row r="479" spans="1:10" s="14" customFormat="1" x14ac:dyDescent="0.2">
      <c r="A479" s="48"/>
      <c r="C479" s="3"/>
      <c r="D479" s="139"/>
      <c r="E479" s="139"/>
      <c r="F479" s="139"/>
      <c r="G479" s="158"/>
      <c r="H479" s="20"/>
      <c r="J479" s="110"/>
    </row>
    <row r="480" spans="1:10" s="14" customFormat="1" x14ac:dyDescent="0.2">
      <c r="A480" s="48"/>
      <c r="C480" s="3"/>
      <c r="D480" s="139"/>
      <c r="E480" s="139"/>
      <c r="F480" s="139"/>
      <c r="G480" s="158"/>
      <c r="H480" s="20"/>
      <c r="J480" s="110"/>
    </row>
    <row r="481" spans="1:10" s="14" customFormat="1" x14ac:dyDescent="0.2">
      <c r="A481" s="48"/>
      <c r="C481" s="3"/>
      <c r="D481" s="139"/>
      <c r="E481" s="139"/>
      <c r="F481" s="139"/>
      <c r="G481" s="158"/>
      <c r="H481" s="20"/>
      <c r="J481" s="110"/>
    </row>
    <row r="482" spans="1:10" s="14" customFormat="1" x14ac:dyDescent="0.2">
      <c r="A482" s="48"/>
      <c r="C482" s="3"/>
      <c r="D482" s="139"/>
      <c r="E482" s="139"/>
      <c r="F482" s="139"/>
      <c r="G482" s="158"/>
      <c r="H482" s="20"/>
      <c r="J482" s="110"/>
    </row>
    <row r="483" spans="1:10" s="14" customFormat="1" x14ac:dyDescent="0.2">
      <c r="A483" s="48"/>
      <c r="C483" s="3"/>
      <c r="D483" s="139"/>
      <c r="E483" s="139"/>
      <c r="F483" s="139"/>
      <c r="G483" s="158"/>
      <c r="H483" s="20"/>
      <c r="J483" s="110"/>
    </row>
    <row r="484" spans="1:10" s="14" customFormat="1" x14ac:dyDescent="0.2">
      <c r="A484" s="48"/>
      <c r="C484" s="3"/>
      <c r="D484" s="139"/>
      <c r="E484" s="139"/>
      <c r="F484" s="139"/>
      <c r="G484" s="158"/>
      <c r="H484" s="20"/>
      <c r="J484" s="110"/>
    </row>
    <row r="485" spans="1:10" s="14" customFormat="1" x14ac:dyDescent="0.2">
      <c r="A485" s="48"/>
      <c r="C485" s="3"/>
      <c r="D485" s="139"/>
      <c r="E485" s="139"/>
      <c r="F485" s="139"/>
      <c r="G485" s="158"/>
      <c r="H485" s="20"/>
      <c r="J485" s="110"/>
    </row>
    <row r="486" spans="1:10" s="14" customFormat="1" x14ac:dyDescent="0.2">
      <c r="A486" s="48"/>
      <c r="C486" s="3"/>
      <c r="D486" s="139"/>
      <c r="E486" s="139"/>
      <c r="F486" s="139"/>
      <c r="G486" s="158"/>
      <c r="H486" s="20"/>
      <c r="J486" s="110"/>
    </row>
    <row r="487" spans="1:10" s="14" customFormat="1" x14ac:dyDescent="0.2">
      <c r="A487" s="48"/>
      <c r="C487" s="3"/>
      <c r="D487" s="139"/>
      <c r="E487" s="139"/>
      <c r="F487" s="139"/>
      <c r="G487" s="158"/>
      <c r="H487" s="20"/>
      <c r="J487" s="110"/>
    </row>
    <row r="488" spans="1:10" s="14" customFormat="1" x14ac:dyDescent="0.2">
      <c r="A488" s="48"/>
      <c r="C488" s="3"/>
      <c r="D488" s="139"/>
      <c r="E488" s="139"/>
      <c r="F488" s="139"/>
      <c r="G488" s="158"/>
      <c r="H488" s="20"/>
      <c r="J488" s="110"/>
    </row>
    <row r="489" spans="1:10" s="14" customFormat="1" x14ac:dyDescent="0.2">
      <c r="A489" s="48"/>
      <c r="C489" s="3"/>
      <c r="D489" s="139"/>
      <c r="E489" s="139"/>
      <c r="F489" s="139"/>
      <c r="G489" s="158"/>
      <c r="H489" s="20"/>
      <c r="J489" s="110"/>
    </row>
    <row r="490" spans="1:10" s="14" customFormat="1" x14ac:dyDescent="0.2">
      <c r="A490" s="48"/>
      <c r="C490" s="3"/>
      <c r="D490" s="139"/>
      <c r="E490" s="139"/>
      <c r="F490" s="139"/>
      <c r="G490" s="158"/>
      <c r="H490" s="20"/>
      <c r="J490" s="110"/>
    </row>
    <row r="491" spans="1:10" s="14" customFormat="1" x14ac:dyDescent="0.2">
      <c r="A491" s="48"/>
      <c r="C491" s="3"/>
      <c r="D491" s="139"/>
      <c r="E491" s="139"/>
      <c r="F491" s="139"/>
      <c r="G491" s="158"/>
      <c r="H491" s="20"/>
      <c r="J491" s="110"/>
    </row>
    <row r="492" spans="1:10" s="14" customFormat="1" x14ac:dyDescent="0.2">
      <c r="A492" s="48"/>
      <c r="C492" s="3"/>
      <c r="D492" s="139"/>
      <c r="E492" s="139"/>
      <c r="F492" s="139"/>
      <c r="G492" s="158"/>
      <c r="H492" s="20"/>
      <c r="J492" s="110"/>
    </row>
    <row r="493" spans="1:10" s="14" customFormat="1" x14ac:dyDescent="0.2">
      <c r="A493" s="48"/>
      <c r="C493" s="3"/>
      <c r="D493" s="139"/>
      <c r="E493" s="139"/>
      <c r="F493" s="139"/>
      <c r="G493" s="158"/>
      <c r="H493" s="20"/>
      <c r="J493" s="110"/>
    </row>
    <row r="494" spans="1:10" s="14" customFormat="1" x14ac:dyDescent="0.2">
      <c r="A494" s="48"/>
      <c r="C494" s="3"/>
      <c r="D494" s="139"/>
      <c r="E494" s="139"/>
      <c r="F494" s="139"/>
      <c r="G494" s="158"/>
      <c r="H494" s="20"/>
      <c r="J494" s="110"/>
    </row>
    <row r="495" spans="1:10" s="14" customFormat="1" x14ac:dyDescent="0.2">
      <c r="A495" s="48"/>
      <c r="C495" s="3"/>
      <c r="D495" s="139"/>
      <c r="E495" s="139"/>
      <c r="F495" s="139"/>
      <c r="G495" s="158"/>
      <c r="H495" s="20"/>
      <c r="J495" s="110"/>
    </row>
    <row r="496" spans="1:10" s="14" customFormat="1" x14ac:dyDescent="0.2">
      <c r="A496" s="48"/>
      <c r="C496" s="3"/>
      <c r="D496" s="139"/>
      <c r="E496" s="139"/>
      <c r="F496" s="139"/>
      <c r="G496" s="158"/>
      <c r="H496" s="20"/>
      <c r="J496" s="110"/>
    </row>
    <row r="497" spans="1:10" s="14" customFormat="1" x14ac:dyDescent="0.2">
      <c r="A497" s="48"/>
      <c r="C497" s="3"/>
      <c r="D497" s="139"/>
      <c r="E497" s="139"/>
      <c r="F497" s="139"/>
      <c r="G497" s="158"/>
      <c r="H497" s="20"/>
      <c r="J497" s="110"/>
    </row>
    <row r="498" spans="1:10" s="14" customFormat="1" x14ac:dyDescent="0.2">
      <c r="A498" s="48"/>
      <c r="C498" s="3"/>
      <c r="D498" s="139"/>
      <c r="E498" s="139"/>
      <c r="F498" s="139"/>
      <c r="G498" s="158"/>
      <c r="H498" s="20"/>
      <c r="J498" s="110"/>
    </row>
    <row r="499" spans="1:10" s="14" customFormat="1" x14ac:dyDescent="0.2">
      <c r="A499" s="48"/>
      <c r="C499" s="3"/>
      <c r="D499" s="139"/>
      <c r="E499" s="139"/>
      <c r="F499" s="139"/>
      <c r="G499" s="158"/>
      <c r="H499" s="20"/>
      <c r="J499" s="110"/>
    </row>
    <row r="500" spans="1:10" s="14" customFormat="1" x14ac:dyDescent="0.2">
      <c r="A500" s="48"/>
      <c r="C500" s="3"/>
      <c r="D500" s="139"/>
      <c r="E500" s="139"/>
      <c r="F500" s="139"/>
      <c r="G500" s="158"/>
      <c r="H500" s="20"/>
      <c r="J500" s="110"/>
    </row>
    <row r="501" spans="1:10" s="14" customFormat="1" x14ac:dyDescent="0.2">
      <c r="A501" s="48"/>
      <c r="C501" s="3"/>
      <c r="D501" s="139"/>
      <c r="E501" s="139"/>
      <c r="F501" s="139"/>
      <c r="G501" s="158"/>
      <c r="H501" s="20"/>
      <c r="J501" s="110"/>
    </row>
    <row r="502" spans="1:10" s="14" customFormat="1" x14ac:dyDescent="0.2">
      <c r="A502" s="48"/>
      <c r="C502" s="3"/>
      <c r="D502" s="139"/>
      <c r="E502" s="139"/>
      <c r="F502" s="139"/>
      <c r="G502" s="158"/>
      <c r="H502" s="20"/>
      <c r="J502" s="110"/>
    </row>
    <row r="503" spans="1:10" s="14" customFormat="1" x14ac:dyDescent="0.2">
      <c r="A503" s="48"/>
      <c r="C503" s="3"/>
      <c r="D503" s="139"/>
      <c r="E503" s="139"/>
      <c r="F503" s="139"/>
      <c r="G503" s="158"/>
      <c r="H503" s="20"/>
      <c r="J503" s="110"/>
    </row>
    <row r="504" spans="1:10" s="14" customFormat="1" x14ac:dyDescent="0.2">
      <c r="A504" s="48"/>
      <c r="C504" s="3"/>
      <c r="D504" s="139"/>
      <c r="E504" s="139"/>
      <c r="F504" s="139"/>
      <c r="G504" s="158"/>
      <c r="H504" s="20"/>
      <c r="J504" s="110"/>
    </row>
    <row r="505" spans="1:10" s="14" customFormat="1" x14ac:dyDescent="0.2">
      <c r="A505" s="48"/>
      <c r="C505" s="3"/>
      <c r="D505" s="139"/>
      <c r="E505" s="139"/>
      <c r="F505" s="139"/>
      <c r="G505" s="158"/>
      <c r="H505" s="20"/>
      <c r="J505" s="110"/>
    </row>
    <row r="506" spans="1:10" s="14" customFormat="1" x14ac:dyDescent="0.2">
      <c r="A506" s="48"/>
      <c r="C506" s="3"/>
      <c r="D506" s="139"/>
      <c r="E506" s="139"/>
      <c r="F506" s="139"/>
      <c r="G506" s="158"/>
      <c r="H506" s="20"/>
      <c r="J506" s="110"/>
    </row>
    <row r="507" spans="1:10" s="14" customFormat="1" x14ac:dyDescent="0.2">
      <c r="A507" s="48"/>
      <c r="C507" s="3"/>
      <c r="D507" s="139"/>
      <c r="E507" s="139"/>
      <c r="F507" s="139"/>
      <c r="G507" s="158"/>
      <c r="H507" s="20"/>
      <c r="J507" s="110"/>
    </row>
    <row r="508" spans="1:10" s="14" customFormat="1" x14ac:dyDescent="0.2">
      <c r="A508" s="48"/>
      <c r="C508" s="3"/>
      <c r="D508" s="139"/>
      <c r="E508" s="139"/>
      <c r="F508" s="139"/>
      <c r="G508" s="158"/>
      <c r="H508" s="20"/>
      <c r="J508" s="110"/>
    </row>
    <row r="509" spans="1:10" s="14" customFormat="1" x14ac:dyDescent="0.2">
      <c r="A509" s="48"/>
      <c r="C509" s="3"/>
      <c r="D509" s="139"/>
      <c r="E509" s="139"/>
      <c r="F509" s="139"/>
      <c r="G509" s="158"/>
      <c r="H509" s="20"/>
      <c r="J509" s="110"/>
    </row>
    <row r="510" spans="1:10" s="14" customFormat="1" x14ac:dyDescent="0.2">
      <c r="A510" s="48"/>
      <c r="C510" s="3"/>
      <c r="D510" s="139"/>
      <c r="E510" s="139"/>
      <c r="F510" s="139"/>
      <c r="G510" s="158"/>
      <c r="H510" s="20"/>
      <c r="J510" s="110"/>
    </row>
    <row r="511" spans="1:10" s="14" customFormat="1" x14ac:dyDescent="0.2">
      <c r="A511" s="48"/>
      <c r="C511" s="3"/>
      <c r="D511" s="139"/>
      <c r="E511" s="139"/>
      <c r="F511" s="139"/>
      <c r="G511" s="158"/>
      <c r="H511" s="20"/>
      <c r="J511" s="110"/>
    </row>
    <row r="512" spans="1:10" s="14" customFormat="1" x14ac:dyDescent="0.2">
      <c r="A512" s="48"/>
      <c r="C512" s="3"/>
      <c r="D512" s="139"/>
      <c r="E512" s="139"/>
      <c r="F512" s="139"/>
      <c r="G512" s="158"/>
      <c r="H512" s="20"/>
      <c r="J512" s="110"/>
    </row>
    <row r="513" spans="1:10" s="14" customFormat="1" x14ac:dyDescent="0.2">
      <c r="A513" s="48"/>
      <c r="C513" s="3"/>
      <c r="D513" s="139"/>
      <c r="E513" s="139"/>
      <c r="F513" s="139"/>
      <c r="G513" s="158"/>
      <c r="H513" s="20"/>
      <c r="J513" s="110"/>
    </row>
    <row r="514" spans="1:10" s="14" customFormat="1" x14ac:dyDescent="0.2">
      <c r="A514" s="48"/>
      <c r="C514" s="3"/>
      <c r="D514" s="139"/>
      <c r="E514" s="139"/>
      <c r="F514" s="139"/>
      <c r="G514" s="158"/>
      <c r="H514" s="20"/>
      <c r="J514" s="110"/>
    </row>
    <row r="515" spans="1:10" s="14" customFormat="1" x14ac:dyDescent="0.2">
      <c r="A515" s="48"/>
      <c r="C515" s="3"/>
      <c r="D515" s="139"/>
      <c r="E515" s="139"/>
      <c r="F515" s="139"/>
      <c r="G515" s="158"/>
      <c r="H515" s="20"/>
      <c r="J515" s="110"/>
    </row>
    <row r="516" spans="1:10" s="14" customFormat="1" x14ac:dyDescent="0.2">
      <c r="A516" s="48"/>
      <c r="C516" s="3"/>
      <c r="D516" s="139"/>
      <c r="E516" s="139"/>
      <c r="F516" s="139"/>
      <c r="G516" s="158"/>
      <c r="H516" s="20"/>
      <c r="J516" s="110"/>
    </row>
    <row r="517" spans="1:10" s="14" customFormat="1" x14ac:dyDescent="0.2">
      <c r="A517" s="48"/>
      <c r="C517" s="3"/>
      <c r="D517" s="139"/>
      <c r="E517" s="139"/>
      <c r="F517" s="139"/>
      <c r="G517" s="158"/>
      <c r="H517" s="20"/>
      <c r="J517" s="110"/>
    </row>
    <row r="518" spans="1:10" s="14" customFormat="1" x14ac:dyDescent="0.2">
      <c r="A518" s="48"/>
      <c r="C518" s="3"/>
      <c r="D518" s="139"/>
      <c r="E518" s="139"/>
      <c r="F518" s="139"/>
      <c r="G518" s="158"/>
      <c r="H518" s="20"/>
      <c r="J518" s="110"/>
    </row>
    <row r="519" spans="1:10" s="14" customFormat="1" x14ac:dyDescent="0.2">
      <c r="A519" s="48"/>
      <c r="C519" s="3"/>
      <c r="D519" s="139"/>
      <c r="E519" s="139"/>
      <c r="F519" s="139"/>
      <c r="G519" s="158"/>
      <c r="H519" s="20"/>
      <c r="J519" s="110"/>
    </row>
    <row r="520" spans="1:10" s="14" customFormat="1" x14ac:dyDescent="0.2">
      <c r="A520" s="48"/>
      <c r="C520" s="3"/>
      <c r="D520" s="139"/>
      <c r="E520" s="139"/>
      <c r="F520" s="139"/>
      <c r="G520" s="158"/>
      <c r="H520" s="20"/>
      <c r="J520" s="110"/>
    </row>
    <row r="521" spans="1:10" s="14" customFormat="1" x14ac:dyDescent="0.2">
      <c r="A521" s="48"/>
      <c r="C521" s="3"/>
      <c r="D521" s="139"/>
      <c r="E521" s="139"/>
      <c r="F521" s="139"/>
      <c r="G521" s="158"/>
      <c r="H521" s="20"/>
      <c r="J521" s="110"/>
    </row>
    <row r="522" spans="1:10" s="14" customFormat="1" x14ac:dyDescent="0.2">
      <c r="A522" s="48"/>
      <c r="C522" s="3"/>
      <c r="D522" s="139"/>
      <c r="E522" s="139"/>
      <c r="F522" s="139"/>
      <c r="G522" s="158"/>
      <c r="H522" s="20"/>
      <c r="J522" s="110"/>
    </row>
    <row r="523" spans="1:10" s="14" customFormat="1" x14ac:dyDescent="0.2">
      <c r="A523" s="48"/>
      <c r="C523" s="3"/>
      <c r="D523" s="139"/>
      <c r="E523" s="139"/>
      <c r="F523" s="139"/>
      <c r="G523" s="158"/>
      <c r="H523" s="20"/>
      <c r="J523" s="110"/>
    </row>
    <row r="524" spans="1:10" s="14" customFormat="1" x14ac:dyDescent="0.2">
      <c r="A524" s="48"/>
      <c r="C524" s="3"/>
      <c r="D524" s="139"/>
      <c r="E524" s="139"/>
      <c r="F524" s="139"/>
      <c r="G524" s="158"/>
      <c r="H524" s="20"/>
      <c r="J524" s="110"/>
    </row>
    <row r="525" spans="1:10" s="14" customFormat="1" x14ac:dyDescent="0.2">
      <c r="A525" s="48"/>
      <c r="C525" s="3"/>
      <c r="D525" s="139"/>
      <c r="E525" s="139"/>
      <c r="F525" s="139"/>
      <c r="G525" s="158"/>
      <c r="H525" s="20"/>
      <c r="J525" s="110"/>
    </row>
    <row r="526" spans="1:10" s="14" customFormat="1" x14ac:dyDescent="0.2">
      <c r="A526" s="48"/>
      <c r="C526" s="3"/>
      <c r="D526" s="139"/>
      <c r="E526" s="139"/>
      <c r="F526" s="139"/>
      <c r="G526" s="158"/>
      <c r="H526" s="20"/>
      <c r="J526" s="110"/>
    </row>
    <row r="527" spans="1:10" s="14" customFormat="1" x14ac:dyDescent="0.2">
      <c r="A527" s="48"/>
      <c r="C527" s="3"/>
      <c r="D527" s="139"/>
      <c r="E527" s="139"/>
      <c r="F527" s="139"/>
      <c r="G527" s="158"/>
      <c r="H527" s="20"/>
      <c r="J527" s="110"/>
    </row>
    <row r="528" spans="1:10" s="14" customFormat="1" x14ac:dyDescent="0.2">
      <c r="A528" s="48"/>
      <c r="C528" s="3"/>
      <c r="D528" s="139"/>
      <c r="E528" s="139"/>
      <c r="F528" s="139"/>
      <c r="G528" s="158"/>
      <c r="H528" s="20"/>
      <c r="J528" s="110"/>
    </row>
    <row r="529" spans="1:10" s="14" customFormat="1" x14ac:dyDescent="0.2">
      <c r="A529" s="48"/>
      <c r="C529" s="3"/>
      <c r="D529" s="139"/>
      <c r="E529" s="139"/>
      <c r="F529" s="139"/>
      <c r="G529" s="158"/>
      <c r="H529" s="20"/>
      <c r="J529" s="110"/>
    </row>
    <row r="530" spans="1:10" s="14" customFormat="1" x14ac:dyDescent="0.2">
      <c r="A530" s="48"/>
      <c r="C530" s="3"/>
      <c r="D530" s="139"/>
      <c r="E530" s="139"/>
      <c r="F530" s="139"/>
      <c r="G530" s="158"/>
      <c r="H530" s="20"/>
      <c r="J530" s="110"/>
    </row>
    <row r="531" spans="1:10" s="14" customFormat="1" x14ac:dyDescent="0.2">
      <c r="A531" s="48"/>
      <c r="C531" s="3"/>
      <c r="D531" s="139"/>
      <c r="E531" s="139"/>
      <c r="F531" s="139"/>
      <c r="G531" s="158"/>
      <c r="H531" s="20"/>
      <c r="J531" s="110"/>
    </row>
    <row r="532" spans="1:10" s="14" customFormat="1" x14ac:dyDescent="0.2">
      <c r="A532" s="48"/>
      <c r="C532" s="3"/>
      <c r="D532" s="139"/>
      <c r="E532" s="139"/>
      <c r="F532" s="139"/>
      <c r="G532" s="158"/>
      <c r="H532" s="20"/>
      <c r="J532" s="110"/>
    </row>
    <row r="533" spans="1:10" s="14" customFormat="1" x14ac:dyDescent="0.2">
      <c r="A533" s="48"/>
      <c r="C533" s="3"/>
      <c r="D533" s="139"/>
      <c r="E533" s="139"/>
      <c r="F533" s="139"/>
      <c r="G533" s="158"/>
      <c r="H533" s="20"/>
      <c r="J533" s="110"/>
    </row>
    <row r="534" spans="1:10" s="14" customFormat="1" x14ac:dyDescent="0.2">
      <c r="A534" s="48"/>
      <c r="C534" s="3"/>
      <c r="D534" s="139"/>
      <c r="E534" s="139"/>
      <c r="F534" s="139"/>
      <c r="G534" s="158"/>
      <c r="H534" s="20"/>
      <c r="J534" s="110"/>
    </row>
    <row r="535" spans="1:10" s="14" customFormat="1" x14ac:dyDescent="0.2">
      <c r="A535" s="48"/>
      <c r="C535" s="3"/>
      <c r="D535" s="139"/>
      <c r="E535" s="139"/>
      <c r="F535" s="139"/>
      <c r="G535" s="158"/>
      <c r="H535" s="20"/>
      <c r="J535" s="110"/>
    </row>
    <row r="536" spans="1:10" s="14" customFormat="1" x14ac:dyDescent="0.2">
      <c r="A536" s="48"/>
      <c r="C536" s="3"/>
      <c r="D536" s="139"/>
      <c r="E536" s="139"/>
      <c r="F536" s="139"/>
      <c r="G536" s="158"/>
      <c r="H536" s="20"/>
      <c r="J536" s="110"/>
    </row>
    <row r="537" spans="1:10" s="14" customFormat="1" x14ac:dyDescent="0.2">
      <c r="A537" s="48"/>
      <c r="C537" s="3"/>
      <c r="D537" s="139"/>
      <c r="E537" s="139"/>
      <c r="F537" s="139"/>
      <c r="G537" s="158"/>
      <c r="H537" s="20"/>
      <c r="J537" s="110"/>
    </row>
    <row r="538" spans="1:10" s="14" customFormat="1" x14ac:dyDescent="0.2">
      <c r="A538" s="48"/>
      <c r="C538" s="3"/>
      <c r="D538" s="139"/>
      <c r="E538" s="139"/>
      <c r="F538" s="139"/>
      <c r="G538" s="158"/>
      <c r="H538" s="20"/>
      <c r="J538" s="110"/>
    </row>
    <row r="539" spans="1:10" s="14" customFormat="1" x14ac:dyDescent="0.2">
      <c r="A539" s="48"/>
      <c r="C539" s="3"/>
      <c r="D539" s="139"/>
      <c r="E539" s="139"/>
      <c r="F539" s="139"/>
      <c r="G539" s="158"/>
      <c r="H539" s="20"/>
      <c r="J539" s="110"/>
    </row>
    <row r="540" spans="1:10" s="14" customFormat="1" x14ac:dyDescent="0.2">
      <c r="A540" s="48"/>
      <c r="C540" s="3"/>
      <c r="D540" s="139"/>
      <c r="E540" s="139"/>
      <c r="F540" s="139"/>
      <c r="G540" s="158"/>
      <c r="H540" s="20"/>
      <c r="J540" s="110"/>
    </row>
    <row r="541" spans="1:10" s="14" customFormat="1" x14ac:dyDescent="0.2">
      <c r="A541" s="48"/>
      <c r="C541" s="3"/>
      <c r="D541" s="139"/>
      <c r="E541" s="139"/>
      <c r="F541" s="139"/>
      <c r="G541" s="158"/>
      <c r="H541" s="20"/>
      <c r="J541" s="110"/>
    </row>
    <row r="542" spans="1:10" s="14" customFormat="1" x14ac:dyDescent="0.2">
      <c r="A542" s="48"/>
      <c r="C542" s="3"/>
      <c r="D542" s="139"/>
      <c r="E542" s="139"/>
      <c r="F542" s="139"/>
      <c r="G542" s="158"/>
      <c r="H542" s="20"/>
      <c r="J542" s="110"/>
    </row>
    <row r="543" spans="1:10" s="14" customFormat="1" x14ac:dyDescent="0.2">
      <c r="A543" s="48"/>
      <c r="C543" s="3"/>
      <c r="D543" s="139"/>
      <c r="E543" s="139"/>
      <c r="F543" s="139"/>
      <c r="G543" s="158"/>
      <c r="H543" s="20"/>
      <c r="J543" s="110"/>
    </row>
    <row r="544" spans="1:10" s="14" customFormat="1" x14ac:dyDescent="0.2">
      <c r="A544" s="48"/>
      <c r="C544" s="3"/>
      <c r="D544" s="139"/>
      <c r="E544" s="139"/>
      <c r="F544" s="139"/>
      <c r="G544" s="158"/>
      <c r="H544" s="20"/>
      <c r="J544" s="110"/>
    </row>
    <row r="545" spans="1:10" s="14" customFormat="1" x14ac:dyDescent="0.2">
      <c r="A545" s="48"/>
      <c r="C545" s="3"/>
      <c r="D545" s="139"/>
      <c r="E545" s="139"/>
      <c r="F545" s="139"/>
      <c r="G545" s="158"/>
      <c r="H545" s="20"/>
      <c r="J545" s="110"/>
    </row>
    <row r="546" spans="1:10" s="14" customFormat="1" x14ac:dyDescent="0.2">
      <c r="A546" s="48"/>
      <c r="C546" s="3"/>
      <c r="D546" s="139"/>
      <c r="E546" s="139"/>
      <c r="F546" s="139"/>
      <c r="G546" s="158"/>
      <c r="H546" s="20"/>
      <c r="J546" s="110"/>
    </row>
    <row r="547" spans="1:10" s="14" customFormat="1" x14ac:dyDescent="0.2">
      <c r="A547" s="48"/>
      <c r="C547" s="3"/>
      <c r="D547" s="139"/>
      <c r="E547" s="139"/>
      <c r="F547" s="139"/>
      <c r="G547" s="158"/>
      <c r="H547" s="20"/>
      <c r="J547" s="110"/>
    </row>
    <row r="548" spans="1:10" s="14" customFormat="1" x14ac:dyDescent="0.2">
      <c r="A548" s="48"/>
      <c r="C548" s="3"/>
      <c r="D548" s="139"/>
      <c r="E548" s="139"/>
      <c r="F548" s="139"/>
      <c r="G548" s="158"/>
      <c r="H548" s="20"/>
      <c r="J548" s="110"/>
    </row>
    <row r="549" spans="1:10" s="14" customFormat="1" x14ac:dyDescent="0.2">
      <c r="A549" s="48"/>
      <c r="C549" s="3"/>
      <c r="D549" s="139"/>
      <c r="E549" s="139"/>
      <c r="F549" s="139"/>
      <c r="G549" s="158"/>
      <c r="H549" s="20"/>
      <c r="J549" s="110"/>
    </row>
    <row r="550" spans="1:10" s="14" customFormat="1" x14ac:dyDescent="0.2">
      <c r="A550" s="48"/>
      <c r="C550" s="3"/>
      <c r="D550" s="139"/>
      <c r="E550" s="139"/>
      <c r="F550" s="139"/>
      <c r="G550" s="158"/>
      <c r="H550" s="20"/>
      <c r="J550" s="110"/>
    </row>
    <row r="551" spans="1:10" s="14" customFormat="1" x14ac:dyDescent="0.2">
      <c r="A551" s="48"/>
      <c r="C551" s="3"/>
      <c r="D551" s="139"/>
      <c r="E551" s="139"/>
      <c r="F551" s="139"/>
      <c r="G551" s="158"/>
      <c r="H551" s="20"/>
      <c r="J551" s="110"/>
    </row>
    <row r="552" spans="1:10" s="14" customFormat="1" x14ac:dyDescent="0.2">
      <c r="A552" s="48"/>
      <c r="C552" s="3"/>
      <c r="D552" s="139"/>
      <c r="E552" s="139"/>
      <c r="F552" s="139"/>
      <c r="G552" s="158"/>
      <c r="H552" s="20"/>
      <c r="J552" s="110"/>
    </row>
    <row r="553" spans="1:10" s="14" customFormat="1" x14ac:dyDescent="0.2">
      <c r="A553" s="48"/>
      <c r="C553" s="3"/>
      <c r="D553" s="139"/>
      <c r="E553" s="139"/>
      <c r="F553" s="139"/>
      <c r="G553" s="158"/>
      <c r="H553" s="20"/>
      <c r="J553" s="110"/>
    </row>
    <row r="554" spans="1:10" s="14" customFormat="1" x14ac:dyDescent="0.2">
      <c r="A554" s="48"/>
      <c r="C554" s="3"/>
      <c r="D554" s="139"/>
      <c r="E554" s="139"/>
      <c r="F554" s="139"/>
      <c r="G554" s="158"/>
      <c r="H554" s="20"/>
      <c r="J554" s="110"/>
    </row>
    <row r="555" spans="1:10" s="14" customFormat="1" x14ac:dyDescent="0.2">
      <c r="A555" s="48"/>
      <c r="C555" s="3"/>
      <c r="D555" s="139"/>
      <c r="E555" s="139"/>
      <c r="F555" s="139"/>
      <c r="G555" s="158"/>
      <c r="H555" s="20"/>
      <c r="J555" s="110"/>
    </row>
    <row r="556" spans="1:10" s="14" customFormat="1" x14ac:dyDescent="0.2">
      <c r="A556" s="48"/>
      <c r="C556" s="3"/>
      <c r="D556" s="139"/>
      <c r="E556" s="139"/>
      <c r="F556" s="139"/>
      <c r="G556" s="158"/>
      <c r="H556" s="20"/>
      <c r="J556" s="110"/>
    </row>
    <row r="557" spans="1:10" s="14" customFormat="1" x14ac:dyDescent="0.2">
      <c r="A557" s="48"/>
      <c r="C557" s="3"/>
      <c r="D557" s="139"/>
      <c r="E557" s="139"/>
      <c r="F557" s="139"/>
      <c r="G557" s="158"/>
      <c r="H557" s="20"/>
      <c r="J557" s="110"/>
    </row>
    <row r="558" spans="1:10" s="14" customFormat="1" x14ac:dyDescent="0.2">
      <c r="A558" s="48"/>
      <c r="C558" s="3"/>
      <c r="D558" s="139"/>
      <c r="E558" s="139"/>
      <c r="F558" s="139"/>
      <c r="G558" s="158"/>
      <c r="H558" s="20"/>
      <c r="J558" s="110"/>
    </row>
    <row r="559" spans="1:10" s="14" customFormat="1" x14ac:dyDescent="0.2">
      <c r="A559" s="48"/>
      <c r="C559" s="3"/>
      <c r="D559" s="139"/>
      <c r="E559" s="139"/>
      <c r="F559" s="139"/>
      <c r="G559" s="158"/>
      <c r="H559" s="20"/>
      <c r="J559" s="110"/>
    </row>
    <row r="560" spans="1:10" s="14" customFormat="1" x14ac:dyDescent="0.2">
      <c r="A560" s="48"/>
      <c r="C560" s="3"/>
      <c r="D560" s="139"/>
      <c r="E560" s="139"/>
      <c r="F560" s="139"/>
      <c r="G560" s="158"/>
      <c r="H560" s="20"/>
      <c r="J560" s="110"/>
    </row>
    <row r="561" spans="1:10" s="14" customFormat="1" x14ac:dyDescent="0.2">
      <c r="A561" s="48"/>
      <c r="C561" s="3"/>
      <c r="D561" s="139"/>
      <c r="E561" s="139"/>
      <c r="F561" s="139"/>
      <c r="G561" s="158"/>
      <c r="H561" s="20"/>
      <c r="J561" s="110"/>
    </row>
    <row r="562" spans="1:10" s="14" customFormat="1" x14ac:dyDescent="0.2">
      <c r="A562" s="48"/>
      <c r="C562" s="3"/>
      <c r="D562" s="139"/>
      <c r="E562" s="139"/>
      <c r="F562" s="139"/>
      <c r="G562" s="158"/>
      <c r="H562" s="20"/>
      <c r="J562" s="110"/>
    </row>
    <row r="563" spans="1:10" s="14" customFormat="1" x14ac:dyDescent="0.2">
      <c r="A563" s="48"/>
      <c r="C563" s="3"/>
      <c r="D563" s="139"/>
      <c r="E563" s="139"/>
      <c r="F563" s="139"/>
      <c r="G563" s="158"/>
      <c r="H563" s="20"/>
      <c r="J563" s="110"/>
    </row>
    <row r="564" spans="1:10" s="14" customFormat="1" x14ac:dyDescent="0.2">
      <c r="A564" s="48"/>
      <c r="C564" s="3"/>
      <c r="D564" s="139"/>
      <c r="E564" s="139"/>
      <c r="F564" s="139"/>
      <c r="G564" s="158"/>
      <c r="H564" s="20"/>
      <c r="J564" s="110"/>
    </row>
    <row r="565" spans="1:10" s="14" customFormat="1" x14ac:dyDescent="0.2">
      <c r="A565" s="48"/>
      <c r="C565" s="3"/>
      <c r="D565" s="139"/>
      <c r="E565" s="139"/>
      <c r="F565" s="139"/>
      <c r="G565" s="158"/>
      <c r="H565" s="20"/>
      <c r="J565" s="110"/>
    </row>
    <row r="566" spans="1:10" s="14" customFormat="1" x14ac:dyDescent="0.2">
      <c r="A566" s="48"/>
      <c r="C566" s="3"/>
      <c r="D566" s="139"/>
      <c r="E566" s="139"/>
      <c r="F566" s="139"/>
      <c r="G566" s="158"/>
      <c r="H566" s="20"/>
      <c r="J566" s="110"/>
    </row>
    <row r="567" spans="1:10" s="14" customFormat="1" x14ac:dyDescent="0.2">
      <c r="A567" s="48"/>
      <c r="C567" s="3"/>
      <c r="D567" s="139"/>
      <c r="E567" s="139"/>
      <c r="F567" s="139"/>
      <c r="G567" s="158"/>
      <c r="H567" s="20"/>
      <c r="J567" s="110"/>
    </row>
    <row r="568" spans="1:10" s="14" customFormat="1" x14ac:dyDescent="0.2">
      <c r="A568" s="48"/>
      <c r="C568" s="3"/>
      <c r="D568" s="139"/>
      <c r="E568" s="139"/>
      <c r="F568" s="139"/>
      <c r="G568" s="158"/>
      <c r="H568" s="20"/>
      <c r="J568" s="110"/>
    </row>
    <row r="569" spans="1:10" s="14" customFormat="1" x14ac:dyDescent="0.2">
      <c r="A569" s="48"/>
      <c r="C569" s="3"/>
      <c r="D569" s="139"/>
      <c r="E569" s="139"/>
      <c r="F569" s="139"/>
      <c r="G569" s="158"/>
      <c r="H569" s="20"/>
      <c r="J569" s="110"/>
    </row>
    <row r="570" spans="1:10" s="14" customFormat="1" x14ac:dyDescent="0.2">
      <c r="A570" s="48"/>
      <c r="C570" s="3"/>
      <c r="D570" s="139"/>
      <c r="E570" s="139"/>
      <c r="F570" s="139"/>
      <c r="G570" s="158"/>
      <c r="H570" s="20"/>
      <c r="J570" s="110"/>
    </row>
    <row r="571" spans="1:10" s="14" customFormat="1" x14ac:dyDescent="0.2">
      <c r="A571" s="48"/>
      <c r="C571" s="3"/>
      <c r="D571" s="139"/>
      <c r="E571" s="139"/>
      <c r="F571" s="139"/>
      <c r="G571" s="158"/>
      <c r="H571" s="20"/>
      <c r="J571" s="110"/>
    </row>
    <row r="572" spans="1:10" s="14" customFormat="1" x14ac:dyDescent="0.2">
      <c r="A572" s="48"/>
      <c r="C572" s="3"/>
      <c r="D572" s="139"/>
      <c r="E572" s="139"/>
      <c r="F572" s="139"/>
      <c r="G572" s="158"/>
      <c r="H572" s="20"/>
      <c r="J572" s="110"/>
    </row>
    <row r="573" spans="1:10" s="14" customFormat="1" x14ac:dyDescent="0.2">
      <c r="A573" s="48"/>
      <c r="C573" s="3"/>
      <c r="D573" s="139"/>
      <c r="E573" s="139"/>
      <c r="F573" s="139"/>
      <c r="G573" s="158"/>
      <c r="H573" s="20"/>
      <c r="J573" s="110"/>
    </row>
    <row r="574" spans="1:10" s="14" customFormat="1" x14ac:dyDescent="0.2">
      <c r="A574" s="48"/>
      <c r="C574" s="3"/>
      <c r="D574" s="139"/>
      <c r="E574" s="139"/>
      <c r="F574" s="139"/>
      <c r="G574" s="158"/>
      <c r="H574" s="20"/>
      <c r="J574" s="110"/>
    </row>
    <row r="575" spans="1:10" s="14" customFormat="1" x14ac:dyDescent="0.2">
      <c r="A575" s="48"/>
      <c r="C575" s="3"/>
      <c r="D575" s="139"/>
      <c r="E575" s="139"/>
      <c r="F575" s="139"/>
      <c r="G575" s="158"/>
      <c r="H575" s="20"/>
      <c r="J575" s="110"/>
    </row>
    <row r="576" spans="1:10" s="14" customFormat="1" x14ac:dyDescent="0.2">
      <c r="A576" s="48"/>
      <c r="C576" s="3"/>
      <c r="D576" s="139"/>
      <c r="E576" s="139"/>
      <c r="F576" s="139"/>
      <c r="G576" s="158"/>
      <c r="H576" s="20"/>
      <c r="J576" s="110"/>
    </row>
    <row r="577" spans="1:10" s="14" customFormat="1" x14ac:dyDescent="0.2">
      <c r="A577" s="48"/>
      <c r="C577" s="3"/>
      <c r="D577" s="139"/>
      <c r="E577" s="139"/>
      <c r="F577" s="139"/>
      <c r="G577" s="158"/>
      <c r="H577" s="20"/>
      <c r="J577" s="110"/>
    </row>
    <row r="578" spans="1:10" s="14" customFormat="1" x14ac:dyDescent="0.2">
      <c r="A578" s="48"/>
      <c r="C578" s="3"/>
      <c r="D578" s="139"/>
      <c r="E578" s="139"/>
      <c r="F578" s="139"/>
      <c r="G578" s="158"/>
      <c r="H578" s="20"/>
      <c r="J578" s="110"/>
    </row>
    <row r="579" spans="1:10" s="14" customFormat="1" x14ac:dyDescent="0.2">
      <c r="A579" s="48"/>
      <c r="C579" s="3"/>
      <c r="D579" s="139"/>
      <c r="E579" s="139"/>
      <c r="F579" s="139"/>
      <c r="G579" s="158"/>
      <c r="H579" s="20"/>
      <c r="J579" s="110"/>
    </row>
    <row r="580" spans="1:10" s="14" customFormat="1" x14ac:dyDescent="0.2">
      <c r="A580" s="48"/>
      <c r="C580" s="3"/>
      <c r="D580" s="139"/>
      <c r="E580" s="139"/>
      <c r="F580" s="139"/>
      <c r="G580" s="158"/>
      <c r="H580" s="20"/>
      <c r="J580" s="110"/>
    </row>
    <row r="581" spans="1:10" s="14" customFormat="1" x14ac:dyDescent="0.2">
      <c r="A581" s="48"/>
      <c r="C581" s="3"/>
      <c r="D581" s="139"/>
      <c r="E581" s="139"/>
      <c r="F581" s="139"/>
      <c r="G581" s="158"/>
      <c r="H581" s="20"/>
      <c r="J581" s="110"/>
    </row>
    <row r="582" spans="1:10" s="14" customFormat="1" x14ac:dyDescent="0.2">
      <c r="A582" s="48"/>
      <c r="C582" s="3"/>
      <c r="D582" s="139"/>
      <c r="E582" s="139"/>
      <c r="F582" s="139"/>
      <c r="G582" s="158"/>
      <c r="H582" s="20"/>
      <c r="J582" s="110"/>
    </row>
    <row r="583" spans="1:10" s="14" customFormat="1" x14ac:dyDescent="0.2">
      <c r="A583" s="48"/>
      <c r="C583" s="3"/>
      <c r="D583" s="139"/>
      <c r="E583" s="139"/>
      <c r="F583" s="139"/>
      <c r="G583" s="158"/>
      <c r="H583" s="20"/>
      <c r="J583" s="110"/>
    </row>
    <row r="584" spans="1:10" s="14" customFormat="1" x14ac:dyDescent="0.2">
      <c r="A584" s="48"/>
      <c r="C584" s="3"/>
      <c r="D584" s="139"/>
      <c r="E584" s="139"/>
      <c r="F584" s="139"/>
      <c r="G584" s="158"/>
      <c r="H584" s="20"/>
      <c r="J584" s="110"/>
    </row>
    <row r="585" spans="1:10" s="14" customFormat="1" x14ac:dyDescent="0.2">
      <c r="A585" s="48"/>
      <c r="C585" s="3"/>
      <c r="D585" s="139"/>
      <c r="E585" s="139"/>
      <c r="F585" s="139"/>
      <c r="G585" s="158"/>
      <c r="H585" s="20"/>
      <c r="J585" s="110"/>
    </row>
    <row r="586" spans="1:10" s="14" customFormat="1" x14ac:dyDescent="0.2">
      <c r="A586" s="48"/>
      <c r="C586" s="3"/>
      <c r="D586" s="139"/>
      <c r="E586" s="139"/>
      <c r="F586" s="139"/>
      <c r="G586" s="158"/>
      <c r="H586" s="20"/>
      <c r="J586" s="110"/>
    </row>
    <row r="587" spans="1:10" s="14" customFormat="1" x14ac:dyDescent="0.2">
      <c r="A587" s="48"/>
      <c r="C587" s="3"/>
      <c r="D587" s="139"/>
      <c r="E587" s="139"/>
      <c r="F587" s="139"/>
      <c r="G587" s="158"/>
      <c r="H587" s="20"/>
      <c r="J587" s="110"/>
    </row>
    <row r="588" spans="1:10" s="14" customFormat="1" x14ac:dyDescent="0.2">
      <c r="A588" s="48"/>
      <c r="C588" s="3"/>
      <c r="D588" s="139"/>
      <c r="E588" s="139"/>
      <c r="F588" s="139"/>
      <c r="G588" s="158"/>
      <c r="H588" s="20"/>
      <c r="J588" s="110"/>
    </row>
    <row r="589" spans="1:10" s="14" customFormat="1" x14ac:dyDescent="0.2">
      <c r="A589" s="48"/>
      <c r="C589" s="3"/>
      <c r="D589" s="139"/>
      <c r="E589" s="139"/>
      <c r="F589" s="139"/>
      <c r="G589" s="158"/>
      <c r="H589" s="20"/>
      <c r="J589" s="110"/>
    </row>
    <row r="590" spans="1:10" s="14" customFormat="1" x14ac:dyDescent="0.2">
      <c r="A590" s="48"/>
      <c r="C590" s="3"/>
      <c r="D590" s="139"/>
      <c r="E590" s="139"/>
      <c r="F590" s="139"/>
      <c r="G590" s="158"/>
      <c r="H590" s="20"/>
      <c r="J590" s="110"/>
    </row>
    <row r="591" spans="1:10" s="14" customFormat="1" x14ac:dyDescent="0.2">
      <c r="A591" s="48"/>
      <c r="C591" s="3"/>
      <c r="D591" s="139"/>
      <c r="E591" s="139"/>
      <c r="F591" s="139"/>
      <c r="G591" s="158"/>
      <c r="H591" s="20"/>
      <c r="J591" s="110"/>
    </row>
    <row r="592" spans="1:10" s="14" customFormat="1" x14ac:dyDescent="0.2">
      <c r="A592" s="48"/>
      <c r="C592" s="3"/>
      <c r="D592" s="139"/>
      <c r="E592" s="139"/>
      <c r="F592" s="139"/>
      <c r="G592" s="158"/>
      <c r="H592" s="20"/>
      <c r="J592" s="110"/>
    </row>
    <row r="593" spans="1:10" s="14" customFormat="1" x14ac:dyDescent="0.2">
      <c r="A593" s="48"/>
      <c r="C593" s="3"/>
      <c r="D593" s="139"/>
      <c r="E593" s="139"/>
      <c r="F593" s="139"/>
      <c r="G593" s="158"/>
      <c r="H593" s="20"/>
      <c r="J593" s="110"/>
    </row>
    <row r="594" spans="1:10" s="14" customFormat="1" x14ac:dyDescent="0.2">
      <c r="A594" s="48"/>
      <c r="C594" s="3"/>
      <c r="D594" s="139"/>
      <c r="E594" s="139"/>
      <c r="F594" s="139"/>
      <c r="G594" s="158"/>
      <c r="H594" s="20"/>
      <c r="J594" s="110"/>
    </row>
    <row r="595" spans="1:10" s="14" customFormat="1" x14ac:dyDescent="0.2">
      <c r="A595" s="48"/>
      <c r="C595" s="3"/>
      <c r="D595" s="139"/>
      <c r="E595" s="139"/>
      <c r="F595" s="139"/>
      <c r="G595" s="158"/>
      <c r="H595" s="20"/>
      <c r="J595" s="110"/>
    </row>
    <row r="596" spans="1:10" s="14" customFormat="1" x14ac:dyDescent="0.2">
      <c r="A596" s="48"/>
      <c r="C596" s="3"/>
      <c r="D596" s="139"/>
      <c r="E596" s="139"/>
      <c r="F596" s="139"/>
      <c r="G596" s="158"/>
      <c r="H596" s="20"/>
      <c r="J596" s="110"/>
    </row>
    <row r="597" spans="1:10" s="14" customFormat="1" x14ac:dyDescent="0.2">
      <c r="A597" s="48"/>
      <c r="C597" s="3"/>
      <c r="D597" s="139"/>
      <c r="E597" s="139"/>
      <c r="F597" s="139"/>
      <c r="G597" s="158"/>
      <c r="H597" s="20"/>
      <c r="J597" s="110"/>
    </row>
    <row r="598" spans="1:10" s="14" customFormat="1" x14ac:dyDescent="0.2">
      <c r="A598" s="48"/>
      <c r="C598" s="3"/>
      <c r="D598" s="139"/>
      <c r="E598" s="139"/>
      <c r="F598" s="139"/>
      <c r="G598" s="158"/>
      <c r="H598" s="20"/>
      <c r="J598" s="110"/>
    </row>
    <row r="599" spans="1:10" s="14" customFormat="1" x14ac:dyDescent="0.2">
      <c r="A599" s="48"/>
      <c r="C599" s="3"/>
      <c r="D599" s="139"/>
      <c r="E599" s="139"/>
      <c r="F599" s="139"/>
      <c r="G599" s="158"/>
      <c r="H599" s="20"/>
      <c r="J599" s="110"/>
    </row>
    <row r="600" spans="1:10" s="14" customFormat="1" x14ac:dyDescent="0.2">
      <c r="A600" s="48"/>
      <c r="C600" s="3"/>
      <c r="D600" s="139"/>
      <c r="E600" s="139"/>
      <c r="F600" s="139"/>
      <c r="G600" s="158"/>
      <c r="H600" s="20"/>
      <c r="J600" s="110"/>
    </row>
    <row r="601" spans="1:10" s="14" customFormat="1" x14ac:dyDescent="0.2">
      <c r="A601" s="48"/>
      <c r="C601" s="3"/>
      <c r="D601" s="139"/>
      <c r="E601" s="139"/>
      <c r="F601" s="139"/>
      <c r="G601" s="158"/>
      <c r="H601" s="20"/>
      <c r="J601" s="110"/>
    </row>
    <row r="602" spans="1:10" s="14" customFormat="1" x14ac:dyDescent="0.2">
      <c r="A602" s="48"/>
      <c r="C602" s="3"/>
      <c r="D602" s="139"/>
      <c r="E602" s="139"/>
      <c r="F602" s="139"/>
      <c r="G602" s="158"/>
      <c r="H602" s="20"/>
      <c r="J602" s="110"/>
    </row>
    <row r="603" spans="1:10" s="14" customFormat="1" x14ac:dyDescent="0.2">
      <c r="A603" s="48"/>
      <c r="C603" s="3"/>
      <c r="D603" s="139"/>
      <c r="E603" s="139"/>
      <c r="F603" s="139"/>
      <c r="G603" s="158"/>
      <c r="H603" s="20"/>
      <c r="J603" s="110"/>
    </row>
    <row r="604" spans="1:10" s="14" customFormat="1" x14ac:dyDescent="0.2">
      <c r="A604" s="48"/>
      <c r="C604" s="3"/>
      <c r="D604" s="139"/>
      <c r="E604" s="139"/>
      <c r="F604" s="139"/>
      <c r="G604" s="158"/>
      <c r="H604" s="20"/>
      <c r="J604" s="110"/>
    </row>
    <row r="605" spans="1:10" s="14" customFormat="1" x14ac:dyDescent="0.2">
      <c r="A605" s="48"/>
      <c r="C605" s="3"/>
      <c r="D605" s="139"/>
      <c r="E605" s="139"/>
      <c r="F605" s="139"/>
      <c r="G605" s="158"/>
      <c r="H605" s="20"/>
      <c r="J605" s="110"/>
    </row>
    <row r="606" spans="1:10" s="14" customFormat="1" x14ac:dyDescent="0.2">
      <c r="A606" s="48"/>
      <c r="C606" s="3"/>
      <c r="D606" s="139"/>
      <c r="E606" s="139"/>
      <c r="F606" s="139"/>
      <c r="G606" s="158"/>
      <c r="H606" s="20"/>
      <c r="J606" s="110"/>
    </row>
    <row r="607" spans="1:10" s="14" customFormat="1" x14ac:dyDescent="0.2">
      <c r="A607" s="48"/>
      <c r="C607" s="3"/>
      <c r="D607" s="139"/>
      <c r="E607" s="139"/>
      <c r="F607" s="139"/>
      <c r="G607" s="158"/>
      <c r="H607" s="20"/>
      <c r="J607" s="110"/>
    </row>
    <row r="608" spans="1:10" s="14" customFormat="1" x14ac:dyDescent="0.2">
      <c r="A608" s="48"/>
      <c r="C608" s="3"/>
      <c r="D608" s="139"/>
      <c r="E608" s="139"/>
      <c r="F608" s="139"/>
      <c r="G608" s="158"/>
      <c r="H608" s="20"/>
      <c r="J608" s="110"/>
    </row>
    <row r="609" spans="1:10" s="14" customFormat="1" x14ac:dyDescent="0.2">
      <c r="A609" s="48"/>
      <c r="C609" s="3"/>
      <c r="D609" s="139"/>
      <c r="E609" s="139"/>
      <c r="F609" s="139"/>
      <c r="G609" s="158"/>
      <c r="H609" s="20"/>
      <c r="J609" s="110"/>
    </row>
    <row r="610" spans="1:10" s="14" customFormat="1" x14ac:dyDescent="0.2">
      <c r="A610" s="48"/>
      <c r="C610" s="3"/>
      <c r="D610" s="139"/>
      <c r="E610" s="139"/>
      <c r="F610" s="139"/>
      <c r="G610" s="158"/>
      <c r="H610" s="20"/>
      <c r="J610" s="110"/>
    </row>
    <row r="611" spans="1:10" s="14" customFormat="1" x14ac:dyDescent="0.2">
      <c r="A611" s="48"/>
      <c r="C611" s="3"/>
      <c r="D611" s="139"/>
      <c r="E611" s="139"/>
      <c r="F611" s="139"/>
      <c r="G611" s="158"/>
      <c r="H611" s="20"/>
      <c r="J611" s="110"/>
    </row>
    <row r="612" spans="1:10" s="14" customFormat="1" x14ac:dyDescent="0.2">
      <c r="A612" s="48"/>
      <c r="C612" s="3"/>
      <c r="D612" s="139"/>
      <c r="E612" s="139"/>
      <c r="F612" s="139"/>
      <c r="G612" s="158"/>
      <c r="H612" s="20"/>
      <c r="J612" s="110"/>
    </row>
    <row r="613" spans="1:10" s="14" customFormat="1" x14ac:dyDescent="0.2">
      <c r="A613" s="48"/>
      <c r="C613" s="3"/>
      <c r="D613" s="139"/>
      <c r="E613" s="139"/>
      <c r="F613" s="139"/>
      <c r="G613" s="158"/>
      <c r="H613" s="20"/>
      <c r="J613" s="110"/>
    </row>
    <row r="614" spans="1:10" s="14" customFormat="1" x14ac:dyDescent="0.2">
      <c r="A614" s="48"/>
      <c r="C614" s="3"/>
      <c r="D614" s="139"/>
      <c r="E614" s="139"/>
      <c r="F614" s="139"/>
      <c r="G614" s="158"/>
      <c r="H614" s="20"/>
      <c r="J614" s="110"/>
    </row>
    <row r="615" spans="1:10" s="14" customFormat="1" x14ac:dyDescent="0.2">
      <c r="A615" s="48"/>
      <c r="C615" s="3"/>
      <c r="D615" s="139"/>
      <c r="E615" s="139"/>
      <c r="F615" s="139"/>
      <c r="G615" s="158"/>
      <c r="H615" s="20"/>
      <c r="J615" s="110"/>
    </row>
    <row r="616" spans="1:10" s="14" customFormat="1" x14ac:dyDescent="0.2">
      <c r="A616" s="48"/>
      <c r="C616" s="3"/>
      <c r="D616" s="139"/>
      <c r="E616" s="139"/>
      <c r="F616" s="139"/>
      <c r="G616" s="158"/>
      <c r="H616" s="20"/>
      <c r="J616" s="110"/>
    </row>
    <row r="617" spans="1:10" s="14" customFormat="1" x14ac:dyDescent="0.2">
      <c r="A617" s="48"/>
      <c r="C617" s="3"/>
      <c r="D617" s="139"/>
      <c r="E617" s="139"/>
      <c r="F617" s="139"/>
      <c r="G617" s="158"/>
      <c r="H617" s="20"/>
      <c r="J617" s="110"/>
    </row>
    <row r="618" spans="1:10" s="14" customFormat="1" x14ac:dyDescent="0.2">
      <c r="A618" s="48"/>
      <c r="C618" s="3"/>
      <c r="D618" s="139"/>
      <c r="E618" s="139"/>
      <c r="F618" s="139"/>
      <c r="G618" s="158"/>
      <c r="H618" s="20"/>
      <c r="J618" s="110"/>
    </row>
    <row r="619" spans="1:10" s="14" customFormat="1" x14ac:dyDescent="0.2">
      <c r="A619" s="48"/>
      <c r="C619" s="3"/>
      <c r="D619" s="139"/>
      <c r="E619" s="139"/>
      <c r="F619" s="139"/>
      <c r="G619" s="158"/>
      <c r="H619" s="20"/>
      <c r="J619" s="110"/>
    </row>
    <row r="620" spans="1:10" s="14" customFormat="1" x14ac:dyDescent="0.2">
      <c r="A620" s="48"/>
      <c r="C620" s="3"/>
      <c r="D620" s="139"/>
      <c r="E620" s="139"/>
      <c r="F620" s="139"/>
      <c r="G620" s="158"/>
      <c r="H620" s="20"/>
      <c r="J620" s="110"/>
    </row>
    <row r="621" spans="1:10" s="14" customFormat="1" x14ac:dyDescent="0.2">
      <c r="A621" s="48"/>
      <c r="C621" s="3"/>
      <c r="D621" s="139"/>
      <c r="E621" s="139"/>
      <c r="F621" s="139"/>
      <c r="G621" s="158"/>
      <c r="H621" s="20"/>
      <c r="J621" s="110"/>
    </row>
    <row r="622" spans="1:10" s="14" customFormat="1" x14ac:dyDescent="0.2">
      <c r="A622" s="48"/>
      <c r="C622" s="3"/>
      <c r="D622" s="139"/>
      <c r="E622" s="139"/>
      <c r="F622" s="139"/>
      <c r="G622" s="158"/>
      <c r="H622" s="20"/>
      <c r="J622" s="110"/>
    </row>
    <row r="623" spans="1:10" s="14" customFormat="1" x14ac:dyDescent="0.2">
      <c r="A623" s="48"/>
      <c r="C623" s="3"/>
      <c r="D623" s="139"/>
      <c r="E623" s="139"/>
      <c r="F623" s="139"/>
      <c r="G623" s="158"/>
      <c r="H623" s="20"/>
      <c r="J623" s="110"/>
    </row>
    <row r="624" spans="1:10" s="14" customFormat="1" x14ac:dyDescent="0.2">
      <c r="A624" s="48"/>
      <c r="C624" s="3"/>
      <c r="D624" s="139"/>
      <c r="E624" s="139"/>
      <c r="F624" s="139"/>
      <c r="G624" s="158"/>
      <c r="H624" s="20"/>
      <c r="J624" s="110"/>
    </row>
    <row r="625" spans="1:10" s="14" customFormat="1" x14ac:dyDescent="0.2">
      <c r="A625" s="48"/>
      <c r="C625" s="3"/>
      <c r="D625" s="139"/>
      <c r="E625" s="139"/>
      <c r="F625" s="139"/>
      <c r="G625" s="158"/>
      <c r="H625" s="20"/>
      <c r="J625" s="110"/>
    </row>
    <row r="626" spans="1:10" s="14" customFormat="1" x14ac:dyDescent="0.2">
      <c r="A626" s="48"/>
      <c r="C626" s="3"/>
      <c r="D626" s="139"/>
      <c r="E626" s="139"/>
      <c r="F626" s="139"/>
      <c r="G626" s="158"/>
      <c r="H626" s="20"/>
      <c r="J626" s="110"/>
    </row>
    <row r="627" spans="1:10" s="14" customFormat="1" x14ac:dyDescent="0.2">
      <c r="A627" s="48"/>
      <c r="C627" s="3"/>
      <c r="D627" s="139"/>
      <c r="E627" s="139"/>
      <c r="F627" s="139"/>
      <c r="G627" s="158"/>
      <c r="H627" s="20"/>
      <c r="J627" s="110"/>
    </row>
    <row r="628" spans="1:10" s="14" customFormat="1" x14ac:dyDescent="0.2">
      <c r="A628" s="48"/>
      <c r="C628" s="3"/>
      <c r="D628" s="139"/>
      <c r="E628" s="139"/>
      <c r="F628" s="139"/>
      <c r="G628" s="158"/>
      <c r="H628" s="20"/>
      <c r="J628" s="110"/>
    </row>
    <row r="629" spans="1:10" s="14" customFormat="1" x14ac:dyDescent="0.2">
      <c r="A629" s="48"/>
      <c r="C629" s="3"/>
      <c r="D629" s="139"/>
      <c r="E629" s="139"/>
      <c r="F629" s="139"/>
      <c r="G629" s="158"/>
      <c r="H629" s="20"/>
      <c r="J629" s="110"/>
    </row>
    <row r="630" spans="1:10" s="14" customFormat="1" x14ac:dyDescent="0.2">
      <c r="A630" s="48"/>
      <c r="C630" s="3"/>
      <c r="D630" s="139"/>
      <c r="E630" s="139"/>
      <c r="F630" s="139"/>
      <c r="G630" s="158"/>
      <c r="H630" s="20"/>
      <c r="J630" s="110"/>
    </row>
    <row r="631" spans="1:10" s="14" customFormat="1" x14ac:dyDescent="0.2">
      <c r="A631" s="48"/>
      <c r="C631" s="3"/>
      <c r="D631" s="139"/>
      <c r="E631" s="139"/>
      <c r="F631" s="139"/>
      <c r="G631" s="158"/>
      <c r="H631" s="20"/>
      <c r="J631" s="110"/>
    </row>
    <row r="632" spans="1:10" s="14" customFormat="1" x14ac:dyDescent="0.2">
      <c r="A632" s="48"/>
      <c r="C632" s="3"/>
      <c r="D632" s="139"/>
      <c r="E632" s="139"/>
      <c r="F632" s="139"/>
      <c r="G632" s="158"/>
      <c r="H632" s="20"/>
      <c r="J632" s="110"/>
    </row>
    <row r="633" spans="1:10" s="14" customFormat="1" x14ac:dyDescent="0.2">
      <c r="A633" s="48"/>
      <c r="C633" s="3"/>
      <c r="D633" s="139"/>
      <c r="E633" s="139"/>
      <c r="F633" s="139"/>
      <c r="G633" s="158"/>
      <c r="H633" s="20"/>
      <c r="J633" s="110"/>
    </row>
    <row r="634" spans="1:10" s="14" customFormat="1" x14ac:dyDescent="0.2">
      <c r="A634" s="48"/>
      <c r="C634" s="3"/>
      <c r="D634" s="139"/>
      <c r="E634" s="139"/>
      <c r="F634" s="139"/>
      <c r="G634" s="158"/>
      <c r="H634" s="20"/>
      <c r="J634" s="110"/>
    </row>
    <row r="635" spans="1:10" s="14" customFormat="1" x14ac:dyDescent="0.2">
      <c r="A635" s="48"/>
      <c r="C635" s="3"/>
      <c r="D635" s="139"/>
      <c r="E635" s="139"/>
      <c r="F635" s="139"/>
      <c r="G635" s="158"/>
      <c r="H635" s="20"/>
      <c r="J635" s="110"/>
    </row>
    <row r="636" spans="1:10" s="14" customFormat="1" x14ac:dyDescent="0.2">
      <c r="A636" s="48"/>
      <c r="C636" s="3"/>
      <c r="D636" s="139"/>
      <c r="E636" s="139"/>
      <c r="F636" s="139"/>
      <c r="G636" s="158"/>
      <c r="H636" s="20"/>
      <c r="J636" s="110"/>
    </row>
    <row r="637" spans="1:10" s="14" customFormat="1" x14ac:dyDescent="0.2">
      <c r="A637" s="48"/>
      <c r="C637" s="3"/>
      <c r="D637" s="139"/>
      <c r="E637" s="139"/>
      <c r="F637" s="139"/>
      <c r="G637" s="158"/>
      <c r="H637" s="20"/>
      <c r="J637" s="110"/>
    </row>
    <row r="638" spans="1:10" s="14" customFormat="1" x14ac:dyDescent="0.2">
      <c r="A638" s="48"/>
      <c r="C638" s="3"/>
      <c r="D638" s="139"/>
      <c r="E638" s="139"/>
      <c r="F638" s="139"/>
      <c r="G638" s="158"/>
      <c r="H638" s="20"/>
      <c r="J638" s="110"/>
    </row>
    <row r="639" spans="1:10" s="14" customFormat="1" x14ac:dyDescent="0.2">
      <c r="A639" s="48"/>
      <c r="C639" s="3"/>
      <c r="D639" s="139"/>
      <c r="E639" s="139"/>
      <c r="F639" s="139"/>
      <c r="G639" s="158"/>
      <c r="H639" s="20"/>
      <c r="J639" s="110"/>
    </row>
    <row r="640" spans="1:10" s="14" customFormat="1" x14ac:dyDescent="0.2">
      <c r="A640" s="48"/>
      <c r="C640" s="3"/>
      <c r="D640" s="139"/>
      <c r="E640" s="139"/>
      <c r="F640" s="139"/>
      <c r="G640" s="158"/>
      <c r="H640" s="20"/>
      <c r="J640" s="110"/>
    </row>
    <row r="641" spans="1:10" s="14" customFormat="1" x14ac:dyDescent="0.2">
      <c r="A641" s="48"/>
      <c r="C641" s="3"/>
      <c r="D641" s="139"/>
      <c r="E641" s="139"/>
      <c r="F641" s="139"/>
      <c r="G641" s="158"/>
      <c r="H641" s="20"/>
      <c r="J641" s="110"/>
    </row>
    <row r="642" spans="1:10" s="14" customFormat="1" x14ac:dyDescent="0.2">
      <c r="A642" s="48"/>
      <c r="C642" s="3"/>
      <c r="D642" s="139"/>
      <c r="E642" s="139"/>
      <c r="F642" s="139"/>
      <c r="G642" s="158"/>
      <c r="H642" s="20"/>
      <c r="J642" s="110"/>
    </row>
    <row r="643" spans="1:10" s="14" customFormat="1" x14ac:dyDescent="0.2">
      <c r="A643" s="48"/>
      <c r="C643" s="3"/>
      <c r="D643" s="139"/>
      <c r="E643" s="139"/>
      <c r="F643" s="139"/>
      <c r="G643" s="158"/>
      <c r="H643" s="20"/>
      <c r="J643" s="110"/>
    </row>
    <row r="644" spans="1:10" s="14" customFormat="1" x14ac:dyDescent="0.2">
      <c r="A644" s="48"/>
      <c r="C644" s="3"/>
      <c r="D644" s="139"/>
      <c r="E644" s="139"/>
      <c r="F644" s="139"/>
      <c r="G644" s="158"/>
      <c r="H644" s="20"/>
      <c r="J644" s="110"/>
    </row>
    <row r="645" spans="1:10" s="14" customFormat="1" x14ac:dyDescent="0.2">
      <c r="A645" s="48"/>
      <c r="C645" s="3"/>
      <c r="D645" s="139"/>
      <c r="E645" s="139"/>
      <c r="F645" s="139"/>
      <c r="G645" s="158"/>
      <c r="H645" s="20"/>
      <c r="J645" s="110"/>
    </row>
    <row r="646" spans="1:10" s="14" customFormat="1" x14ac:dyDescent="0.2">
      <c r="A646" s="48"/>
      <c r="C646" s="3"/>
      <c r="D646" s="139"/>
      <c r="E646" s="139"/>
      <c r="F646" s="139"/>
      <c r="G646" s="158"/>
      <c r="H646" s="20"/>
      <c r="J646" s="110"/>
    </row>
    <row r="647" spans="1:10" s="14" customFormat="1" x14ac:dyDescent="0.2">
      <c r="A647" s="48"/>
      <c r="C647" s="3"/>
      <c r="D647" s="139"/>
      <c r="E647" s="139"/>
      <c r="F647" s="139"/>
      <c r="G647" s="158"/>
      <c r="H647" s="20"/>
      <c r="J647" s="110"/>
    </row>
    <row r="648" spans="1:10" s="14" customFormat="1" x14ac:dyDescent="0.2">
      <c r="A648" s="48"/>
      <c r="C648" s="3"/>
      <c r="D648" s="139"/>
      <c r="E648" s="139"/>
      <c r="F648" s="139"/>
      <c r="G648" s="158"/>
      <c r="H648" s="20"/>
      <c r="J648" s="110"/>
    </row>
    <row r="649" spans="1:10" s="14" customFormat="1" x14ac:dyDescent="0.2">
      <c r="A649" s="48"/>
      <c r="C649" s="3"/>
      <c r="D649" s="139"/>
      <c r="E649" s="139"/>
      <c r="F649" s="139"/>
      <c r="G649" s="158"/>
      <c r="H649" s="20"/>
      <c r="J649" s="110"/>
    </row>
    <row r="650" spans="1:10" s="14" customFormat="1" x14ac:dyDescent="0.2">
      <c r="A650" s="48"/>
      <c r="C650" s="3"/>
      <c r="D650" s="139"/>
      <c r="E650" s="139"/>
      <c r="F650" s="139"/>
      <c r="G650" s="158"/>
      <c r="H650" s="20"/>
      <c r="J650" s="110"/>
    </row>
    <row r="651" spans="1:10" s="14" customFormat="1" x14ac:dyDescent="0.2">
      <c r="A651" s="48"/>
      <c r="C651" s="3"/>
      <c r="D651" s="139"/>
      <c r="E651" s="139"/>
      <c r="F651" s="139"/>
      <c r="G651" s="158"/>
      <c r="H651" s="20"/>
      <c r="J651" s="110"/>
    </row>
    <row r="652" spans="1:10" s="14" customFormat="1" x14ac:dyDescent="0.2">
      <c r="A652" s="48"/>
      <c r="C652" s="3"/>
      <c r="D652" s="139"/>
      <c r="E652" s="139"/>
      <c r="F652" s="139"/>
      <c r="G652" s="158"/>
      <c r="H652" s="20"/>
      <c r="J652" s="110"/>
    </row>
    <row r="653" spans="1:10" s="14" customFormat="1" x14ac:dyDescent="0.2">
      <c r="A653" s="48"/>
      <c r="C653" s="3"/>
      <c r="D653" s="139"/>
      <c r="E653" s="139"/>
      <c r="F653" s="139"/>
      <c r="G653" s="158"/>
      <c r="H653" s="20"/>
      <c r="J653" s="110"/>
    </row>
    <row r="654" spans="1:10" s="14" customFormat="1" x14ac:dyDescent="0.2">
      <c r="A654" s="48"/>
      <c r="C654" s="3"/>
      <c r="D654" s="139"/>
      <c r="E654" s="139"/>
      <c r="F654" s="139"/>
      <c r="G654" s="158"/>
      <c r="H654" s="20"/>
      <c r="J654" s="110"/>
    </row>
    <row r="655" spans="1:10" s="14" customFormat="1" x14ac:dyDescent="0.2">
      <c r="A655" s="48"/>
      <c r="C655" s="3"/>
      <c r="D655" s="139"/>
      <c r="E655" s="139"/>
      <c r="F655" s="139"/>
      <c r="G655" s="158"/>
      <c r="H655" s="20"/>
      <c r="J655" s="110"/>
    </row>
    <row r="656" spans="1:10" s="14" customFormat="1" x14ac:dyDescent="0.2">
      <c r="A656" s="48"/>
      <c r="C656" s="3"/>
      <c r="D656" s="139"/>
      <c r="E656" s="139"/>
      <c r="F656" s="139"/>
      <c r="G656" s="158"/>
      <c r="H656" s="20"/>
      <c r="J656" s="110"/>
    </row>
    <row r="657" spans="1:10" s="14" customFormat="1" x14ac:dyDescent="0.2">
      <c r="A657" s="48"/>
      <c r="C657" s="3"/>
      <c r="D657" s="139"/>
      <c r="E657" s="139"/>
      <c r="F657" s="139"/>
      <c r="G657" s="158"/>
      <c r="H657" s="20"/>
      <c r="J657" s="110"/>
    </row>
    <row r="658" spans="1:10" s="14" customFormat="1" x14ac:dyDescent="0.2">
      <c r="A658" s="48"/>
      <c r="C658" s="3"/>
      <c r="D658" s="139"/>
      <c r="E658" s="139"/>
      <c r="F658" s="139"/>
      <c r="G658" s="158"/>
      <c r="H658" s="20"/>
      <c r="J658" s="110"/>
    </row>
    <row r="659" spans="1:10" s="14" customFormat="1" x14ac:dyDescent="0.2">
      <c r="A659" s="48"/>
      <c r="C659" s="3"/>
      <c r="D659" s="139"/>
      <c r="E659" s="139"/>
      <c r="F659" s="139"/>
      <c r="G659" s="158"/>
      <c r="H659" s="20"/>
      <c r="J659" s="110"/>
    </row>
    <row r="660" spans="1:10" s="14" customFormat="1" x14ac:dyDescent="0.2">
      <c r="A660" s="48"/>
      <c r="C660" s="3"/>
      <c r="D660" s="139"/>
      <c r="E660" s="139"/>
      <c r="F660" s="139"/>
      <c r="G660" s="158"/>
      <c r="H660" s="20"/>
      <c r="J660" s="110"/>
    </row>
    <row r="661" spans="1:10" s="14" customFormat="1" x14ac:dyDescent="0.2">
      <c r="A661" s="48"/>
      <c r="C661" s="3"/>
      <c r="D661" s="139"/>
      <c r="E661" s="139"/>
      <c r="F661" s="139"/>
      <c r="G661" s="158"/>
      <c r="H661" s="20"/>
      <c r="J661" s="110"/>
    </row>
    <row r="662" spans="1:10" s="14" customFormat="1" x14ac:dyDescent="0.2">
      <c r="A662" s="48"/>
      <c r="C662" s="3"/>
      <c r="D662" s="139"/>
      <c r="E662" s="139"/>
      <c r="F662" s="139"/>
      <c r="G662" s="158"/>
      <c r="H662" s="20"/>
      <c r="J662" s="110"/>
    </row>
    <row r="663" spans="1:10" s="14" customFormat="1" x14ac:dyDescent="0.2">
      <c r="A663" s="48"/>
      <c r="C663" s="3"/>
      <c r="D663" s="139"/>
      <c r="E663" s="139"/>
      <c r="F663" s="139"/>
      <c r="G663" s="158"/>
      <c r="H663" s="20"/>
      <c r="J663" s="110"/>
    </row>
    <row r="664" spans="1:10" s="14" customFormat="1" x14ac:dyDescent="0.2">
      <c r="A664" s="48"/>
      <c r="C664" s="3"/>
      <c r="D664" s="139"/>
      <c r="E664" s="139"/>
      <c r="F664" s="139"/>
      <c r="G664" s="158"/>
      <c r="H664" s="20"/>
      <c r="J664" s="110"/>
    </row>
    <row r="665" spans="1:10" s="14" customFormat="1" x14ac:dyDescent="0.2">
      <c r="A665" s="48"/>
      <c r="C665" s="3"/>
      <c r="D665" s="139"/>
      <c r="E665" s="139"/>
      <c r="F665" s="139"/>
      <c r="G665" s="158"/>
      <c r="H665" s="20"/>
      <c r="J665" s="110"/>
    </row>
    <row r="666" spans="1:10" s="14" customFormat="1" x14ac:dyDescent="0.2">
      <c r="A666" s="48"/>
      <c r="C666" s="3"/>
      <c r="D666" s="139"/>
      <c r="E666" s="139"/>
      <c r="F666" s="139"/>
      <c r="G666" s="158"/>
      <c r="H666" s="20"/>
      <c r="J666" s="110"/>
    </row>
    <row r="667" spans="1:10" s="14" customFormat="1" x14ac:dyDescent="0.2">
      <c r="A667" s="48"/>
      <c r="C667" s="3"/>
      <c r="D667" s="139"/>
      <c r="E667" s="139"/>
      <c r="F667" s="139"/>
      <c r="G667" s="158"/>
      <c r="H667" s="20"/>
      <c r="J667" s="110"/>
    </row>
    <row r="668" spans="1:10" s="14" customFormat="1" x14ac:dyDescent="0.2">
      <c r="A668" s="48"/>
      <c r="C668" s="3"/>
      <c r="D668" s="139"/>
      <c r="E668" s="139"/>
      <c r="F668" s="139"/>
      <c r="G668" s="158"/>
      <c r="H668" s="20"/>
      <c r="J668" s="110"/>
    </row>
    <row r="669" spans="1:10" s="14" customFormat="1" x14ac:dyDescent="0.2">
      <c r="A669" s="48"/>
      <c r="C669" s="3"/>
      <c r="D669" s="139"/>
      <c r="E669" s="139"/>
      <c r="F669" s="139"/>
      <c r="G669" s="158"/>
      <c r="H669" s="20"/>
      <c r="J669" s="110"/>
    </row>
    <row r="670" spans="1:10" s="14" customFormat="1" x14ac:dyDescent="0.2">
      <c r="A670" s="48"/>
      <c r="C670" s="3"/>
      <c r="D670" s="139"/>
      <c r="E670" s="139"/>
      <c r="F670" s="139"/>
      <c r="G670" s="158"/>
      <c r="H670" s="20"/>
      <c r="J670" s="110"/>
    </row>
    <row r="671" spans="1:10" s="14" customFormat="1" x14ac:dyDescent="0.2">
      <c r="A671" s="48"/>
      <c r="C671" s="3"/>
      <c r="D671" s="139"/>
      <c r="E671" s="139"/>
      <c r="F671" s="139"/>
      <c r="G671" s="158"/>
      <c r="H671" s="20"/>
      <c r="J671" s="110"/>
    </row>
    <row r="672" spans="1:10" s="14" customFormat="1" x14ac:dyDescent="0.2">
      <c r="A672" s="48"/>
      <c r="C672" s="3"/>
      <c r="D672" s="139"/>
      <c r="E672" s="139"/>
      <c r="F672" s="139"/>
      <c r="G672" s="158"/>
      <c r="H672" s="20"/>
      <c r="J672" s="110"/>
    </row>
    <row r="673" spans="1:10" s="14" customFormat="1" x14ac:dyDescent="0.2">
      <c r="A673" s="48"/>
      <c r="C673" s="3"/>
      <c r="D673" s="139"/>
      <c r="E673" s="139"/>
      <c r="F673" s="139"/>
      <c r="G673" s="158"/>
      <c r="H673" s="20"/>
      <c r="J673" s="110"/>
    </row>
    <row r="674" spans="1:10" s="14" customFormat="1" x14ac:dyDescent="0.2">
      <c r="A674" s="48"/>
      <c r="C674" s="3"/>
      <c r="D674" s="139"/>
      <c r="E674" s="139"/>
      <c r="F674" s="139"/>
      <c r="G674" s="158"/>
      <c r="H674" s="20"/>
      <c r="J674" s="110"/>
    </row>
    <row r="675" spans="1:10" s="14" customFormat="1" x14ac:dyDescent="0.2">
      <c r="A675" s="48"/>
      <c r="C675" s="3"/>
      <c r="D675" s="139"/>
      <c r="E675" s="139"/>
      <c r="F675" s="139"/>
      <c r="G675" s="158"/>
      <c r="H675" s="20"/>
      <c r="J675" s="110"/>
    </row>
    <row r="676" spans="1:10" s="14" customFormat="1" x14ac:dyDescent="0.2">
      <c r="A676" s="48"/>
      <c r="C676" s="3"/>
      <c r="D676" s="139"/>
      <c r="E676" s="139"/>
      <c r="F676" s="139"/>
      <c r="G676" s="158"/>
      <c r="H676" s="20"/>
      <c r="J676" s="110"/>
    </row>
    <row r="677" spans="1:10" s="14" customFormat="1" x14ac:dyDescent="0.2">
      <c r="A677" s="48"/>
      <c r="C677" s="3"/>
      <c r="D677" s="139"/>
      <c r="E677" s="139"/>
      <c r="F677" s="139"/>
      <c r="G677" s="158"/>
      <c r="H677" s="20"/>
      <c r="J677" s="110"/>
    </row>
    <row r="678" spans="1:10" s="14" customFormat="1" x14ac:dyDescent="0.2">
      <c r="A678" s="48"/>
      <c r="C678" s="3"/>
      <c r="D678" s="139"/>
      <c r="E678" s="139"/>
      <c r="F678" s="139"/>
      <c r="G678" s="158"/>
      <c r="H678" s="20"/>
      <c r="J678" s="110"/>
    </row>
    <row r="679" spans="1:10" s="14" customFormat="1" x14ac:dyDescent="0.2">
      <c r="A679" s="48"/>
      <c r="C679" s="3"/>
      <c r="D679" s="139"/>
      <c r="E679" s="139"/>
      <c r="F679" s="139"/>
      <c r="G679" s="158"/>
      <c r="H679" s="20"/>
      <c r="J679" s="110"/>
    </row>
    <row r="680" spans="1:10" s="14" customFormat="1" x14ac:dyDescent="0.2">
      <c r="A680" s="48"/>
      <c r="C680" s="3"/>
      <c r="D680" s="139"/>
      <c r="E680" s="139"/>
      <c r="F680" s="139"/>
      <c r="G680" s="158"/>
      <c r="H680" s="20"/>
      <c r="J680" s="110"/>
    </row>
    <row r="681" spans="1:10" s="14" customFormat="1" x14ac:dyDescent="0.2">
      <c r="A681" s="48"/>
      <c r="C681" s="3"/>
      <c r="D681" s="139"/>
      <c r="E681" s="139"/>
      <c r="F681" s="139"/>
      <c r="G681" s="158"/>
      <c r="H681" s="20"/>
      <c r="J681" s="110"/>
    </row>
    <row r="682" spans="1:10" s="14" customFormat="1" x14ac:dyDescent="0.2">
      <c r="A682" s="48"/>
      <c r="C682" s="3"/>
      <c r="D682" s="139"/>
      <c r="E682" s="139"/>
      <c r="F682" s="139"/>
      <c r="G682" s="158"/>
      <c r="H682" s="20"/>
      <c r="J682" s="110"/>
    </row>
    <row r="683" spans="1:10" s="14" customFormat="1" x14ac:dyDescent="0.2">
      <c r="A683" s="48"/>
      <c r="C683" s="3"/>
      <c r="D683" s="139"/>
      <c r="E683" s="139"/>
      <c r="F683" s="139"/>
      <c r="G683" s="158"/>
      <c r="H683" s="20"/>
      <c r="J683" s="110"/>
    </row>
    <row r="684" spans="1:10" s="14" customFormat="1" x14ac:dyDescent="0.2">
      <c r="A684" s="48"/>
      <c r="C684" s="3"/>
      <c r="D684" s="139"/>
      <c r="E684" s="139"/>
      <c r="F684" s="139"/>
      <c r="G684" s="158"/>
      <c r="H684" s="20"/>
      <c r="J684" s="110"/>
    </row>
    <row r="685" spans="1:10" s="14" customFormat="1" x14ac:dyDescent="0.2">
      <c r="A685" s="48"/>
      <c r="C685" s="3"/>
      <c r="D685" s="139"/>
      <c r="E685" s="139"/>
      <c r="F685" s="139"/>
      <c r="G685" s="158"/>
      <c r="H685" s="20"/>
      <c r="J685" s="110"/>
    </row>
    <row r="686" spans="1:10" s="14" customFormat="1" x14ac:dyDescent="0.2">
      <c r="A686" s="48"/>
      <c r="C686" s="3"/>
      <c r="D686" s="139"/>
      <c r="E686" s="139"/>
      <c r="F686" s="139"/>
      <c r="G686" s="158"/>
      <c r="H686" s="20"/>
      <c r="J686" s="110"/>
    </row>
    <row r="687" spans="1:10" s="14" customFormat="1" x14ac:dyDescent="0.2">
      <c r="A687" s="48"/>
      <c r="C687" s="3"/>
      <c r="D687" s="139"/>
      <c r="E687" s="139"/>
      <c r="F687" s="139"/>
      <c r="G687" s="158"/>
      <c r="H687" s="20"/>
      <c r="J687" s="110"/>
    </row>
    <row r="688" spans="1:10" s="14" customFormat="1" x14ac:dyDescent="0.2">
      <c r="A688" s="48"/>
      <c r="C688" s="3"/>
      <c r="D688" s="139"/>
      <c r="E688" s="139"/>
      <c r="F688" s="139"/>
      <c r="G688" s="158"/>
      <c r="H688" s="20"/>
      <c r="J688" s="110"/>
    </row>
    <row r="689" spans="1:10" s="14" customFormat="1" x14ac:dyDescent="0.2">
      <c r="A689" s="48"/>
      <c r="C689" s="3"/>
      <c r="D689" s="139"/>
      <c r="E689" s="139"/>
      <c r="F689" s="139"/>
      <c r="G689" s="158"/>
      <c r="H689" s="20"/>
      <c r="J689" s="110"/>
    </row>
    <row r="690" spans="1:10" s="14" customFormat="1" x14ac:dyDescent="0.2">
      <c r="A690" s="48"/>
      <c r="C690" s="3"/>
      <c r="D690" s="139"/>
      <c r="E690" s="139"/>
      <c r="F690" s="139"/>
      <c r="G690" s="158"/>
      <c r="H690" s="20"/>
      <c r="J690" s="110"/>
    </row>
    <row r="691" spans="1:10" s="14" customFormat="1" x14ac:dyDescent="0.2">
      <c r="A691" s="48"/>
      <c r="C691" s="6"/>
      <c r="D691" s="140"/>
      <c r="E691" s="140"/>
      <c r="F691" s="140"/>
      <c r="G691" s="138"/>
      <c r="H691" s="20"/>
      <c r="J691" s="110"/>
    </row>
  </sheetData>
  <sheetProtection algorithmName="SHA-512" hashValue="Qsf7yxk6Efi+HYEak49DjiEGeW77mVkfBxd0aREkOpkjF73YX9MP9dfD6KjsQUxOZ3kOfJpp8GLwczibfWstVw==" saltValue="WPRgf/YGORY2s/f6kZkqkw==" spinCount="100000" sheet="1" formatCells="0" formatColumns="0" formatRows="0"/>
  <customSheetViews>
    <customSheetView guid="{B8E02330-2419-4DE6-AD01-7ACC7A5D18DD}" scale="75" topLeftCell="A117">
      <selection activeCell="A2" sqref="A2:H135"/>
      <pageMargins left="0.75" right="0.75" top="1" bottom="1" header="0.5" footer="0.5"/>
      <pageSetup orientation="portrait" r:id="rId1"/>
      <headerFooter alignWithMargins="0"/>
    </customSheetView>
  </customSheetViews>
  <mergeCells count="152">
    <mergeCell ref="A1:B1"/>
    <mergeCell ref="B3:B8"/>
    <mergeCell ref="H3:H8"/>
    <mergeCell ref="B19:B23"/>
    <mergeCell ref="H51:H56"/>
    <mergeCell ref="A3:A8"/>
    <mergeCell ref="A45:A50"/>
    <mergeCell ref="B38:B44"/>
    <mergeCell ref="H38:H44"/>
    <mergeCell ref="B45:B50"/>
    <mergeCell ref="A15:A18"/>
    <mergeCell ref="H25:H31"/>
    <mergeCell ref="H45:H50"/>
    <mergeCell ref="A32:A37"/>
    <mergeCell ref="B32:B37"/>
    <mergeCell ref="H32:H37"/>
    <mergeCell ref="A10:A14"/>
    <mergeCell ref="H57:H62"/>
    <mergeCell ref="H15:H18"/>
    <mergeCell ref="H10:H14"/>
    <mergeCell ref="H19:H23"/>
    <mergeCell ref="B10:B14"/>
    <mergeCell ref="A51:A56"/>
    <mergeCell ref="B51:B56"/>
    <mergeCell ref="B15:B18"/>
    <mergeCell ref="A57:A62"/>
    <mergeCell ref="A19:A23"/>
    <mergeCell ref="A38:A44"/>
    <mergeCell ref="B57:B62"/>
    <mergeCell ref="B25:B31"/>
    <mergeCell ref="A25:A31"/>
    <mergeCell ref="A69:A75"/>
    <mergeCell ref="B69:B75"/>
    <mergeCell ref="H63:H68"/>
    <mergeCell ref="H80:H83"/>
    <mergeCell ref="H69:H75"/>
    <mergeCell ref="H84:H89"/>
    <mergeCell ref="H96:H99"/>
    <mergeCell ref="B96:B99"/>
    <mergeCell ref="A96:A99"/>
    <mergeCell ref="B63:B68"/>
    <mergeCell ref="B80:B83"/>
    <mergeCell ref="H90:H95"/>
    <mergeCell ref="A80:A83"/>
    <mergeCell ref="A76:A79"/>
    <mergeCell ref="B84:B89"/>
    <mergeCell ref="B76:B79"/>
    <mergeCell ref="B90:B95"/>
    <mergeCell ref="H76:H79"/>
    <mergeCell ref="A84:A89"/>
    <mergeCell ref="A90:A95"/>
    <mergeCell ref="A63:A68"/>
    <mergeCell ref="C151:E151"/>
    <mergeCell ref="D144:F144"/>
    <mergeCell ref="D145:F145"/>
    <mergeCell ref="D146:F146"/>
    <mergeCell ref="D147:F147"/>
    <mergeCell ref="D148:F148"/>
    <mergeCell ref="C150:E150"/>
    <mergeCell ref="A143:C149"/>
    <mergeCell ref="D143:H143"/>
    <mergeCell ref="D149:H149"/>
    <mergeCell ref="A150:B151"/>
    <mergeCell ref="H100:H103"/>
    <mergeCell ref="H134:H140"/>
    <mergeCell ref="A134:A140"/>
    <mergeCell ref="B134:B140"/>
    <mergeCell ref="H127:H133"/>
    <mergeCell ref="A127:A133"/>
    <mergeCell ref="B127:B133"/>
    <mergeCell ref="H121:H126"/>
    <mergeCell ref="A121:A126"/>
    <mergeCell ref="B121:B126"/>
    <mergeCell ref="A100:A103"/>
    <mergeCell ref="A114:A116"/>
    <mergeCell ref="A104:A107"/>
    <mergeCell ref="B104:B107"/>
    <mergeCell ref="B100:B103"/>
    <mergeCell ref="H108:H113"/>
    <mergeCell ref="H104:H107"/>
    <mergeCell ref="B108:B113"/>
    <mergeCell ref="A108:A113"/>
    <mergeCell ref="H114:H116"/>
    <mergeCell ref="B114:B116"/>
    <mergeCell ref="I25:I31"/>
    <mergeCell ref="I32:I37"/>
    <mergeCell ref="I38:I44"/>
    <mergeCell ref="I45:I50"/>
    <mergeCell ref="I51:I56"/>
    <mergeCell ref="E1:I1"/>
    <mergeCell ref="I3:I8"/>
    <mergeCell ref="I10:I14"/>
    <mergeCell ref="I15:I18"/>
    <mergeCell ref="I19:I23"/>
    <mergeCell ref="I84:I89"/>
    <mergeCell ref="I90:I95"/>
    <mergeCell ref="I96:I99"/>
    <mergeCell ref="I100:I103"/>
    <mergeCell ref="I104:I107"/>
    <mergeCell ref="I57:I62"/>
    <mergeCell ref="I63:I68"/>
    <mergeCell ref="I69:I75"/>
    <mergeCell ref="I76:I79"/>
    <mergeCell ref="I80:I83"/>
    <mergeCell ref="I108:I113"/>
    <mergeCell ref="I114:I116"/>
    <mergeCell ref="I121:I126"/>
    <mergeCell ref="I127:I133"/>
    <mergeCell ref="I134:I140"/>
    <mergeCell ref="H156:I156"/>
    <mergeCell ref="H157:I157"/>
    <mergeCell ref="H158:I158"/>
    <mergeCell ref="H159:I159"/>
    <mergeCell ref="H160:I160"/>
    <mergeCell ref="H150:I150"/>
    <mergeCell ref="H151:I151"/>
    <mergeCell ref="H153:I153"/>
    <mergeCell ref="H154:I154"/>
    <mergeCell ref="H155:I155"/>
    <mergeCell ref="H166:I166"/>
    <mergeCell ref="H167:I167"/>
    <mergeCell ref="H168:I168"/>
    <mergeCell ref="H169:I169"/>
    <mergeCell ref="H170:I170"/>
    <mergeCell ref="H161:I161"/>
    <mergeCell ref="H162:I162"/>
    <mergeCell ref="H163:I163"/>
    <mergeCell ref="H164:I164"/>
    <mergeCell ref="H165:I165"/>
    <mergeCell ref="H176:I176"/>
    <mergeCell ref="H177:I177"/>
    <mergeCell ref="H178:I178"/>
    <mergeCell ref="H179:I179"/>
    <mergeCell ref="H180:I180"/>
    <mergeCell ref="H171:I171"/>
    <mergeCell ref="H172:I172"/>
    <mergeCell ref="H173:I173"/>
    <mergeCell ref="H174:I174"/>
    <mergeCell ref="H175:I175"/>
    <mergeCell ref="H191:I191"/>
    <mergeCell ref="H192:I192"/>
    <mergeCell ref="H193:I193"/>
    <mergeCell ref="H186:I186"/>
    <mergeCell ref="H187:I187"/>
    <mergeCell ref="H188:I188"/>
    <mergeCell ref="H189:I189"/>
    <mergeCell ref="H190:I190"/>
    <mergeCell ref="H181:I181"/>
    <mergeCell ref="H182:I182"/>
    <mergeCell ref="H183:I183"/>
    <mergeCell ref="H184:I184"/>
    <mergeCell ref="H185:I185"/>
  </mergeCells>
  <phoneticPr fontId="3" type="noConversion"/>
  <pageMargins left="0.75" right="0.75" top="1" bottom="1" header="0.5" footer="0.5"/>
  <pageSetup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A1:K224"/>
  <sheetViews>
    <sheetView zoomScaleNormal="100" workbookViewId="0">
      <selection sqref="A1:B1"/>
    </sheetView>
  </sheetViews>
  <sheetFormatPr defaultColWidth="9.33203125" defaultRowHeight="16.5" x14ac:dyDescent="0.2"/>
  <cols>
    <col min="1" max="1" width="5.83203125" style="9" customWidth="1"/>
    <col min="2" max="2" width="18.83203125" style="49" customWidth="1"/>
    <col min="3" max="3" width="75.83203125" style="6" customWidth="1"/>
    <col min="4" max="6" width="7.83203125" style="298" customWidth="1"/>
    <col min="7" max="7" width="9.33203125" style="136" customWidth="1"/>
    <col min="8" max="8" width="64.83203125" style="7" customWidth="1"/>
    <col min="9" max="9" width="11.33203125" style="9" customWidth="1"/>
    <col min="10" max="10" width="9.33203125" style="11"/>
    <col min="11" max="11" width="9.33203125" style="126"/>
    <col min="12" max="16384" width="9.33203125" style="9"/>
  </cols>
  <sheetData>
    <row r="1" spans="1:11" s="2060" customFormat="1" ht="66" customHeight="1" thickBot="1" x14ac:dyDescent="0.25">
      <c r="A1" s="2627" t="s">
        <v>2433</v>
      </c>
      <c r="B1" s="2783"/>
      <c r="C1" s="2042" t="s">
        <v>2916</v>
      </c>
      <c r="D1" s="2078" t="s">
        <v>1069</v>
      </c>
      <c r="E1" s="2781"/>
      <c r="F1" s="2782"/>
      <c r="G1" s="2782"/>
      <c r="H1" s="2782"/>
      <c r="I1" s="2782"/>
      <c r="J1" s="2089"/>
      <c r="K1" s="377"/>
    </row>
    <row r="2" spans="1:11" s="106" customFormat="1" ht="36" customHeight="1" thickBot="1" x14ac:dyDescent="0.25">
      <c r="A2" s="1195" t="s">
        <v>88</v>
      </c>
      <c r="B2" s="1158" t="s">
        <v>1425</v>
      </c>
      <c r="C2" s="1196" t="s">
        <v>1165</v>
      </c>
      <c r="D2" s="1204" t="s">
        <v>45</v>
      </c>
      <c r="E2" s="1179" t="s">
        <v>1189</v>
      </c>
      <c r="F2" s="1295" t="s">
        <v>2580</v>
      </c>
      <c r="G2" s="1181" t="s">
        <v>2555</v>
      </c>
      <c r="H2" s="1182" t="s">
        <v>1118</v>
      </c>
      <c r="I2" s="2090" t="s">
        <v>2424</v>
      </c>
      <c r="J2" s="151"/>
    </row>
    <row r="3" spans="1:11" ht="45" customHeight="1" thickBot="1" x14ac:dyDescent="0.25">
      <c r="A3" s="2365" t="str">
        <f>OF!A99</f>
        <v>OF20</v>
      </c>
      <c r="B3" s="2327" t="str">
        <f>OF!B99</f>
        <v xml:space="preserve">Degraded Water Upstream </v>
      </c>
      <c r="C3" s="476" t="str">
        <f>OF!C99</f>
        <v xml:space="preserve">Sampling indicates a problem with concentrations of metals, hydrocarbons, nutrients, or other substances (excluding bacteria, acidic water, high temperatures) being present at levels harmful to aquatic life or humans, and:  </v>
      </c>
      <c r="D3" s="299"/>
      <c r="E3" s="299"/>
      <c r="F3" s="302"/>
      <c r="G3" s="466" t="str">
        <f>IF((D7=1),"", IF((D6=1),1, IF((D5=1),0.2, 0)))</f>
        <v/>
      </c>
      <c r="H3" s="2324" t="s">
        <v>607</v>
      </c>
      <c r="I3" s="2757" t="s">
        <v>415</v>
      </c>
    </row>
    <row r="4" spans="1:11" ht="15" customHeight="1" x14ac:dyDescent="0.2">
      <c r="A4" s="2365"/>
      <c r="B4" s="2327"/>
      <c r="C4" s="1883" t="str">
        <f>OF!C100</f>
        <v>The condition is present within the AA.</v>
      </c>
      <c r="D4" s="212">
        <f>OF!D100</f>
        <v>0</v>
      </c>
      <c r="E4" s="299"/>
      <c r="F4" s="300"/>
      <c r="G4" s="548"/>
      <c r="H4" s="2324"/>
      <c r="I4" s="2758"/>
    </row>
    <row r="5" spans="1:11" ht="27" customHeight="1" x14ac:dyDescent="0.2">
      <c r="A5" s="2365"/>
      <c r="B5" s="2327"/>
      <c r="C5" s="1620" t="str">
        <f>OF!C101</f>
        <v>The condition is present in waters within 1 km that flow into the AA, but has not been documented in the AA itself.</v>
      </c>
      <c r="D5" s="70">
        <f>OF!D101</f>
        <v>0</v>
      </c>
      <c r="E5" s="299"/>
      <c r="F5" s="300"/>
      <c r="G5" s="549"/>
      <c r="H5" s="2324"/>
      <c r="I5" s="2758"/>
    </row>
    <row r="6" spans="1:11" ht="27" customHeight="1" x14ac:dyDescent="0.2">
      <c r="A6" s="2365"/>
      <c r="B6" s="2327"/>
      <c r="C6" s="1620" t="str">
        <f>OF!C102</f>
        <v>Sampling during both low water periods and times with high runoff (storms, snowmelt) indicates no problems in either the AA or inflowing waters.</v>
      </c>
      <c r="D6" s="70">
        <f>OF!D102</f>
        <v>0</v>
      </c>
      <c r="E6" s="299"/>
      <c r="F6" s="300"/>
      <c r="G6" s="549"/>
      <c r="H6" s="2324"/>
      <c r="I6" s="2758"/>
    </row>
    <row r="7" spans="1:11" ht="27" customHeight="1" thickBot="1" x14ac:dyDescent="0.25">
      <c r="A7" s="2367"/>
      <c r="B7" s="2328"/>
      <c r="C7" s="1893" t="str">
        <f>OF!C103</f>
        <v>Data are insufficient (no or inadequate sampling within 1 km, or condition exists only at &gt;1 km upstream). This is the situation for nearly all wetlands in this region.</v>
      </c>
      <c r="D7" s="152">
        <f>OF!D103</f>
        <v>1</v>
      </c>
      <c r="E7" s="314"/>
      <c r="F7" s="301"/>
      <c r="G7" s="550"/>
      <c r="H7" s="2325"/>
      <c r="I7" s="2759"/>
    </row>
    <row r="8" spans="1:11" s="2" customFormat="1" ht="56.25" customHeight="1" thickBot="1" x14ac:dyDescent="0.25">
      <c r="A8" s="1580" t="str">
        <f>OF!A133</f>
        <v>OF27</v>
      </c>
      <c r="B8" s="1576" t="str">
        <f>OF!B133</f>
        <v>Growing Degree Days</v>
      </c>
      <c r="C8" s="1975" t="str">
        <f>OF!C133</f>
        <v>In Google Earth, open the KMZ file that accompanies this calculator, called NB-PEI_GrowingDegreeDays. Place your cursor over the AA and left-click. From the pop-up, enter the GRIDCODE in the next column.</v>
      </c>
      <c r="D8" s="2066">
        <f>OF!D133</f>
        <v>2135</v>
      </c>
      <c r="E8" s="1585"/>
      <c r="F8" s="307"/>
      <c r="G8" s="508">
        <f>IF((GrowD&lt;1),"",(GrowD-1305)/1328)</f>
        <v>0.625</v>
      </c>
      <c r="H8" s="1568" t="s">
        <v>964</v>
      </c>
      <c r="I8" s="1977" t="s">
        <v>965</v>
      </c>
      <c r="K8" s="151"/>
    </row>
    <row r="9" spans="1:11" s="2" customFormat="1" ht="30.75" customHeight="1" thickBot="1" x14ac:dyDescent="0.25">
      <c r="A9" s="2489" t="str">
        <f>OF!A134</f>
        <v>OF28</v>
      </c>
      <c r="B9" s="2323" t="str">
        <f>OF!B134</f>
        <v>Fish Access or Use</v>
      </c>
      <c r="C9" s="365" t="str">
        <f>OF!C134</f>
        <v>According to agency biologists and/or your own observations, the AA. [Mark just the first choice that is true.]:</v>
      </c>
      <c r="D9" s="304"/>
      <c r="E9" s="304"/>
      <c r="F9" s="305"/>
      <c r="G9" s="465">
        <f>MAX(F10:F13)/MAX(E10:E13)</f>
        <v>1</v>
      </c>
      <c r="H9" s="2323" t="s">
        <v>1455</v>
      </c>
      <c r="I9" s="2574" t="s">
        <v>146</v>
      </c>
      <c r="K9" s="151"/>
    </row>
    <row r="10" spans="1:11" s="2" customFormat="1" ht="42" customHeight="1" x14ac:dyDescent="0.2">
      <c r="A10" s="2371"/>
      <c r="B10" s="2324"/>
      <c r="C10" s="1905" t="str">
        <f>OF!C135</f>
        <v>Is known to support rearing and/or spawning by Atlantic salmon or other anadromous species or eels.  In NB, consult Figure A-2 in Appendix A of the Manual.  Contact local fishery biologists, review the ACCDC report, and visit these websites: http://www.salmonatlas.com/atlanticsalmon/canada-east/index.1.html    http://atlanticsalmonfederation.org/rivers/introduction.html</v>
      </c>
      <c r="D10" s="295">
        <f>OF!D135</f>
        <v>0</v>
      </c>
      <c r="E10" s="300">
        <v>1</v>
      </c>
      <c r="F10" s="300">
        <f>D10*E10</f>
        <v>0</v>
      </c>
      <c r="G10" s="548"/>
      <c r="H10" s="2324"/>
      <c r="I10" s="2575"/>
      <c r="K10" s="151"/>
    </row>
    <row r="11" spans="1:11" s="2" customFormat="1" ht="42" customHeight="1" x14ac:dyDescent="0.2">
      <c r="A11" s="2371"/>
      <c r="B11" s="2324"/>
      <c r="C11" s="1895" t="str">
        <f>OF!C136</f>
        <v>Has not been documented to support Atlantic salmon rearing and/or spawning, but is connected to nearby waters likely to contain Atlantic salmon or other anadromous species or eels and is probably accessed by those during some conditions.</v>
      </c>
      <c r="D11" s="211">
        <f>OF!D136</f>
        <v>0</v>
      </c>
      <c r="E11" s="300">
        <v>1</v>
      </c>
      <c r="F11" s="300">
        <f>D11*E11</f>
        <v>0</v>
      </c>
      <c r="G11" s="549"/>
      <c r="H11" s="2324"/>
      <c r="I11" s="2575"/>
      <c r="K11" s="151"/>
    </row>
    <row r="12" spans="1:11" s="2" customFormat="1" ht="27" customHeight="1" x14ac:dyDescent="0.2">
      <c r="A12" s="2371"/>
      <c r="B12" s="2324"/>
      <c r="C12" s="1895" t="str">
        <f>OF!C137</f>
        <v>Is probably is not accessed by any anadromous fish species but is known or likely to have other fish at least seasonally.</v>
      </c>
      <c r="D12" s="211">
        <f>OF!D137</f>
        <v>1</v>
      </c>
      <c r="E12" s="300">
        <v>1</v>
      </c>
      <c r="F12" s="300">
        <f>D12*E12</f>
        <v>1</v>
      </c>
      <c r="G12" s="549"/>
      <c r="H12" s="2324"/>
      <c r="I12" s="2575"/>
      <c r="K12" s="151"/>
    </row>
    <row r="13" spans="1:11" s="2" customFormat="1" ht="27" customHeight="1" thickBot="1" x14ac:dyDescent="0.25">
      <c r="A13" s="2371"/>
      <c r="B13" s="2324"/>
      <c r="C13" s="1895" t="str">
        <f>OF!C138</f>
        <v xml:space="preserve">Is known or likely to be fishless (e.g., too small, dry, and/or not accessible even temporarily, and not stocked). </v>
      </c>
      <c r="D13" s="211">
        <f>OF!D138</f>
        <v>0</v>
      </c>
      <c r="E13" s="303">
        <v>0</v>
      </c>
      <c r="F13" s="303">
        <f>D13*E13</f>
        <v>0</v>
      </c>
      <c r="G13" s="558"/>
      <c r="H13" s="2324"/>
      <c r="I13" s="2576"/>
      <c r="K13" s="151"/>
    </row>
    <row r="14" spans="1:11" s="1570" customFormat="1" ht="67.5" customHeight="1" thickBot="1" x14ac:dyDescent="0.25">
      <c r="A14" s="157" t="str">
        <f>OF!A152</f>
        <v>OF37</v>
      </c>
      <c r="B14" s="157" t="str">
        <f>OF!B152</f>
        <v>Calcareous Region</v>
      </c>
      <c r="C14" s="157" t="str">
        <f>OF!C152</f>
        <v xml:space="preserve">The AA is in an area that is at least partly underlain by soil, sediment, or bedrock that is highly calcareous (enter 3 in next column), moderately calcareous (enter 2), or slightly calcareous (enter 1), none= 0. Limestone is typically a major component (karst geology) and water is not acidic (pH is usually &gt;8).See Figure A-6 in Appendix A of the Manual.  If no map coverage, change to blank.
</v>
      </c>
      <c r="D14" s="243">
        <f>IF((OF!D152=""),"",OF!D152)</f>
        <v>0</v>
      </c>
      <c r="E14" s="320"/>
      <c r="F14" s="312"/>
      <c r="G14" s="1586">
        <f>IF((D14=""),"",D14/3)</f>
        <v>0</v>
      </c>
      <c r="H14" s="103" t="s">
        <v>2910</v>
      </c>
      <c r="I14" s="1978"/>
      <c r="K14" s="151"/>
    </row>
    <row r="15" spans="1:11" s="7" customFormat="1" ht="27" customHeight="1" thickBot="1" x14ac:dyDescent="0.25">
      <c r="A15" s="2324" t="str">
        <f>F!A4</f>
        <v>F1</v>
      </c>
      <c r="B15" s="2324" t="str">
        <f>F!B4</f>
        <v>Wetland Type</v>
      </c>
      <c r="C15" s="1581" t="str">
        <f>F!C4</f>
        <v>Follow the key below and mark the ONE row that best describes MOST of the vegetated part of the AA:</v>
      </c>
      <c r="D15" s="299"/>
      <c r="E15" s="1582"/>
      <c r="F15" s="605"/>
      <c r="G15" s="466">
        <f>MAX(F17:F21)/MAX(E17:E21)</f>
        <v>1</v>
      </c>
      <c r="H15" s="2324" t="s">
        <v>1570</v>
      </c>
      <c r="I15" s="2574" t="s">
        <v>154</v>
      </c>
      <c r="J15" s="2"/>
      <c r="K15" s="123"/>
    </row>
    <row r="16" spans="1:11" s="7" customFormat="1" ht="57" customHeight="1" thickBot="1" x14ac:dyDescent="0.25">
      <c r="A16" s="2324"/>
      <c r="B16" s="2324"/>
      <c r="C16" s="1317"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16" s="299"/>
      <c r="E16" s="300"/>
      <c r="F16" s="300"/>
      <c r="G16" s="318"/>
      <c r="H16" s="2324"/>
      <c r="I16" s="2575"/>
      <c r="J16" s="478"/>
      <c r="K16" s="123"/>
    </row>
    <row r="17" spans="1:11" s="7" customFormat="1" ht="82.5" customHeight="1" x14ac:dyDescent="0.2">
      <c r="A17" s="2324"/>
      <c r="B17" s="2324"/>
      <c r="C17" s="871"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17" s="213">
        <f>F!D6</f>
        <v>0</v>
      </c>
      <c r="E17" s="316">
        <v>0</v>
      </c>
      <c r="F17" s="300">
        <f>D17*E17</f>
        <v>0</v>
      </c>
      <c r="G17" s="619"/>
      <c r="H17" s="2324"/>
      <c r="I17" s="2575"/>
      <c r="J17" s="2"/>
      <c r="K17" s="123"/>
    </row>
    <row r="18" spans="1:11" s="7" customFormat="1" ht="57" customHeight="1" thickBot="1" x14ac:dyDescent="0.25">
      <c r="A18" s="2324"/>
      <c r="B18" s="2324"/>
      <c r="C18" s="1991"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18" s="205">
        <f>F!D7</f>
        <v>0</v>
      </c>
      <c r="E18" s="316">
        <v>3</v>
      </c>
      <c r="F18" s="300">
        <f>D18*E18</f>
        <v>0</v>
      </c>
      <c r="G18" s="620"/>
      <c r="H18" s="2324"/>
      <c r="I18" s="2575"/>
      <c r="J18" s="2"/>
      <c r="K18" s="123"/>
    </row>
    <row r="19" spans="1:11" s="7" customFormat="1" ht="42.75" customHeight="1" thickBot="1" x14ac:dyDescent="0.25">
      <c r="A19" s="2324"/>
      <c r="B19" s="2324"/>
      <c r="C19" s="73" t="str">
        <f>F!C8</f>
        <v>B. Moss and/or lichen cover less than 25% of the ground. Soil is mineral or decomposed organic (muck). Choose between B1 and B2 and mark the choice with a 1 in their adjoining column:</v>
      </c>
      <c r="D19" s="316"/>
      <c r="E19" s="300"/>
      <c r="F19" s="316"/>
      <c r="G19" s="620"/>
      <c r="H19" s="2324"/>
      <c r="I19" s="2575"/>
      <c r="J19" s="2"/>
      <c r="K19" s="123"/>
    </row>
    <row r="20" spans="1:11" s="7" customFormat="1" ht="39" customHeight="1" x14ac:dyDescent="0.2">
      <c r="A20" s="2324"/>
      <c r="B20" s="2324"/>
      <c r="C20" s="871" t="str">
        <f>F!C9</f>
        <v>B1. Trees and shrubs taller than 1 m comprise more than 25% of the vegetated cover. Surface water is mostly absent or inundates the vegetation only seasonally (e.g., vernal pools or floodplain).</v>
      </c>
      <c r="D20" s="237">
        <f>F!D9</f>
        <v>0</v>
      </c>
      <c r="E20" s="316">
        <v>2</v>
      </c>
      <c r="F20" s="300"/>
      <c r="G20" s="619"/>
      <c r="H20" s="2324"/>
      <c r="I20" s="2575"/>
      <c r="J20" s="478"/>
      <c r="K20" s="123"/>
    </row>
    <row r="21" spans="1:11" s="7" customFormat="1" ht="45" customHeight="1" thickBot="1" x14ac:dyDescent="0.25">
      <c r="A21" s="2325"/>
      <c r="B21" s="2325"/>
      <c r="C21" s="595"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21" s="1499">
        <f>F!D10</f>
        <v>1</v>
      </c>
      <c r="E21" s="317">
        <v>4</v>
      </c>
      <c r="F21" s="301">
        <f>D21*E21</f>
        <v>4</v>
      </c>
      <c r="G21" s="1492"/>
      <c r="H21" s="2325"/>
      <c r="I21" s="2575"/>
      <c r="J21" s="478"/>
      <c r="K21" s="123"/>
    </row>
    <row r="22" spans="1:11" ht="30" customHeight="1" thickBot="1" x14ac:dyDescent="0.25">
      <c r="A22" s="2399" t="str">
        <f>F!A51</f>
        <v>F9</v>
      </c>
      <c r="B22" s="2324" t="str">
        <f>F!B51</f>
        <v>N Fixers</v>
      </c>
      <c r="C22" s="338" t="str">
        <f>F!C51</f>
        <v>The percentage of the AA's vegetated cover that contains nitrogen-fixing plants (e.g., alder, sweetgale, clover, lupine, alfalfa, other legumes) is:</v>
      </c>
      <c r="D22" s="299"/>
      <c r="E22" s="299"/>
      <c r="F22" s="321"/>
      <c r="G22" s="434">
        <f>MAX(F23:F27)/MAX(E23:E27)</f>
        <v>0</v>
      </c>
      <c r="H22" s="2324" t="s">
        <v>606</v>
      </c>
      <c r="I22" s="2757" t="s">
        <v>155</v>
      </c>
    </row>
    <row r="23" spans="1:11" ht="15" customHeight="1" x14ac:dyDescent="0.2">
      <c r="A23" s="2399"/>
      <c r="B23" s="2324"/>
      <c r="C23" s="479" t="str">
        <f>F!C52</f>
        <v>&lt;1% or none.</v>
      </c>
      <c r="D23" s="295">
        <f>F!D52</f>
        <v>1</v>
      </c>
      <c r="E23" s="300">
        <v>0</v>
      </c>
      <c r="F23" s="300">
        <f>D23*E23</f>
        <v>0</v>
      </c>
      <c r="G23" s="429"/>
      <c r="H23" s="2324"/>
      <c r="I23" s="2758"/>
    </row>
    <row r="24" spans="1:11" ht="15" customHeight="1" x14ac:dyDescent="0.2">
      <c r="A24" s="2399"/>
      <c r="B24" s="2324"/>
      <c r="C24" s="482" t="str">
        <f>F!C53</f>
        <v>1-25% of the vegetated cover, in the AA or along its water edge (whichever has more).</v>
      </c>
      <c r="D24" s="211">
        <f>F!D53</f>
        <v>0</v>
      </c>
      <c r="E24" s="300">
        <v>1</v>
      </c>
      <c r="F24" s="300">
        <f>D24*E24</f>
        <v>0</v>
      </c>
      <c r="G24" s="430"/>
      <c r="H24" s="2324"/>
      <c r="I24" s="2758"/>
    </row>
    <row r="25" spans="1:11" ht="15" customHeight="1" x14ac:dyDescent="0.2">
      <c r="A25" s="2399"/>
      <c r="B25" s="2324"/>
      <c r="C25" s="482" t="str">
        <f>F!C54</f>
        <v>25-50% of the vegetated cover, in the AA or along its water edge (whichever has more).</v>
      </c>
      <c r="D25" s="211">
        <f>F!D54</f>
        <v>0</v>
      </c>
      <c r="E25" s="300">
        <v>2</v>
      </c>
      <c r="F25" s="300">
        <f>D25*E25</f>
        <v>0</v>
      </c>
      <c r="G25" s="430"/>
      <c r="H25" s="2324"/>
      <c r="I25" s="2758"/>
    </row>
    <row r="26" spans="1:11" ht="15" customHeight="1" x14ac:dyDescent="0.2">
      <c r="A26" s="2399"/>
      <c r="B26" s="2324"/>
      <c r="C26" s="482" t="str">
        <f>F!C55</f>
        <v>50-75% of the vegetated cover, in the AA or along its water edge (whichever has more).</v>
      </c>
      <c r="D26" s="211">
        <f>F!D55</f>
        <v>0</v>
      </c>
      <c r="E26" s="300">
        <v>3</v>
      </c>
      <c r="F26" s="300">
        <f>D26*E26</f>
        <v>0</v>
      </c>
      <c r="G26" s="430"/>
      <c r="H26" s="2324"/>
      <c r="I26" s="2758"/>
    </row>
    <row r="27" spans="1:11" ht="15" customHeight="1" thickBot="1" x14ac:dyDescent="0.25">
      <c r="A27" s="2553"/>
      <c r="B27" s="2325"/>
      <c r="C27" s="420" t="str">
        <f>F!C56</f>
        <v>&gt;75% of the vegetated cover, in the AA or along its water edge (whichever has more).</v>
      </c>
      <c r="D27" s="206">
        <f>F!D56</f>
        <v>0</v>
      </c>
      <c r="E27" s="301">
        <v>4</v>
      </c>
      <c r="F27" s="301">
        <f>D27*E27</f>
        <v>0</v>
      </c>
      <c r="G27" s="431"/>
      <c r="H27" s="2325"/>
      <c r="I27" s="2759"/>
    </row>
    <row r="28" spans="1:11" s="2" customFormat="1" ht="75" customHeight="1" thickBot="1" x14ac:dyDescent="0.25">
      <c r="A28" s="613" t="str">
        <f>F!A120</f>
        <v>F23</v>
      </c>
      <c r="B28" s="124" t="str">
        <f>F!B120</f>
        <v>Lacustrine Wetland</v>
      </c>
      <c r="C28" s="614" t="str">
        <f>F!C120</f>
        <v>The vegetated part of the AA is within or adjacent to a body of non-tidal standing open water whose size exceeds 8 hectares during most of a normal year.</v>
      </c>
      <c r="D28" s="249">
        <f>F!D120</f>
        <v>0</v>
      </c>
      <c r="E28" s="323"/>
      <c r="F28" s="312"/>
      <c r="G28" s="465" t="str">
        <f>IF((AllSat1&gt;0),"", IF((NoPersis=1),"", IF((D28=0),"",1)))</f>
        <v/>
      </c>
      <c r="H28" s="4" t="s">
        <v>1848</v>
      </c>
      <c r="I28" s="1231" t="s">
        <v>159</v>
      </c>
      <c r="K28" s="151"/>
    </row>
    <row r="29" spans="1:11" s="2" customFormat="1" ht="30" customHeight="1" thickBot="1" x14ac:dyDescent="0.25">
      <c r="A29" s="2671" t="str">
        <f>F!A121</f>
        <v>F24</v>
      </c>
      <c r="B29" s="2339" t="str">
        <f>F!B121</f>
        <v>% of AA Without Surface Water</v>
      </c>
      <c r="C29" s="617" t="str">
        <f>F!C121</f>
        <v>The percentage of the AA that never contains surface water during an average year (that is, except perhaps for a few hours after snowmelt or rainstorms), but which is still a wetland, is:</v>
      </c>
      <c r="D29" s="304"/>
      <c r="E29" s="315"/>
      <c r="F29" s="555"/>
      <c r="G29" s="465">
        <f>MAX(F30:F35)/MAX(E30:E35)</f>
        <v>1</v>
      </c>
      <c r="H29" s="2323" t="s">
        <v>665</v>
      </c>
      <c r="I29" s="2574" t="s">
        <v>666</v>
      </c>
      <c r="K29" s="151"/>
    </row>
    <row r="30" spans="1:11" s="2" customFormat="1" ht="15" customHeight="1" x14ac:dyDescent="0.2">
      <c r="A30" s="2672"/>
      <c r="B30" s="2340"/>
      <c r="C30" s="615" t="str">
        <f>F!C122</f>
        <v xml:space="preserve">&lt;1% . In other words, all or nearly all of the AA is covered by water permanently or at least seasonally.  </v>
      </c>
      <c r="D30" s="250">
        <f>F!D122</f>
        <v>1</v>
      </c>
      <c r="E30" s="300">
        <v>5</v>
      </c>
      <c r="F30" s="300">
        <f t="shared" ref="F30:F35" si="0">D30*E30</f>
        <v>5</v>
      </c>
      <c r="G30" s="549"/>
      <c r="H30" s="2324"/>
      <c r="I30" s="2575"/>
      <c r="K30" s="151"/>
    </row>
    <row r="31" spans="1:11" s="2" customFormat="1" ht="15" customHeight="1" x14ac:dyDescent="0.2">
      <c r="A31" s="2672"/>
      <c r="B31" s="2340"/>
      <c r="C31" s="615" t="str">
        <f>F!C123</f>
        <v>1-25% of the AA,  or &lt;1% but &gt;0.01 ha never contains surface water.</v>
      </c>
      <c r="D31" s="250">
        <f>F!D123</f>
        <v>0</v>
      </c>
      <c r="E31" s="300">
        <v>4</v>
      </c>
      <c r="F31" s="300">
        <f t="shared" si="0"/>
        <v>0</v>
      </c>
      <c r="G31" s="549"/>
      <c r="H31" s="2324"/>
      <c r="I31" s="2575"/>
      <c r="K31" s="151"/>
    </row>
    <row r="32" spans="1:11" s="2" customFormat="1" ht="15" customHeight="1" x14ac:dyDescent="0.2">
      <c r="A32" s="2672"/>
      <c r="B32" s="2340"/>
      <c r="C32" s="615" t="str">
        <f>F!C124</f>
        <v>25-50% of the AA never contains surface water.</v>
      </c>
      <c r="D32" s="250">
        <f>F!D124</f>
        <v>0</v>
      </c>
      <c r="E32" s="300">
        <v>3</v>
      </c>
      <c r="F32" s="300">
        <f t="shared" si="0"/>
        <v>0</v>
      </c>
      <c r="G32" s="549"/>
      <c r="H32" s="2324"/>
      <c r="I32" s="2575"/>
      <c r="K32" s="151"/>
    </row>
    <row r="33" spans="1:11" s="2" customFormat="1" ht="15" customHeight="1" x14ac:dyDescent="0.2">
      <c r="A33" s="2672"/>
      <c r="B33" s="2340"/>
      <c r="C33" s="615" t="str">
        <f>F!C125</f>
        <v>50-75% of the AA never contains surface water.</v>
      </c>
      <c r="D33" s="250">
        <f>F!D125</f>
        <v>0</v>
      </c>
      <c r="E33" s="300">
        <v>2</v>
      </c>
      <c r="F33" s="300">
        <f t="shared" si="0"/>
        <v>0</v>
      </c>
      <c r="G33" s="549"/>
      <c r="H33" s="2324"/>
      <c r="I33" s="2575"/>
      <c r="K33" s="151"/>
    </row>
    <row r="34" spans="1:11" s="2" customFormat="1" ht="27" customHeight="1" x14ac:dyDescent="0.2">
      <c r="A34" s="2672"/>
      <c r="B34" s="2340"/>
      <c r="C34" s="615" t="str">
        <f>F!C126</f>
        <v>75-99% of the AA never contains surface water, OR &gt;99% and there is at least one persistently ponded water body larger than 1 ha in the AA.</v>
      </c>
      <c r="D34" s="250">
        <f>F!D126</f>
        <v>0</v>
      </c>
      <c r="E34" s="300">
        <v>1</v>
      </c>
      <c r="F34" s="300">
        <f t="shared" si="0"/>
        <v>0</v>
      </c>
      <c r="G34" s="549"/>
      <c r="H34" s="2324"/>
      <c r="I34" s="2575"/>
      <c r="K34" s="151"/>
    </row>
    <row r="35" spans="1:11" s="2" customFormat="1" ht="27" customHeight="1" thickBot="1" x14ac:dyDescent="0.25">
      <c r="A35" s="2673"/>
      <c r="B35" s="2341"/>
      <c r="C35" s="1313" t="str">
        <f>F!C127</f>
        <v>99-100%. AND there is no persistently ponded water body larger than 1 ha within the AA. Enter "1" and SKIP to F42 (Channel Connection).</v>
      </c>
      <c r="D35" s="1314">
        <f>F!D127</f>
        <v>0</v>
      </c>
      <c r="E35" s="301">
        <v>0</v>
      </c>
      <c r="F35" s="301">
        <f t="shared" si="0"/>
        <v>0</v>
      </c>
      <c r="G35" s="550"/>
      <c r="H35" s="2325"/>
      <c r="I35" s="2576"/>
      <c r="K35" s="151"/>
    </row>
    <row r="36" spans="1:11" s="6" customFormat="1" ht="45" customHeight="1" thickBot="1" x14ac:dyDescent="0.25">
      <c r="A36" s="2529" t="str">
        <f>F!A128</f>
        <v>F25</v>
      </c>
      <c r="B36" s="2324" t="str">
        <f>F!B128</f>
        <v>% of AA with Persistent Surface Water</v>
      </c>
      <c r="C36" s="376"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36" s="299"/>
      <c r="E36" s="299"/>
      <c r="F36" s="302"/>
      <c r="G36" s="466">
        <f>IF((AllSat1&gt;0),"",MAX(F37:F41)/MAX(E37:E41))</f>
        <v>0.5</v>
      </c>
      <c r="H36" s="2404" t="s">
        <v>1197</v>
      </c>
      <c r="I36" s="2758" t="s">
        <v>140</v>
      </c>
      <c r="J36" s="2"/>
      <c r="K36" s="106"/>
    </row>
    <row r="37" spans="1:11" s="6" customFormat="1" ht="27" customHeight="1" x14ac:dyDescent="0.2">
      <c r="A37" s="2404"/>
      <c r="B37" s="2324"/>
      <c r="C37" s="872" t="str">
        <f>F!C129</f>
        <v>None. The AA dries up completely (no water in channels either) or never has surface water during most years.  SKIP to F27.</v>
      </c>
      <c r="D37" s="70">
        <f>F!D129</f>
        <v>0</v>
      </c>
      <c r="E37" s="299">
        <v>0</v>
      </c>
      <c r="F37" s="300">
        <f>D37*E37</f>
        <v>0</v>
      </c>
      <c r="G37" s="430"/>
      <c r="H37" s="2404"/>
      <c r="I37" s="2758"/>
      <c r="J37" s="478"/>
      <c r="K37" s="106"/>
    </row>
    <row r="38" spans="1:11" ht="15" customHeight="1" x14ac:dyDescent="0.2">
      <c r="A38" s="2404"/>
      <c r="B38" s="2324"/>
      <c r="C38" s="471" t="str">
        <f>F!C130</f>
        <v>1-20% of the AA.</v>
      </c>
      <c r="D38" s="70">
        <f>F!D130</f>
        <v>0</v>
      </c>
      <c r="E38" s="300">
        <v>1</v>
      </c>
      <c r="F38" s="300">
        <f>D38*E38</f>
        <v>0</v>
      </c>
      <c r="G38" s="430"/>
      <c r="H38" s="2404"/>
      <c r="I38" s="2758"/>
    </row>
    <row r="39" spans="1:11" ht="15" customHeight="1" x14ac:dyDescent="0.2">
      <c r="A39" s="2404"/>
      <c r="B39" s="2324"/>
      <c r="C39" s="471" t="str">
        <f>F!C131</f>
        <v>20-50% of the AA.</v>
      </c>
      <c r="D39" s="70">
        <f>F!D131</f>
        <v>1</v>
      </c>
      <c r="E39" s="300">
        <v>2</v>
      </c>
      <c r="F39" s="300">
        <f>D39*E39</f>
        <v>2</v>
      </c>
      <c r="G39" s="430"/>
      <c r="H39" s="2404"/>
      <c r="I39" s="2758"/>
    </row>
    <row r="40" spans="1:11" ht="15" customHeight="1" x14ac:dyDescent="0.2">
      <c r="A40" s="2404"/>
      <c r="B40" s="2324"/>
      <c r="C40" s="471" t="str">
        <f>F!C132</f>
        <v>50-95% of the AA.</v>
      </c>
      <c r="D40" s="70">
        <f>F!D132</f>
        <v>0</v>
      </c>
      <c r="E40" s="300">
        <v>3</v>
      </c>
      <c r="F40" s="300">
        <f>D40*E40</f>
        <v>0</v>
      </c>
      <c r="G40" s="430"/>
      <c r="H40" s="2404"/>
      <c r="I40" s="2758"/>
    </row>
    <row r="41" spans="1:11" ht="15" customHeight="1" thickBot="1" x14ac:dyDescent="0.25">
      <c r="A41" s="2530"/>
      <c r="B41" s="2325"/>
      <c r="C41" s="370" t="str">
        <f>F!C133</f>
        <v>&gt;95% of the AA. True for many fringe wetlands.</v>
      </c>
      <c r="D41" s="152">
        <f>F!D133</f>
        <v>0</v>
      </c>
      <c r="E41" s="317">
        <v>4</v>
      </c>
      <c r="F41" s="300">
        <f>D41*E41</f>
        <v>0</v>
      </c>
      <c r="G41" s="431"/>
      <c r="H41" s="2530"/>
      <c r="I41" s="2759"/>
    </row>
    <row r="42" spans="1:11" ht="30" customHeight="1" thickBot="1" x14ac:dyDescent="0.25">
      <c r="A42" s="2489" t="str">
        <f>F!A153</f>
        <v>F29</v>
      </c>
      <c r="B42" s="2323" t="str">
        <f>F!B153</f>
        <v>Predominant Depth Class</v>
      </c>
      <c r="C42" s="368" t="str">
        <f>F!C153</f>
        <v>During most of the time when surface water is present during the growing season, its depth, averaged over the entire inundated part of the AA, is:</v>
      </c>
      <c r="D42" s="304"/>
      <c r="E42" s="304"/>
      <c r="F42" s="322"/>
      <c r="G42" s="428">
        <f>IF((AllSat1&gt;0),"",IF((TooSmall=1),"",MAX(F43:F47)/MAX(E43:E47)))</f>
        <v>0.5</v>
      </c>
      <c r="H42" s="2529" t="s">
        <v>1198</v>
      </c>
      <c r="I42" s="2757" t="s">
        <v>142</v>
      </c>
    </row>
    <row r="43" spans="1:11" ht="15" customHeight="1" x14ac:dyDescent="0.2">
      <c r="A43" s="2371"/>
      <c r="B43" s="2324"/>
      <c r="C43" s="369" t="str">
        <f>F!C154</f>
        <v>&lt;10 cm deep (but &gt;0).</v>
      </c>
      <c r="D43" s="212">
        <f>F!D154</f>
        <v>0</v>
      </c>
      <c r="E43" s="300">
        <v>1</v>
      </c>
      <c r="F43" s="300">
        <f t="shared" ref="F43:F51" si="1">D43*E43</f>
        <v>0</v>
      </c>
      <c r="G43" s="429"/>
      <c r="H43" s="2404"/>
      <c r="I43" s="2758"/>
    </row>
    <row r="44" spans="1:11" ht="15" customHeight="1" x14ac:dyDescent="0.2">
      <c r="A44" s="2371"/>
      <c r="B44" s="2324"/>
      <c r="C44" s="471" t="str">
        <f>F!C155</f>
        <v>10 - 50 cm deep.</v>
      </c>
      <c r="D44" s="70">
        <f>F!D155</f>
        <v>0</v>
      </c>
      <c r="E44" s="300">
        <v>1</v>
      </c>
      <c r="F44" s="300">
        <f t="shared" si="1"/>
        <v>0</v>
      </c>
      <c r="G44" s="430"/>
      <c r="H44" s="2404"/>
      <c r="I44" s="2758"/>
    </row>
    <row r="45" spans="1:11" ht="15" customHeight="1" x14ac:dyDescent="0.2">
      <c r="A45" s="2371"/>
      <c r="B45" s="2324"/>
      <c r="C45" s="471" t="str">
        <f>F!C156</f>
        <v>0.5 - 1 m deep.</v>
      </c>
      <c r="D45" s="70">
        <f>F!D156</f>
        <v>1</v>
      </c>
      <c r="E45" s="300">
        <v>2</v>
      </c>
      <c r="F45" s="300">
        <f t="shared" si="1"/>
        <v>2</v>
      </c>
      <c r="G45" s="430"/>
      <c r="H45" s="2404"/>
      <c r="I45" s="2758"/>
    </row>
    <row r="46" spans="1:11" ht="15" customHeight="1" x14ac:dyDescent="0.2">
      <c r="A46" s="2371"/>
      <c r="B46" s="2324"/>
      <c r="C46" s="471" t="str">
        <f>F!C157</f>
        <v>1 - 2 m deep.</v>
      </c>
      <c r="D46" s="70">
        <f>F!D157</f>
        <v>0</v>
      </c>
      <c r="E46" s="300">
        <v>4</v>
      </c>
      <c r="F46" s="300">
        <f t="shared" si="1"/>
        <v>0</v>
      </c>
      <c r="G46" s="430"/>
      <c r="H46" s="2404"/>
      <c r="I46" s="2758"/>
    </row>
    <row r="47" spans="1:11" ht="15" customHeight="1" thickBot="1" x14ac:dyDescent="0.25">
      <c r="A47" s="2490"/>
      <c r="B47" s="2325"/>
      <c r="C47" s="370" t="str">
        <f>F!C158</f>
        <v>&gt;2 m deep. True for many fringe wetlands.</v>
      </c>
      <c r="D47" s="152">
        <f>F!D158</f>
        <v>0</v>
      </c>
      <c r="E47" s="301">
        <v>3</v>
      </c>
      <c r="F47" s="301">
        <f t="shared" si="1"/>
        <v>0</v>
      </c>
      <c r="G47" s="431"/>
      <c r="H47" s="2530"/>
      <c r="I47" s="2759"/>
    </row>
    <row r="48" spans="1:11" ht="21" customHeight="1" thickBot="1" x14ac:dyDescent="0.25">
      <c r="A48" s="2371" t="str">
        <f>F!A159</f>
        <v>F30</v>
      </c>
      <c r="B48" s="2324" t="str">
        <f>F!B159</f>
        <v>Depth Classes - Evenness of Proportions</v>
      </c>
      <c r="C48" s="376" t="str">
        <f>F!C159</f>
        <v>When present, surface water in most of the AA usually consists of (select one):</v>
      </c>
      <c r="D48" s="299"/>
      <c r="E48" s="299"/>
      <c r="F48" s="302"/>
      <c r="G48" s="434">
        <f>IF((AllSat1&gt;0),"",IF((TooSmall=1),"",MAX(F49:F51)/MAX(E49:E51)))</f>
        <v>1</v>
      </c>
      <c r="H48" s="2404" t="s">
        <v>1849</v>
      </c>
      <c r="I48" s="2326" t="s">
        <v>2856</v>
      </c>
    </row>
    <row r="49" spans="1:9" ht="15" customHeight="1" x14ac:dyDescent="0.2">
      <c r="A49" s="2371"/>
      <c r="B49" s="2324"/>
      <c r="C49" s="369" t="str">
        <f>F!C160</f>
        <v xml:space="preserve">One depth class that comprises &gt;90% of the AA’s inundated area (use the classes in the question above). </v>
      </c>
      <c r="D49" s="212">
        <f>F!D160</f>
        <v>0</v>
      </c>
      <c r="E49" s="300">
        <v>0</v>
      </c>
      <c r="F49" s="300">
        <f t="shared" si="1"/>
        <v>0</v>
      </c>
      <c r="G49" s="429"/>
      <c r="H49" s="2404"/>
      <c r="I49" s="2327"/>
    </row>
    <row r="50" spans="1:9" ht="15" customHeight="1" x14ac:dyDescent="0.2">
      <c r="A50" s="2371"/>
      <c r="B50" s="2324"/>
      <c r="C50" s="471" t="str">
        <f>F!C161</f>
        <v>One depth class that comprises 50-90% of the AA's inundated area.</v>
      </c>
      <c r="D50" s="70">
        <f>F!D161</f>
        <v>0</v>
      </c>
      <c r="E50" s="300">
        <v>1</v>
      </c>
      <c r="F50" s="300">
        <f t="shared" si="1"/>
        <v>0</v>
      </c>
      <c r="G50" s="430"/>
      <c r="H50" s="2404"/>
      <c r="I50" s="2327"/>
    </row>
    <row r="51" spans="1:9" ht="15" customHeight="1" thickBot="1" x14ac:dyDescent="0.25">
      <c r="A51" s="2490"/>
      <c r="B51" s="2325"/>
      <c r="C51" s="370" t="str">
        <f>F!C162</f>
        <v>Neither of above. There are 3 or more depth classes and none occupy &gt;50%.</v>
      </c>
      <c r="D51" s="152">
        <f>F!D162</f>
        <v>1</v>
      </c>
      <c r="E51" s="301">
        <v>2</v>
      </c>
      <c r="F51" s="301">
        <f t="shared" si="1"/>
        <v>2</v>
      </c>
      <c r="G51" s="431"/>
      <c r="H51" s="2408"/>
      <c r="I51" s="2328"/>
    </row>
    <row r="52" spans="1:9" ht="30" customHeight="1" thickBot="1" x14ac:dyDescent="0.25">
      <c r="A52" s="2726" t="str">
        <f>F!A170</f>
        <v>F33</v>
      </c>
      <c r="B52" s="2326" t="str">
        <f>F!B170</f>
        <v xml:space="preserve">% of Ponded Water that is Open </v>
      </c>
      <c r="C52" s="103" t="str">
        <f>F!C170</f>
        <v>In ducks-eye aerial view, the percentage of the ponded water that is open (lacking emergent vegetation during most of the growing season, and unhidden by a forest or shrub canopy) is:</v>
      </c>
      <c r="D52" s="318"/>
      <c r="E52" s="299"/>
      <c r="F52" s="321"/>
      <c r="G52" s="434" t="str">
        <f>IF((AllSat1&gt;0),"",IF((TooSmall=1),"",IF((NoPonded=1),"",MAX(F53:F58)/MAX(E53:E58))))</f>
        <v/>
      </c>
      <c r="H52" s="2404" t="s">
        <v>1200</v>
      </c>
      <c r="I52" s="2757" t="s">
        <v>141</v>
      </c>
    </row>
    <row r="53" spans="1:9" ht="27" customHeight="1" x14ac:dyDescent="0.2">
      <c r="A53" s="2660"/>
      <c r="B53" s="2327"/>
      <c r="C53" s="375" t="str">
        <f>F!C171</f>
        <v>None, or &lt;1% of the AA and largest pool occupies &lt;0.01 hectares. Enter "1" and SKIP to F41 (Floating Algae &amp; Duckweed).</v>
      </c>
      <c r="D53" s="474">
        <f>F!D171</f>
        <v>0</v>
      </c>
      <c r="E53" s="300">
        <v>0</v>
      </c>
      <c r="F53" s="300">
        <f t="shared" ref="F53:F58" si="2">D53*E53</f>
        <v>0</v>
      </c>
      <c r="G53" s="429"/>
      <c r="H53" s="2404"/>
      <c r="I53" s="2758"/>
    </row>
    <row r="54" spans="1:9" ht="15" customHeight="1" x14ac:dyDescent="0.2">
      <c r="A54" s="2660"/>
      <c r="B54" s="2327"/>
      <c r="C54" s="1122" t="str">
        <f>F!C172</f>
        <v>1-4% of the ponded water. Enter "1" and SKIP to F41 (Floating Algae &amp; Duckweed).</v>
      </c>
      <c r="D54" s="474">
        <f>F!D172</f>
        <v>0</v>
      </c>
      <c r="E54" s="300">
        <v>3</v>
      </c>
      <c r="F54" s="300">
        <f t="shared" si="2"/>
        <v>0</v>
      </c>
      <c r="G54" s="430"/>
      <c r="H54" s="2404"/>
      <c r="I54" s="2758"/>
    </row>
    <row r="55" spans="1:9" ht="15" customHeight="1" x14ac:dyDescent="0.2">
      <c r="A55" s="2660"/>
      <c r="B55" s="2327"/>
      <c r="C55" s="418" t="str">
        <f>F!C173</f>
        <v>5-30% of the ponded water.</v>
      </c>
      <c r="D55" s="70">
        <f>F!D173</f>
        <v>0</v>
      </c>
      <c r="E55" s="300">
        <v>4</v>
      </c>
      <c r="F55" s="300">
        <f t="shared" si="2"/>
        <v>0</v>
      </c>
      <c r="G55" s="430"/>
      <c r="H55" s="2404"/>
      <c r="I55" s="2758"/>
    </row>
    <row r="56" spans="1:9" ht="15" customHeight="1" x14ac:dyDescent="0.2">
      <c r="A56" s="2660"/>
      <c r="B56" s="2327"/>
      <c r="C56" s="1122" t="str">
        <f>F!C174</f>
        <v>30-70% of the ponded water.</v>
      </c>
      <c r="D56" s="571">
        <f>F!D174</f>
        <v>0</v>
      </c>
      <c r="E56" s="300">
        <v>2</v>
      </c>
      <c r="F56" s="300">
        <f t="shared" si="2"/>
        <v>0</v>
      </c>
      <c r="G56" s="430"/>
      <c r="H56" s="2404"/>
      <c r="I56" s="2758"/>
    </row>
    <row r="57" spans="1:9" ht="15" customHeight="1" x14ac:dyDescent="0.2">
      <c r="A57" s="2660"/>
      <c r="B57" s="2327"/>
      <c r="C57" s="418" t="str">
        <f>F!C175</f>
        <v>70-99% of the ponded water.</v>
      </c>
      <c r="D57" s="70">
        <f>F!D175</f>
        <v>0</v>
      </c>
      <c r="E57" s="300">
        <v>1</v>
      </c>
      <c r="F57" s="300">
        <f t="shared" si="2"/>
        <v>0</v>
      </c>
      <c r="G57" s="430"/>
      <c r="H57" s="2404"/>
      <c r="I57" s="2758"/>
    </row>
    <row r="58" spans="1:9" ht="15" customHeight="1" thickBot="1" x14ac:dyDescent="0.25">
      <c r="A58" s="2661"/>
      <c r="B58" s="2328"/>
      <c r="C58" s="951" t="str">
        <f>F!C176</f>
        <v xml:space="preserve">100% of the ponded water. </v>
      </c>
      <c r="D58" s="572">
        <f>F!D176</f>
        <v>0</v>
      </c>
      <c r="E58" s="301">
        <v>1</v>
      </c>
      <c r="F58" s="300">
        <f t="shared" si="2"/>
        <v>0</v>
      </c>
      <c r="G58" s="439"/>
      <c r="H58" s="2404"/>
      <c r="I58" s="2759"/>
    </row>
    <row r="59" spans="1:9" ht="30" customHeight="1" thickBot="1" x14ac:dyDescent="0.25">
      <c r="A59" s="2586" t="str">
        <f>F!A195</f>
        <v>F37</v>
      </c>
      <c r="B59" s="2323" t="str">
        <f>F!B195</f>
        <v>Interspersion of Emergents &amp; Open Water</v>
      </c>
      <c r="C59" s="365" t="str">
        <f>F!C195</f>
        <v>During most of the part of the growing season when water is present, the spatial pattern of emergent vegetation within the water is mostly:</v>
      </c>
      <c r="D59" s="299"/>
      <c r="E59" s="304"/>
      <c r="F59" s="322"/>
      <c r="G59" s="428" t="str">
        <f>IF((AllSat1&gt;0),"",IF((TooSmall=1),"",IF((NoPonded=1),"",IF((NoOpenPonded+NoOpenPonded1&gt;0),"",IF((AllOpenPond=1),"",IF((NoRobustEm=1),"",MAX(F60:F62)/MAX(E60:E62)))))))</f>
        <v/>
      </c>
      <c r="H59" s="2323" t="s">
        <v>1201</v>
      </c>
      <c r="I59" s="2757" t="s">
        <v>143</v>
      </c>
    </row>
    <row r="60" spans="1:9" ht="15" customHeight="1" x14ac:dyDescent="0.2">
      <c r="A60" s="2399"/>
      <c r="B60" s="2324"/>
      <c r="C60" s="27" t="str">
        <f>F!C196</f>
        <v>Scattered. More than 30% of such vegetation forms small islands or corridors surrounded by water.</v>
      </c>
      <c r="D60" s="213">
        <f>F!D196</f>
        <v>0</v>
      </c>
      <c r="E60" s="299">
        <v>3</v>
      </c>
      <c r="F60" s="300">
        <f>D60*E60</f>
        <v>0</v>
      </c>
      <c r="G60" s="302"/>
      <c r="H60" s="2324"/>
      <c r="I60" s="2758"/>
    </row>
    <row r="61" spans="1:9" ht="15" customHeight="1" x14ac:dyDescent="0.2">
      <c r="A61" s="2399"/>
      <c r="B61" s="2324"/>
      <c r="C61" s="5" t="str">
        <f>F!C197</f>
        <v>Intermediate.</v>
      </c>
      <c r="D61" s="205">
        <f>F!D197</f>
        <v>0</v>
      </c>
      <c r="E61" s="299">
        <v>2</v>
      </c>
      <c r="F61" s="300">
        <f>D61*E61</f>
        <v>0</v>
      </c>
      <c r="G61" s="302"/>
      <c r="H61" s="2324"/>
      <c r="I61" s="2758"/>
    </row>
    <row r="62" spans="1:9" ht="27" customHeight="1" thickBot="1" x14ac:dyDescent="0.25">
      <c r="A62" s="2399"/>
      <c r="B62" s="2324"/>
      <c r="C62" s="366" t="str">
        <f>F!C198</f>
        <v>Clumped. More than 70% of such vegetation is in bands along the wetland perimeter or is clumped at one or a few sides of the surface water area.</v>
      </c>
      <c r="D62" s="211">
        <f>F!D198</f>
        <v>1</v>
      </c>
      <c r="E62" s="319">
        <v>1</v>
      </c>
      <c r="F62" s="303">
        <f>D62*E62</f>
        <v>1</v>
      </c>
      <c r="G62" s="313"/>
      <c r="H62" s="2324"/>
      <c r="I62" s="2759"/>
    </row>
    <row r="63" spans="1:9" ht="45" customHeight="1" thickBot="1" x14ac:dyDescent="0.25">
      <c r="A63" s="2489" t="str">
        <f>F!A200</f>
        <v>F39</v>
      </c>
      <c r="B63" s="2323" t="str">
        <f>F!B200</f>
        <v>Non-vegetated Aquatic Cover</v>
      </c>
      <c r="C63" s="368" t="str">
        <f>F!C200</f>
        <v>During most of the growing season and in waters deeper than 0.5 m, the cover for fish, aquatic invertebrates, and/or amphibians that is provided NOT by living vegetation, but by accumulations of dead wood and undercut banks is:</v>
      </c>
      <c r="D63" s="304"/>
      <c r="E63" s="304"/>
      <c r="F63" s="322"/>
      <c r="G63" s="428" t="str">
        <f>IF((AllSat1&gt;0),"",IF((TooSmall=1),"",IF((OpenW=0),"",IF((DeepPersis=0),"",MAX(F64:F66)/MAX(E64:E66)))))</f>
        <v/>
      </c>
      <c r="H63" s="2529" t="s">
        <v>1183</v>
      </c>
      <c r="I63" s="2326" t="s">
        <v>2852</v>
      </c>
    </row>
    <row r="64" spans="1:9" ht="15" customHeight="1" x14ac:dyDescent="0.2">
      <c r="A64" s="2371"/>
      <c r="B64" s="2324"/>
      <c r="C64" s="369" t="str">
        <f>F!C201</f>
        <v>Little or none.</v>
      </c>
      <c r="D64" s="212">
        <f>F!D201</f>
        <v>1</v>
      </c>
      <c r="E64" s="300">
        <v>0</v>
      </c>
      <c r="F64" s="300">
        <f>D64*E64</f>
        <v>0</v>
      </c>
      <c r="G64" s="429"/>
      <c r="H64" s="2404"/>
      <c r="I64" s="2327"/>
    </row>
    <row r="65" spans="1:9" ht="15" customHeight="1" x14ac:dyDescent="0.2">
      <c r="A65" s="2371"/>
      <c r="B65" s="2324"/>
      <c r="C65" s="471" t="str">
        <f>F!C202</f>
        <v>Intermediate.</v>
      </c>
      <c r="D65" s="70">
        <f>F!D202</f>
        <v>0</v>
      </c>
      <c r="E65" s="300">
        <v>1</v>
      </c>
      <c r="F65" s="300">
        <f>D65*E65</f>
        <v>0</v>
      </c>
      <c r="G65" s="607"/>
      <c r="H65" s="2404"/>
      <c r="I65" s="2327"/>
    </row>
    <row r="66" spans="1:9" ht="15" customHeight="1" thickBot="1" x14ac:dyDescent="0.25">
      <c r="A66" s="2490"/>
      <c r="B66" s="2325"/>
      <c r="C66" s="370" t="str">
        <f>F!C203</f>
        <v>Extensive.</v>
      </c>
      <c r="D66" s="152">
        <f>F!D203</f>
        <v>0</v>
      </c>
      <c r="E66" s="301">
        <v>2</v>
      </c>
      <c r="F66" s="301">
        <f>D66*E66</f>
        <v>0</v>
      </c>
      <c r="G66" s="431"/>
      <c r="H66" s="2530"/>
      <c r="I66" s="2328"/>
    </row>
    <row r="67" spans="1:9" ht="60" customHeight="1" thickBot="1" x14ac:dyDescent="0.25">
      <c r="A67" s="2371" t="str">
        <f>F!A206</f>
        <v>F42</v>
      </c>
      <c r="B67" s="2324" t="str">
        <f>F!B206</f>
        <v>Channel Connection &amp; Outflow Duration</v>
      </c>
      <c r="C67" s="376"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67" s="299"/>
      <c r="E67" s="299"/>
      <c r="F67" s="321"/>
      <c r="G67" s="434">
        <f>MAX(F68:F72)/MAX(E68:E72)</f>
        <v>0.66666666666666663</v>
      </c>
      <c r="H67" s="2529" t="s">
        <v>1564</v>
      </c>
      <c r="I67" s="2757" t="s">
        <v>144</v>
      </c>
    </row>
    <row r="68" spans="1:9" ht="15" customHeight="1" x14ac:dyDescent="0.2">
      <c r="A68" s="2371"/>
      <c r="B68" s="2324"/>
      <c r="C68" s="369" t="str">
        <f>F!C207</f>
        <v>Persistent (surface water flows out for &gt;9 months/year).</v>
      </c>
      <c r="D68" s="212">
        <f>F!D207</f>
        <v>0</v>
      </c>
      <c r="E68" s="300">
        <v>3</v>
      </c>
      <c r="F68" s="300">
        <f>D68*E68</f>
        <v>0</v>
      </c>
      <c r="G68" s="429"/>
      <c r="H68" s="2404"/>
      <c r="I68" s="2758"/>
    </row>
    <row r="69" spans="1:9" ht="15" customHeight="1" x14ac:dyDescent="0.2">
      <c r="A69" s="2371"/>
      <c r="B69" s="2324"/>
      <c r="C69" s="471" t="str">
        <f>F!C208</f>
        <v>Seasonal (surface water flows out for 14 days to 9 months/year, not necessarily consecutive).</v>
      </c>
      <c r="D69" s="70">
        <f>F!D208</f>
        <v>1</v>
      </c>
      <c r="E69" s="300">
        <v>2</v>
      </c>
      <c r="F69" s="300">
        <f>D69*E69</f>
        <v>2</v>
      </c>
      <c r="G69" s="430"/>
      <c r="H69" s="2404"/>
      <c r="I69" s="2758"/>
    </row>
    <row r="70" spans="1:9" ht="15" customHeight="1" x14ac:dyDescent="0.2">
      <c r="A70" s="2371"/>
      <c r="B70" s="2324"/>
      <c r="C70" s="471" t="str">
        <f>F!C209</f>
        <v>Temporary (surface water flows out for &lt;14 days, not necessarily consecutive).</v>
      </c>
      <c r="D70" s="70">
        <f>F!D209</f>
        <v>0</v>
      </c>
      <c r="E70" s="300">
        <v>1</v>
      </c>
      <c r="F70" s="300">
        <f>D70*E70</f>
        <v>0</v>
      </c>
      <c r="G70" s="430"/>
      <c r="H70" s="2404"/>
      <c r="I70" s="2758"/>
    </row>
    <row r="71" spans="1:9" ht="27" customHeight="1" x14ac:dyDescent="0.2">
      <c r="A71" s="2371"/>
      <c r="B71" s="2324"/>
      <c r="C71" s="471" t="str">
        <f>F!C210</f>
        <v>None -- but maps show a stream network downslope from the AA and within a distance that is less than the AA's length. SKIP to F47 (pH Measurement).</v>
      </c>
      <c r="D71" s="70">
        <f>F!D210</f>
        <v>0</v>
      </c>
      <c r="E71" s="316">
        <v>0</v>
      </c>
      <c r="F71" s="300">
        <f>D71*E71</f>
        <v>0</v>
      </c>
      <c r="G71" s="439"/>
      <c r="H71" s="2404"/>
      <c r="I71" s="2758"/>
    </row>
    <row r="72" spans="1:9" ht="27.6" customHeight="1" thickBot="1" x14ac:dyDescent="0.25">
      <c r="A72" s="2490"/>
      <c r="B72" s="2325"/>
      <c r="C72" s="370" t="str">
        <f>F!C211</f>
        <v>No surface water flows out of the wetland except possibly during extreme events (&lt;once per 10 years). Or, water flows only into a wetland, ditch, or lake that lacks an outlet. SKIP to F47 (pH Measurement).</v>
      </c>
      <c r="D72" s="152">
        <f>F!D211</f>
        <v>0</v>
      </c>
      <c r="E72" s="317">
        <v>0</v>
      </c>
      <c r="F72" s="301">
        <f>D72*E72</f>
        <v>0</v>
      </c>
      <c r="G72" s="431"/>
      <c r="H72" s="2530"/>
      <c r="I72" s="2759"/>
    </row>
    <row r="73" spans="1:9" ht="30" customHeight="1" thickBot="1" x14ac:dyDescent="0.25">
      <c r="A73" s="2489" t="str">
        <f>F!A218</f>
        <v>F46</v>
      </c>
      <c r="B73" s="2323" t="str">
        <f>F!B218</f>
        <v>Throughflow Resistance</v>
      </c>
      <c r="C73" s="368" t="str">
        <f>F!C218</f>
        <v>During its travel through the AA at the time of peak annual flow, water arriving in channels: [select only the ONE encountered by most of the incoming water].</v>
      </c>
      <c r="D73" s="304"/>
      <c r="E73" s="304"/>
      <c r="F73" s="322"/>
      <c r="G73" s="428">
        <f>IF(AND(Inflows=0,OutNone=1,OutNone1=1),"",MAX(F74:F78)/MAX(E74:E78))</f>
        <v>1</v>
      </c>
      <c r="H73" s="2529" t="s">
        <v>1202</v>
      </c>
      <c r="I73" s="2757" t="s">
        <v>145</v>
      </c>
    </row>
    <row r="74" spans="1:9" ht="42" customHeight="1" x14ac:dyDescent="0.2">
      <c r="A74" s="2371"/>
      <c r="B74" s="2324"/>
      <c r="C74" s="369" t="str">
        <f>F!C219</f>
        <v>Does not bump into many plant stems as it travels through the AA. Nearly all the water continues to travel in unvegetated (often incised) channels that have minimal contact with wetland vegetation, or through a zone of open water such as an instream pond or lake.</v>
      </c>
      <c r="D74" s="212">
        <f>F!D219</f>
        <v>0</v>
      </c>
      <c r="E74" s="300">
        <v>0</v>
      </c>
      <c r="F74" s="300">
        <f>D74*E74</f>
        <v>0</v>
      </c>
      <c r="G74" s="429"/>
      <c r="H74" s="2404"/>
      <c r="I74" s="2758"/>
    </row>
    <row r="75" spans="1:9" ht="15" customHeight="1" x14ac:dyDescent="0.2">
      <c r="A75" s="2371"/>
      <c r="B75" s="2324"/>
      <c r="C75" s="471" t="str">
        <f>F!C220</f>
        <v>Bumps into herbaceous vegetation but mostly remains in fairly straight channels.</v>
      </c>
      <c r="D75" s="70">
        <f>F!D220</f>
        <v>0</v>
      </c>
      <c r="E75" s="300">
        <v>1</v>
      </c>
      <c r="F75" s="300">
        <f>D75*E75</f>
        <v>0</v>
      </c>
      <c r="G75" s="430"/>
      <c r="H75" s="2404"/>
      <c r="I75" s="2758"/>
    </row>
    <row r="76" spans="1:9" ht="27" customHeight="1" x14ac:dyDescent="0.2">
      <c r="A76" s="2371"/>
      <c r="B76" s="2324"/>
      <c r="C76" s="471" t="str">
        <f>F!C221</f>
        <v>Bumps into herbaceous vegetation and mostly spreads throughout, or is in widely meandering, multi-branched, or braided channels.</v>
      </c>
      <c r="D76" s="70">
        <f>F!D221</f>
        <v>1</v>
      </c>
      <c r="E76" s="300">
        <v>3</v>
      </c>
      <c r="F76" s="300">
        <f>D76*E76</f>
        <v>3</v>
      </c>
      <c r="G76" s="430"/>
      <c r="H76" s="2404"/>
      <c r="I76" s="2758"/>
    </row>
    <row r="77" spans="1:9" ht="15" customHeight="1" x14ac:dyDescent="0.2">
      <c r="A77" s="2371"/>
      <c r="B77" s="2324"/>
      <c r="C77" s="471" t="str">
        <f>F!C222</f>
        <v>Bumps into tree trunks and/or shrub stems but mostly remains in fairly straight channels.</v>
      </c>
      <c r="D77" s="70">
        <f>F!D222</f>
        <v>0</v>
      </c>
      <c r="E77" s="300">
        <v>2</v>
      </c>
      <c r="F77" s="300">
        <f>D77*E77</f>
        <v>0</v>
      </c>
      <c r="G77" s="430"/>
      <c r="H77" s="2404"/>
      <c r="I77" s="2758"/>
    </row>
    <row r="78" spans="1:9" ht="27" customHeight="1" thickBot="1" x14ac:dyDescent="0.25">
      <c r="A78" s="2490"/>
      <c r="B78" s="2325"/>
      <c r="C78" s="370" t="str">
        <f>F!C223</f>
        <v>Bumps into tree trunks and/or shrub stems and follows a fairly indirect path from entrance to exit (meandering, multi-branched, or braided).</v>
      </c>
      <c r="D78" s="152">
        <f>F!D223</f>
        <v>0</v>
      </c>
      <c r="E78" s="301">
        <v>3</v>
      </c>
      <c r="F78" s="301">
        <f>D78*E78</f>
        <v>0</v>
      </c>
      <c r="G78" s="431"/>
      <c r="H78" s="2530"/>
      <c r="I78" s="2759"/>
    </row>
    <row r="79" spans="1:9" ht="21" customHeight="1" thickBot="1" x14ac:dyDescent="0.25">
      <c r="A79" s="2323" t="str">
        <f>F!A224</f>
        <v>F47</v>
      </c>
      <c r="B79" s="2323" t="str">
        <f>F!B224</f>
        <v>pH Measurement</v>
      </c>
      <c r="C79" s="1171" t="str">
        <f>F!C224</f>
        <v>The pH in most of the AA's surface water:</v>
      </c>
      <c r="D79" s="1050"/>
      <c r="E79" s="304"/>
      <c r="F79" s="305"/>
      <c r="G79" s="425" t="str">
        <f>IF((D82=1),"",IF((D81=0),0, IF((AND(D80&gt;7.5,D80&lt;9)),1,0)))</f>
        <v/>
      </c>
      <c r="H79" s="2323" t="s">
        <v>2587</v>
      </c>
      <c r="I79" s="2757" t="s">
        <v>189</v>
      </c>
    </row>
    <row r="80" spans="1:9" ht="15" customHeight="1" thickBot="1" x14ac:dyDescent="0.25">
      <c r="A80" s="2324"/>
      <c r="B80" s="2324"/>
      <c r="C80" s="1618" t="str">
        <f>F!C225</f>
        <v>Was measured, and is:  [enter the reading in the column to the right.]</v>
      </c>
      <c r="D80" s="2083" t="str">
        <f>IF((F!D225=""),"",F!D225)</f>
        <v/>
      </c>
      <c r="E80" s="316"/>
      <c r="F80" s="300"/>
      <c r="G80" s="302"/>
      <c r="H80" s="2324"/>
      <c r="I80" s="2758"/>
    </row>
    <row r="81" spans="1:11" ht="27" customHeight="1" x14ac:dyDescent="0.2">
      <c r="A81" s="2324"/>
      <c r="B81" s="2324"/>
      <c r="C81" s="1621" t="str">
        <f>F!C226</f>
        <v xml:space="preserve">Was not measured but surface water is present and is darkly tea-coloured.  Or if no surface water, then mosses and plants that indicate peatland (e.g., Labrador tea) are prevalent. Enter "1". </v>
      </c>
      <c r="D81" s="215">
        <f>F!D226</f>
        <v>0</v>
      </c>
      <c r="E81" s="300"/>
      <c r="F81" s="300"/>
      <c r="G81" s="325"/>
      <c r="H81" s="2324"/>
      <c r="I81" s="2758"/>
    </row>
    <row r="82" spans="1:11" ht="15" customHeight="1" thickBot="1" x14ac:dyDescent="0.25">
      <c r="A82" s="2324"/>
      <c r="B82" s="2325"/>
      <c r="C82" s="1948" t="str">
        <f>F!C227</f>
        <v>Neither of above. Enter "1".</v>
      </c>
      <c r="D82" s="217">
        <f>F!D227</f>
        <v>1</v>
      </c>
      <c r="E82" s="303"/>
      <c r="F82" s="303"/>
      <c r="G82" s="327"/>
      <c r="H82" s="2325"/>
      <c r="I82" s="2759"/>
    </row>
    <row r="83" spans="1:11" ht="30.75" customHeight="1" thickBot="1" x14ac:dyDescent="0.25">
      <c r="A83" s="2323" t="str">
        <f>F!A228</f>
        <v>F48</v>
      </c>
      <c r="B83" s="2323" t="str">
        <f>F!B228</f>
        <v>TDS and/or Conductivity</v>
      </c>
      <c r="C83" s="1317" t="str">
        <f>F!C228</f>
        <v>The TDS (total dissolved solids) or conductivity off the AA's surface water is: (select the first true row with information):</v>
      </c>
      <c r="D83" s="1050"/>
      <c r="E83" s="304"/>
      <c r="F83" s="305"/>
      <c r="G83" s="425" t="str">
        <f>IF((D82=1),"",IF((D86=1),0, IF((D84&gt;2000),0, IF((D85&gt;4000),0,IF((D84&gt;300),1,IF((D85&gt;600),1, 0.5))))))</f>
        <v/>
      </c>
      <c r="H83" s="2323" t="s">
        <v>2588</v>
      </c>
      <c r="I83" s="2757" t="s">
        <v>1571</v>
      </c>
    </row>
    <row r="84" spans="1:11" ht="18" customHeight="1" thickBot="1" x14ac:dyDescent="0.25">
      <c r="A84" s="2324"/>
      <c r="B84" s="2324"/>
      <c r="C84" s="100" t="str">
        <f>F!C229</f>
        <v>TDS is: [Enter the reading in ppm or mg/L in the column to the right, if measured, or answer next row.]</v>
      </c>
      <c r="D84" s="2094" t="str">
        <f>IF((F!D229=""),"",F!D229)</f>
        <v/>
      </c>
      <c r="E84" s="316"/>
      <c r="F84" s="300"/>
      <c r="G84" s="927"/>
      <c r="H84" s="2324"/>
      <c r="I84" s="2758"/>
    </row>
    <row r="85" spans="1:11" ht="18" customHeight="1" thickBot="1" x14ac:dyDescent="0.25">
      <c r="A85" s="2324"/>
      <c r="B85" s="2324"/>
      <c r="C85" s="1950" t="str">
        <f>F!C230</f>
        <v>Conductivity is  [Enter the reading in µS/cm in the column to the right.]</v>
      </c>
      <c r="D85" s="2094" t="str">
        <f>IF((F!D230=""),"",F!D230)</f>
        <v/>
      </c>
      <c r="E85" s="316"/>
      <c r="F85" s="300"/>
      <c r="G85" s="648"/>
      <c r="H85" s="2324"/>
      <c r="I85" s="2758"/>
    </row>
    <row r="86" spans="1:11" ht="18" customHeight="1" x14ac:dyDescent="0.2">
      <c r="A86" s="2324"/>
      <c r="B86" s="2324"/>
      <c r="C86" s="419" t="str">
        <f>F!C231</f>
        <v>Was not measured, but plants that indicate saline conditions cover much of the vegetated AA. Enter "1".</v>
      </c>
      <c r="D86" s="213">
        <f>F!D231</f>
        <v>0</v>
      </c>
      <c r="E86" s="316"/>
      <c r="F86" s="300"/>
      <c r="G86" s="648"/>
      <c r="H86" s="2324"/>
      <c r="I86" s="2758"/>
    </row>
    <row r="87" spans="1:11" ht="18" customHeight="1" thickBot="1" x14ac:dyDescent="0.25">
      <c r="A87" s="2325"/>
      <c r="B87" s="2325"/>
      <c r="C87" s="420" t="str">
        <f>F!C232</f>
        <v>Neither of above</v>
      </c>
      <c r="D87" s="206">
        <f>F!D232</f>
        <v>1</v>
      </c>
      <c r="E87" s="317"/>
      <c r="F87" s="301"/>
      <c r="G87" s="649"/>
      <c r="H87" s="2325"/>
      <c r="I87" s="2759"/>
    </row>
    <row r="88" spans="1:11" s="2" customFormat="1" ht="21" customHeight="1" thickBot="1" x14ac:dyDescent="0.25">
      <c r="A88" s="2399" t="str">
        <f>F!A233</f>
        <v>F49</v>
      </c>
      <c r="B88" s="2324" t="str">
        <f>F!B233</f>
        <v>Beaver Probability</v>
      </c>
      <c r="C88" s="896" t="str">
        <f>F!C233</f>
        <v>Use of the AA by beaver during the past 5 years is (select most applicable ONE):</v>
      </c>
      <c r="D88" s="299"/>
      <c r="E88" s="299"/>
      <c r="F88" s="302"/>
      <c r="G88" s="466">
        <f>IF((AllSat1&gt;0),"",MAX(F89:F91)/MAX(E89:E91))</f>
        <v>1</v>
      </c>
      <c r="H88" s="2324" t="s">
        <v>1518</v>
      </c>
      <c r="I88" s="2574" t="s">
        <v>1572</v>
      </c>
      <c r="K88" s="151"/>
    </row>
    <row r="89" spans="1:11" s="2" customFormat="1" ht="27" customHeight="1" x14ac:dyDescent="0.2">
      <c r="A89" s="2399"/>
      <c r="B89" s="2324"/>
      <c r="C89" s="480" t="str">
        <f>F!C234</f>
        <v>Evident from direct observation or presence of gnawed limbs, dams, tracks, dens, lodges, or extensive stands of water-killed trees (snags).</v>
      </c>
      <c r="D89" s="213">
        <f>F!D234</f>
        <v>1</v>
      </c>
      <c r="E89" s="300">
        <v>3</v>
      </c>
      <c r="F89" s="300">
        <f>D89*E89</f>
        <v>3</v>
      </c>
      <c r="G89" s="548"/>
      <c r="H89" s="2324"/>
      <c r="I89" s="2575"/>
      <c r="K89" s="151"/>
    </row>
    <row r="90" spans="1:11" s="2" customFormat="1" ht="42" customHeight="1" x14ac:dyDescent="0.2">
      <c r="A90" s="2399"/>
      <c r="B90" s="2324"/>
      <c r="C90" s="419" t="str">
        <f>F!C235</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90" s="205">
        <f>F!D235</f>
        <v>0</v>
      </c>
      <c r="E90" s="300">
        <v>2</v>
      </c>
      <c r="F90" s="300">
        <f>D90*E90</f>
        <v>0</v>
      </c>
      <c r="G90" s="549"/>
      <c r="H90" s="2324"/>
      <c r="I90" s="2575"/>
      <c r="K90" s="151"/>
    </row>
    <row r="91" spans="1:11" s="2" customFormat="1" ht="27" customHeight="1" thickBot="1" x14ac:dyDescent="0.25">
      <c r="A91" s="2399"/>
      <c r="B91" s="2324"/>
      <c r="C91" s="419" t="str">
        <f>F!C236</f>
        <v xml:space="preserve">Unlikely because site characteristics above are deficient, and/or this is a settled area or other area where beaver are routinely removed. </v>
      </c>
      <c r="D91" s="205">
        <f>F!D236</f>
        <v>0</v>
      </c>
      <c r="E91" s="300">
        <v>0</v>
      </c>
      <c r="F91" s="300">
        <f>D91*E91</f>
        <v>0</v>
      </c>
      <c r="G91" s="549"/>
      <c r="H91" s="2324"/>
      <c r="I91" s="2576"/>
      <c r="K91" s="151"/>
    </row>
    <row r="92" spans="1:11" s="2" customFormat="1" ht="21" customHeight="1" thickBot="1" x14ac:dyDescent="0.25">
      <c r="A92" s="2586" t="str">
        <f>F!A237</f>
        <v>F50</v>
      </c>
      <c r="B92" s="2323" t="str">
        <f>F!B237</f>
        <v>Groundwater Strength of Evidence</v>
      </c>
      <c r="C92" s="105" t="str">
        <f>F!C237</f>
        <v>Select first applicable choice:</v>
      </c>
      <c r="D92" s="304"/>
      <c r="E92" s="304"/>
      <c r="F92" s="305"/>
      <c r="G92" s="465">
        <f>MAX(F93:F95)/MAX(E93:E95)</f>
        <v>0</v>
      </c>
      <c r="H92" s="2323" t="s">
        <v>1404</v>
      </c>
      <c r="I92" s="2574" t="s">
        <v>156</v>
      </c>
      <c r="K92" s="151"/>
    </row>
    <row r="93" spans="1:11" s="2" customFormat="1" ht="42" customHeight="1" x14ac:dyDescent="0.2">
      <c r="A93" s="2399"/>
      <c r="B93" s="2324"/>
      <c r="C93" s="480"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93" s="213">
        <f>F!D238</f>
        <v>0</v>
      </c>
      <c r="E93" s="300">
        <v>2</v>
      </c>
      <c r="F93" s="300">
        <f>D93*E93</f>
        <v>0</v>
      </c>
      <c r="G93" s="548"/>
      <c r="H93" s="2324"/>
      <c r="I93" s="2575"/>
      <c r="K93" s="151"/>
    </row>
    <row r="94" spans="1:11" s="2" customFormat="1" ht="27" customHeight="1" x14ac:dyDescent="0.2">
      <c r="A94" s="2399"/>
      <c r="B94" s="2324"/>
      <c r="C94" s="419" t="str">
        <f>F!C239</f>
        <v>Most of the AA has a slope of &gt;5%, or is very close to the base of a natural slope longer than 100 and much steeper than the slope of the AA,  AND the pH of surface water, if known, is &gt;5.5.</v>
      </c>
      <c r="D94" s="205">
        <f>F!D239</f>
        <v>0</v>
      </c>
      <c r="E94" s="300">
        <v>1</v>
      </c>
      <c r="F94" s="300">
        <f>D94*E94</f>
        <v>0</v>
      </c>
      <c r="G94" s="548"/>
      <c r="H94" s="2324"/>
      <c r="I94" s="2575"/>
      <c r="K94" s="151"/>
    </row>
    <row r="95" spans="1:11" s="2" customFormat="1" ht="27" customHeight="1" thickBot="1" x14ac:dyDescent="0.25">
      <c r="A95" s="2553"/>
      <c r="B95" s="2325"/>
      <c r="C95" s="420" t="str">
        <f>F!C240</f>
        <v>Neither of above is true, although some groundwater may discharge to or flow through the AA. Or groundwater influx is unknown.</v>
      </c>
      <c r="D95" s="206">
        <f>F!D240</f>
        <v>1</v>
      </c>
      <c r="E95" s="301">
        <v>0</v>
      </c>
      <c r="F95" s="301">
        <f>D95*E95</f>
        <v>0</v>
      </c>
      <c r="G95" s="621"/>
      <c r="H95" s="2325"/>
      <c r="I95" s="2576"/>
      <c r="K95" s="151"/>
    </row>
    <row r="96" spans="1:11" ht="45" customHeight="1" thickBot="1" x14ac:dyDescent="0.25">
      <c r="A96" s="2324" t="str">
        <f>F!A247</f>
        <v>F52</v>
      </c>
      <c r="B96" s="2324" t="str">
        <f>F!B247</f>
        <v>Vegetated Buffer as % of Perimeter</v>
      </c>
      <c r="C96" s="376" t="str">
        <f>F!C247</f>
        <v>Within a zone extending 30 m laterally from the AA's edge with upland and/or other wetlands, the percentage that contains perennial vegetation cover (except lawns, row crops, heavily grazed land, conifer plantations) is:</v>
      </c>
      <c r="D96" s="299"/>
      <c r="E96" s="299"/>
      <c r="F96" s="321"/>
      <c r="G96" s="466">
        <f>MAX(F97:F101)/MAX(E97:E101)</f>
        <v>0</v>
      </c>
      <c r="H96" s="2404" t="s">
        <v>1349</v>
      </c>
      <c r="I96" s="2326" t="s">
        <v>2853</v>
      </c>
    </row>
    <row r="97" spans="1:11" ht="15" customHeight="1" x14ac:dyDescent="0.2">
      <c r="A97" s="2327"/>
      <c r="B97" s="2327"/>
      <c r="C97" s="1242" t="str">
        <f>F!C248</f>
        <v>&lt;5%.</v>
      </c>
      <c r="D97" s="474">
        <f>F!D248</f>
        <v>1</v>
      </c>
      <c r="E97" s="316">
        <v>0</v>
      </c>
      <c r="F97" s="300">
        <f>D97*E97</f>
        <v>0</v>
      </c>
      <c r="G97" s="429"/>
      <c r="H97" s="2404"/>
      <c r="I97" s="2327"/>
    </row>
    <row r="98" spans="1:11" ht="15" customHeight="1" x14ac:dyDescent="0.2">
      <c r="A98" s="2327"/>
      <c r="B98" s="2327"/>
      <c r="C98" s="1122" t="str">
        <f>F!C249</f>
        <v>5 to 30%.</v>
      </c>
      <c r="D98" s="70">
        <f>F!D249</f>
        <v>0</v>
      </c>
      <c r="E98" s="316">
        <v>2</v>
      </c>
      <c r="F98" s="300">
        <f>D98*E98</f>
        <v>0</v>
      </c>
      <c r="G98" s="430"/>
      <c r="H98" s="2404"/>
      <c r="I98" s="2327"/>
    </row>
    <row r="99" spans="1:11" ht="15" customHeight="1" x14ac:dyDescent="0.2">
      <c r="A99" s="2327"/>
      <c r="B99" s="2327"/>
      <c r="C99" s="1130" t="str">
        <f>F!C250</f>
        <v>30 to 60%.</v>
      </c>
      <c r="D99" s="70">
        <f>F!D250</f>
        <v>0</v>
      </c>
      <c r="E99" s="316">
        <v>3</v>
      </c>
      <c r="F99" s="300">
        <f>D99*E99</f>
        <v>0</v>
      </c>
      <c r="G99" s="430"/>
      <c r="H99" s="2404"/>
      <c r="I99" s="2327"/>
    </row>
    <row r="100" spans="1:11" ht="15" customHeight="1" x14ac:dyDescent="0.2">
      <c r="A100" s="2327"/>
      <c r="B100" s="2327"/>
      <c r="C100" s="1129" t="str">
        <f>F!C251</f>
        <v>60 to 90%.</v>
      </c>
      <c r="D100" s="212">
        <f>F!D251</f>
        <v>0</v>
      </c>
      <c r="E100" s="316">
        <v>4</v>
      </c>
      <c r="F100" s="300">
        <f>D100*E100</f>
        <v>0</v>
      </c>
      <c r="G100" s="430"/>
      <c r="H100" s="2404"/>
      <c r="I100" s="2327"/>
    </row>
    <row r="101" spans="1:11" ht="15" customHeight="1" thickBot="1" x14ac:dyDescent="0.25">
      <c r="A101" s="2327"/>
      <c r="B101" s="2327"/>
      <c r="C101" s="951" t="str">
        <f>F!C252</f>
        <v>&gt;90%, or all the area within 30 m of the AA edge is other wetlands. SKIP to F55.</v>
      </c>
      <c r="D101" s="572">
        <f>F!D252</f>
        <v>0</v>
      </c>
      <c r="E101" s="458">
        <v>6</v>
      </c>
      <c r="F101" s="303">
        <f>D101*E101</f>
        <v>0</v>
      </c>
      <c r="G101" s="439"/>
      <c r="H101" s="2404"/>
      <c r="I101" s="2328"/>
    </row>
    <row r="102" spans="1:11" ht="53.25" customHeight="1" thickBot="1" x14ac:dyDescent="0.25">
      <c r="A102" s="280" t="str">
        <f>S!A3</f>
        <v>S1</v>
      </c>
      <c r="B102" s="201" t="str">
        <f>S!B3</f>
        <v>Aberrant Timing of Water Inputs</v>
      </c>
      <c r="C102" s="964" t="s">
        <v>2585</v>
      </c>
      <c r="D102" s="202">
        <f>S!F24</f>
        <v>0.25</v>
      </c>
      <c r="E102" s="323"/>
      <c r="F102" s="312"/>
      <c r="G102" s="465">
        <f>IF((Inflows=0),"", 1-D102)</f>
        <v>0.75</v>
      </c>
      <c r="H102" s="4" t="s">
        <v>1199</v>
      </c>
      <c r="I102" s="1287" t="s">
        <v>147</v>
      </c>
    </row>
    <row r="103" spans="1:11" ht="54" customHeight="1" thickBot="1" x14ac:dyDescent="0.25">
      <c r="A103" s="201" t="str">
        <f>S!A51</f>
        <v>S4</v>
      </c>
      <c r="B103" s="201" t="str">
        <f>S!B51</f>
        <v>Excessive Sediment Loading from Contributing Area</v>
      </c>
      <c r="C103" s="964" t="s">
        <v>2585</v>
      </c>
      <c r="D103" s="202">
        <f>S!F68</f>
        <v>0.58333333333333337</v>
      </c>
      <c r="E103" s="323"/>
      <c r="F103" s="323"/>
      <c r="G103" s="2096">
        <f>1-D103</f>
        <v>0.41666666666666663</v>
      </c>
      <c r="H103" s="73" t="s">
        <v>1456</v>
      </c>
      <c r="I103" s="103" t="s">
        <v>2854</v>
      </c>
    </row>
    <row r="104" spans="1:11" s="110" customFormat="1" ht="36" customHeight="1" thickBot="1" x14ac:dyDescent="0.25">
      <c r="A104" s="1205" t="s">
        <v>88</v>
      </c>
      <c r="B104" s="1206" t="s">
        <v>2429</v>
      </c>
      <c r="C104" s="1207" t="s">
        <v>1165</v>
      </c>
      <c r="D104" s="1208" t="s">
        <v>45</v>
      </c>
      <c r="E104" s="1209" t="s">
        <v>1189</v>
      </c>
      <c r="F104" s="1210" t="s">
        <v>1190</v>
      </c>
      <c r="G104" s="1211" t="s">
        <v>2555</v>
      </c>
      <c r="H104" s="1206" t="s">
        <v>1118</v>
      </c>
      <c r="I104" s="1315" t="s">
        <v>2424</v>
      </c>
    </row>
    <row r="105" spans="1:11" s="14" customFormat="1" ht="21" customHeight="1" thickBot="1" x14ac:dyDescent="0.25">
      <c r="A105" s="2368" t="str">
        <f>OF!A50</f>
        <v>OF10</v>
      </c>
      <c r="B105" s="2326" t="str">
        <f>OF!B50</f>
        <v>Distance by Road to Nearest Population Center</v>
      </c>
      <c r="C105" s="368" t="str">
        <f>OF!C50</f>
        <v>Measured along the maintained road nearest the AA, the distance to the nearest population center is:</v>
      </c>
      <c r="D105" s="304"/>
      <c r="E105" s="427"/>
      <c r="F105" s="305"/>
      <c r="G105" s="447">
        <f>MAX(F106:F110)/MAX(E106:E110)</f>
        <v>0.6</v>
      </c>
      <c r="H105" s="2323" t="s">
        <v>1097</v>
      </c>
      <c r="I105" s="2757" t="s">
        <v>148</v>
      </c>
      <c r="J105" s="11"/>
      <c r="K105" s="128"/>
    </row>
    <row r="106" spans="1:11" s="14" customFormat="1" ht="15" customHeight="1" x14ac:dyDescent="0.2">
      <c r="A106" s="2369"/>
      <c r="B106" s="2327"/>
      <c r="C106" s="369" t="str">
        <f>OF!C51</f>
        <v>&lt;100 m.</v>
      </c>
      <c r="D106" s="212">
        <f>OF!D51</f>
        <v>0</v>
      </c>
      <c r="E106" s="324">
        <v>5</v>
      </c>
      <c r="F106" s="300">
        <f t="shared" ref="F106:F117" si="3">D106*E106</f>
        <v>0</v>
      </c>
      <c r="G106" s="429"/>
      <c r="H106" s="2324"/>
      <c r="I106" s="2758"/>
      <c r="J106" s="11"/>
      <c r="K106" s="128"/>
    </row>
    <row r="107" spans="1:11" s="14" customFormat="1" ht="15" customHeight="1" x14ac:dyDescent="0.2">
      <c r="A107" s="2369"/>
      <c r="B107" s="2327"/>
      <c r="C107" s="471" t="str">
        <f>OF!C52</f>
        <v>100 - 500 m.</v>
      </c>
      <c r="D107" s="70">
        <f>OF!D52</f>
        <v>1</v>
      </c>
      <c r="E107" s="324">
        <v>3</v>
      </c>
      <c r="F107" s="300">
        <f t="shared" si="3"/>
        <v>3</v>
      </c>
      <c r="G107" s="430"/>
      <c r="H107" s="2324"/>
      <c r="I107" s="2758"/>
      <c r="J107" s="11"/>
      <c r="K107" s="128"/>
    </row>
    <row r="108" spans="1:11" s="14" customFormat="1" ht="15" customHeight="1" x14ac:dyDescent="0.2">
      <c r="A108" s="2369"/>
      <c r="B108" s="2327"/>
      <c r="C108" s="471" t="str">
        <f>OF!C53</f>
        <v>0.5- 1 km.</v>
      </c>
      <c r="D108" s="70">
        <f>OF!D53</f>
        <v>0</v>
      </c>
      <c r="E108" s="324">
        <v>2</v>
      </c>
      <c r="F108" s="300">
        <f t="shared" si="3"/>
        <v>0</v>
      </c>
      <c r="G108" s="430"/>
      <c r="H108" s="2324"/>
      <c r="I108" s="2758"/>
      <c r="J108" s="11"/>
      <c r="K108" s="128"/>
    </row>
    <row r="109" spans="1:11" s="14" customFormat="1" ht="15" customHeight="1" x14ac:dyDescent="0.2">
      <c r="A109" s="2369"/>
      <c r="B109" s="2327"/>
      <c r="C109" s="471" t="str">
        <f>OF!C54</f>
        <v>1 - 5 km.</v>
      </c>
      <c r="D109" s="70">
        <f>OF!D54</f>
        <v>0</v>
      </c>
      <c r="E109" s="324">
        <v>1</v>
      </c>
      <c r="F109" s="300">
        <f t="shared" si="3"/>
        <v>0</v>
      </c>
      <c r="G109" s="430"/>
      <c r="H109" s="2324"/>
      <c r="I109" s="2758"/>
      <c r="J109" s="11"/>
      <c r="K109" s="128"/>
    </row>
    <row r="110" spans="1:11" s="14" customFormat="1" ht="15" customHeight="1" thickBot="1" x14ac:dyDescent="0.25">
      <c r="A110" s="2370"/>
      <c r="B110" s="2328"/>
      <c r="C110" s="370" t="str">
        <f>OF!C55</f>
        <v>&gt;5 km.</v>
      </c>
      <c r="D110" s="152">
        <f>OF!D55</f>
        <v>0</v>
      </c>
      <c r="E110" s="328">
        <v>0</v>
      </c>
      <c r="F110" s="329">
        <f t="shared" si="3"/>
        <v>0</v>
      </c>
      <c r="G110" s="431"/>
      <c r="H110" s="2325"/>
      <c r="I110" s="2759"/>
      <c r="J110" s="11"/>
      <c r="K110" s="128"/>
    </row>
    <row r="111" spans="1:11" s="14" customFormat="1" ht="21" customHeight="1" thickBot="1" x14ac:dyDescent="0.25">
      <c r="A111" s="2369" t="str">
        <f>OF!A56</f>
        <v>OF11</v>
      </c>
      <c r="B111" s="2327" t="str">
        <f>OF!B56</f>
        <v>Distance to Nearest Maintained Road</v>
      </c>
      <c r="C111" s="376" t="str">
        <f>OF!C56</f>
        <v>From the center of the AA, the distance to the nearest maintained public road (dirt or paved) is:</v>
      </c>
      <c r="D111" s="299"/>
      <c r="E111" s="608"/>
      <c r="F111" s="302"/>
      <c r="G111" s="441">
        <f>MAX(F112:F117)/MAX(E112:E117)</f>
        <v>0</v>
      </c>
      <c r="H111" s="2324" t="s">
        <v>1098</v>
      </c>
      <c r="I111" s="2757" t="s">
        <v>1028</v>
      </c>
      <c r="J111" s="11"/>
      <c r="K111" s="128"/>
    </row>
    <row r="112" spans="1:11" s="14" customFormat="1" ht="15" customHeight="1" x14ac:dyDescent="0.2">
      <c r="A112" s="2369"/>
      <c r="B112" s="2327"/>
      <c r="C112" s="418" t="str">
        <f>OF!C57</f>
        <v>&lt;10 m.</v>
      </c>
      <c r="D112" s="475">
        <f>OF!D57</f>
        <v>0</v>
      </c>
      <c r="E112" s="326">
        <v>5</v>
      </c>
      <c r="F112" s="325">
        <f t="shared" si="3"/>
        <v>0</v>
      </c>
      <c r="G112" s="430"/>
      <c r="H112" s="2324"/>
      <c r="I112" s="2758"/>
      <c r="J112" s="11"/>
      <c r="K112" s="128"/>
    </row>
    <row r="113" spans="1:11" s="14" customFormat="1" ht="15" customHeight="1" x14ac:dyDescent="0.2">
      <c r="A113" s="2369"/>
      <c r="B113" s="2327"/>
      <c r="C113" s="375" t="str">
        <f>OF!C58</f>
        <v>10 - 25 m.</v>
      </c>
      <c r="D113" s="474">
        <f>OF!D58</f>
        <v>0</v>
      </c>
      <c r="E113" s="326">
        <v>4</v>
      </c>
      <c r="F113" s="325">
        <f t="shared" si="3"/>
        <v>0</v>
      </c>
      <c r="G113" s="430"/>
      <c r="H113" s="2324"/>
      <c r="I113" s="2758"/>
      <c r="J113" s="11"/>
      <c r="K113" s="128"/>
    </row>
    <row r="114" spans="1:11" s="14" customFormat="1" ht="15" customHeight="1" x14ac:dyDescent="0.2">
      <c r="A114" s="2369"/>
      <c r="B114" s="2327"/>
      <c r="C114" s="375" t="str">
        <f>OF!C59</f>
        <v>25 - 50 m.</v>
      </c>
      <c r="D114" s="474">
        <f>OF!D59</f>
        <v>0</v>
      </c>
      <c r="E114" s="326">
        <v>3</v>
      </c>
      <c r="F114" s="325">
        <f t="shared" si="3"/>
        <v>0</v>
      </c>
      <c r="G114" s="430"/>
      <c r="H114" s="2324"/>
      <c r="I114" s="2758"/>
      <c r="J114" s="11"/>
      <c r="K114" s="128"/>
    </row>
    <row r="115" spans="1:11" s="14" customFormat="1" ht="15" customHeight="1" x14ac:dyDescent="0.2">
      <c r="A115" s="2369"/>
      <c r="B115" s="2327"/>
      <c r="C115" s="375" t="str">
        <f>OF!C60</f>
        <v>50 - 100 m.</v>
      </c>
      <c r="D115" s="474">
        <f>OF!D60</f>
        <v>0</v>
      </c>
      <c r="E115" s="326">
        <v>2</v>
      </c>
      <c r="F115" s="325">
        <f t="shared" si="3"/>
        <v>0</v>
      </c>
      <c r="G115" s="430"/>
      <c r="H115" s="2324"/>
      <c r="I115" s="2758"/>
      <c r="J115" s="11"/>
      <c r="K115" s="128"/>
    </row>
    <row r="116" spans="1:11" s="14" customFormat="1" ht="15" customHeight="1" x14ac:dyDescent="0.2">
      <c r="A116" s="2369"/>
      <c r="B116" s="2327"/>
      <c r="C116" s="375" t="str">
        <f>OF!C61</f>
        <v>100 - 500 m.</v>
      </c>
      <c r="D116" s="474">
        <f>OF!D61</f>
        <v>0</v>
      </c>
      <c r="E116" s="326">
        <v>1</v>
      </c>
      <c r="F116" s="325">
        <f t="shared" si="3"/>
        <v>0</v>
      </c>
      <c r="G116" s="430"/>
      <c r="H116" s="2324"/>
      <c r="I116" s="2758"/>
      <c r="J116" s="11"/>
      <c r="K116" s="128"/>
    </row>
    <row r="117" spans="1:11" s="14" customFormat="1" ht="15" customHeight="1" thickBot="1" x14ac:dyDescent="0.25">
      <c r="A117" s="2370"/>
      <c r="B117" s="2328"/>
      <c r="C117" s="370" t="str">
        <f>OF!C62</f>
        <v>&gt;500 m.</v>
      </c>
      <c r="D117" s="152">
        <f>OF!D62</f>
        <v>1</v>
      </c>
      <c r="E117" s="328">
        <v>0</v>
      </c>
      <c r="F117" s="329">
        <f t="shared" si="3"/>
        <v>0</v>
      </c>
      <c r="G117" s="431"/>
      <c r="H117" s="2325"/>
      <c r="I117" s="2759"/>
      <c r="J117" s="11"/>
      <c r="K117" s="128"/>
    </row>
    <row r="118" spans="1:11" s="14" customFormat="1" ht="60" customHeight="1" thickBot="1" x14ac:dyDescent="0.25">
      <c r="A118" s="2324" t="str">
        <f>F!A282</f>
        <v>F60</v>
      </c>
      <c r="B118" s="2324" t="str">
        <f>F!B282</f>
        <v xml:space="preserve">Unvisited Core Area </v>
      </c>
      <c r="C118" s="481"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118" s="299"/>
      <c r="E118" s="618"/>
      <c r="F118" s="299"/>
      <c r="G118" s="441">
        <f>MAX(F119:F124)/MAX(E119:E124)</f>
        <v>0</v>
      </c>
      <c r="H118" s="2324" t="s">
        <v>1099</v>
      </c>
      <c r="I118" s="2757" t="s">
        <v>1029</v>
      </c>
      <c r="J118" s="11"/>
      <c r="K118" s="128"/>
    </row>
    <row r="119" spans="1:11" s="14" customFormat="1" ht="15" customHeight="1" x14ac:dyDescent="0.2">
      <c r="A119" s="2324"/>
      <c r="B119" s="2324"/>
      <c r="C119" s="1292" t="str">
        <f>F!C283</f>
        <v>&lt;5% and no inhabited building is within 100 m of the AA.</v>
      </c>
      <c r="D119" s="211">
        <f>F!D283</f>
        <v>0</v>
      </c>
      <c r="E119" s="932">
        <v>3</v>
      </c>
      <c r="F119" s="300">
        <f t="shared" ref="F119:F124" si="4">D119*E119</f>
        <v>0</v>
      </c>
      <c r="G119" s="430"/>
      <c r="H119" s="2324"/>
      <c r="I119" s="2758"/>
      <c r="J119" s="11"/>
      <c r="K119" s="128"/>
    </row>
    <row r="120" spans="1:11" s="14" customFormat="1" ht="15" customHeight="1" x14ac:dyDescent="0.2">
      <c r="A120" s="2324"/>
      <c r="B120" s="2324"/>
      <c r="C120" s="1294" t="str">
        <f>F!C284</f>
        <v>&lt;5% and inhabited building is within 100 m of the AA.</v>
      </c>
      <c r="D120" s="205">
        <f>F!D284</f>
        <v>0</v>
      </c>
      <c r="E120" s="932">
        <v>3</v>
      </c>
      <c r="F120" s="300">
        <f t="shared" si="4"/>
        <v>0</v>
      </c>
      <c r="G120" s="430"/>
      <c r="H120" s="2324"/>
      <c r="I120" s="2758"/>
      <c r="J120" s="11"/>
      <c r="K120" s="128"/>
    </row>
    <row r="121" spans="1:11" s="14" customFormat="1" ht="15" customHeight="1" x14ac:dyDescent="0.2">
      <c r="A121" s="2324"/>
      <c r="B121" s="2324"/>
      <c r="C121" s="868" t="str">
        <f>F!C285</f>
        <v>5-50% and no inhabited building is within 100 m of the AA.</v>
      </c>
      <c r="D121" s="295">
        <f>F!D285</f>
        <v>0</v>
      </c>
      <c r="E121" s="932">
        <v>2</v>
      </c>
      <c r="F121" s="300">
        <f t="shared" si="4"/>
        <v>0</v>
      </c>
      <c r="G121" s="430"/>
      <c r="H121" s="2324"/>
      <c r="I121" s="2758"/>
      <c r="J121" s="11"/>
      <c r="K121" s="128"/>
    </row>
    <row r="122" spans="1:11" s="14" customFormat="1" ht="15" customHeight="1" x14ac:dyDescent="0.2">
      <c r="A122" s="2324"/>
      <c r="B122" s="2324"/>
      <c r="C122" s="868" t="str">
        <f>F!C286</f>
        <v>5-50% and inhabited building is within 100 m of the AA.</v>
      </c>
      <c r="D122" s="205">
        <f>F!D286</f>
        <v>0</v>
      </c>
      <c r="E122" s="932">
        <v>2</v>
      </c>
      <c r="F122" s="300">
        <f t="shared" si="4"/>
        <v>0</v>
      </c>
      <c r="G122" s="430"/>
      <c r="H122" s="2324"/>
      <c r="I122" s="2758"/>
      <c r="J122" s="11"/>
      <c r="K122" s="128"/>
    </row>
    <row r="123" spans="1:11" s="14" customFormat="1" ht="15" customHeight="1" x14ac:dyDescent="0.2">
      <c r="A123" s="2324"/>
      <c r="B123" s="2324"/>
      <c r="C123" s="1131" t="str">
        <f>F!C287</f>
        <v>50-95%, with or without inhabited building nearby.</v>
      </c>
      <c r="D123" s="295">
        <f>F!D287</f>
        <v>0</v>
      </c>
      <c r="E123" s="932">
        <v>1</v>
      </c>
      <c r="F123" s="300">
        <f t="shared" si="4"/>
        <v>0</v>
      </c>
      <c r="G123" s="430"/>
      <c r="H123" s="2324"/>
      <c r="I123" s="2758"/>
      <c r="J123" s="11"/>
      <c r="K123" s="128"/>
    </row>
    <row r="124" spans="1:11" s="14" customFormat="1" ht="15" customHeight="1" thickBot="1" x14ac:dyDescent="0.25">
      <c r="A124" s="2325"/>
      <c r="B124" s="2325"/>
      <c r="C124" s="937" t="str">
        <f>F!C288</f>
        <v>&gt;95% of the AA with or without inhabited building nearby.</v>
      </c>
      <c r="D124" s="206">
        <f>F!D288</f>
        <v>1</v>
      </c>
      <c r="E124" s="987">
        <v>0</v>
      </c>
      <c r="F124" s="301">
        <f t="shared" si="4"/>
        <v>0</v>
      </c>
      <c r="G124" s="431"/>
      <c r="H124" s="2325"/>
      <c r="I124" s="2759"/>
      <c r="J124" s="11"/>
      <c r="K124" s="128"/>
    </row>
    <row r="125" spans="1:11" s="14" customFormat="1" ht="30" customHeight="1" thickBot="1" x14ac:dyDescent="0.25">
      <c r="A125" s="184" t="str">
        <f>F!A296</f>
        <v>F64</v>
      </c>
      <c r="B125" s="184" t="str">
        <f>F!B296</f>
        <v xml:space="preserve">Consumptive Uses (Provisioning Services)  </v>
      </c>
      <c r="C125" s="901" t="str">
        <f>F!C300</f>
        <v>Fishing.</v>
      </c>
      <c r="D125" s="850">
        <f>FA!D141</f>
        <v>0</v>
      </c>
      <c r="E125" s="332"/>
      <c r="F125" s="313"/>
      <c r="G125" s="2097">
        <f>D125</f>
        <v>0</v>
      </c>
      <c r="H125" s="129" t="s">
        <v>39</v>
      </c>
      <c r="I125" s="1287" t="s">
        <v>1669</v>
      </c>
      <c r="J125" s="11"/>
      <c r="K125" s="128"/>
    </row>
    <row r="126" spans="1:11" s="14" customFormat="1" ht="39" customHeight="1" thickBot="1" x14ac:dyDescent="0.25">
      <c r="A126" s="2095"/>
      <c r="B126" s="102" t="str">
        <f>WBF!C171</f>
        <v>Function Score for Feeding Waterbird Habitat</v>
      </c>
      <c r="C126" s="616"/>
      <c r="D126" s="1590">
        <f>WBF!G171</f>
        <v>7.439814814814814</v>
      </c>
      <c r="E126" s="333"/>
      <c r="F126" s="312"/>
      <c r="G126" s="2097">
        <f>D126/10</f>
        <v>0.74398148148148135</v>
      </c>
      <c r="H126" s="4" t="s">
        <v>40</v>
      </c>
      <c r="I126" s="103" t="s">
        <v>2855</v>
      </c>
      <c r="J126" s="11"/>
      <c r="K126" s="128"/>
    </row>
    <row r="127" spans="1:11" s="14" customFormat="1" ht="21" customHeight="1" thickBot="1" x14ac:dyDescent="0.25">
      <c r="A127" s="2784"/>
      <c r="B127" s="2784"/>
      <c r="C127" s="2784"/>
      <c r="D127" s="2784"/>
      <c r="E127" s="2784"/>
      <c r="F127" s="2784"/>
      <c r="G127" s="2784"/>
      <c r="H127" s="2784"/>
      <c r="J127" s="11"/>
      <c r="K127" s="128"/>
    </row>
    <row r="128" spans="1:11" s="14" customFormat="1" ht="21" customHeight="1" x14ac:dyDescent="0.2">
      <c r="A128" s="2785"/>
      <c r="B128" s="2785"/>
      <c r="C128" s="2785"/>
      <c r="D128" s="2786" t="s">
        <v>613</v>
      </c>
      <c r="E128" s="2787"/>
      <c r="F128" s="2787"/>
      <c r="G128" s="1289">
        <f>AVERAGE(SatPct10,Depth10,DepthEven10,PermWpct10,Interspers10,ThruFlo10)</f>
        <v>0.8</v>
      </c>
      <c r="H128" s="1422" t="s">
        <v>2067</v>
      </c>
      <c r="I128" s="2091" t="s">
        <v>2128</v>
      </c>
      <c r="J128" s="11"/>
      <c r="K128" s="128"/>
    </row>
    <row r="129" spans="1:11" s="14" customFormat="1" ht="21" customHeight="1" x14ac:dyDescent="0.2">
      <c r="A129" s="2785"/>
      <c r="B129" s="2785"/>
      <c r="C129" s="2785"/>
      <c r="D129" s="2763" t="s">
        <v>121</v>
      </c>
      <c r="E129" s="2764"/>
      <c r="F129" s="2764"/>
      <c r="G129" s="1290">
        <f>IF((AllSat1=1),"", AVERAGE(Beaver10,AVERAGE(Wettype10,WoodAbove10, ABpct10)))</f>
        <v>1</v>
      </c>
      <c r="H129" s="1407" t="s">
        <v>2068</v>
      </c>
      <c r="I129" s="2092" t="s">
        <v>2129</v>
      </c>
      <c r="J129" s="11"/>
      <c r="K129" s="128"/>
    </row>
    <row r="130" spans="1:11" s="14" customFormat="1" ht="28.5" customHeight="1" x14ac:dyDescent="0.2">
      <c r="A130" s="2785"/>
      <c r="B130" s="2785"/>
      <c r="C130" s="2785"/>
      <c r="D130" s="2763" t="s">
        <v>149</v>
      </c>
      <c r="E130" s="2764"/>
      <c r="F130" s="2764"/>
      <c r="G130" s="1290">
        <f>AVERAGE(Groundw10, Wettype10,Nfix10,Karst10a,Lake10a)</f>
        <v>0.25</v>
      </c>
      <c r="H130" s="1407" t="s">
        <v>2069</v>
      </c>
      <c r="I130" s="2092" t="s">
        <v>2130</v>
      </c>
      <c r="J130" s="11"/>
      <c r="K130" s="128"/>
    </row>
    <row r="131" spans="1:11" s="14" customFormat="1" ht="21" customHeight="1" x14ac:dyDescent="0.2">
      <c r="A131" s="2785"/>
      <c r="B131" s="2785"/>
      <c r="C131" s="2785"/>
      <c r="D131" s="2763" t="s">
        <v>158</v>
      </c>
      <c r="E131" s="2764"/>
      <c r="F131" s="2764"/>
      <c r="G131" s="1290">
        <f>IF((AllSat1=1),"",AVERAGE(OutDura10,Depth10, warmth10))</f>
        <v>0.59722222222222221</v>
      </c>
      <c r="H131" s="1440" t="s">
        <v>2186</v>
      </c>
      <c r="I131" s="2092" t="s">
        <v>2131</v>
      </c>
      <c r="J131" s="11"/>
      <c r="K131" s="128"/>
    </row>
    <row r="132" spans="1:11" s="14" customFormat="1" ht="21" customHeight="1" thickBot="1" x14ac:dyDescent="0.25">
      <c r="A132" s="2785"/>
      <c r="B132" s="2785"/>
      <c r="C132" s="2785"/>
      <c r="D132" s="2765" t="s">
        <v>451</v>
      </c>
      <c r="E132" s="2766"/>
      <c r="F132" s="2766"/>
      <c r="G132" s="1291">
        <f>MIN(SedExcess10,AcidicPool10,Conduc10,AltTime10,ToxData10,1-NatVegCUpct10)</f>
        <v>0.41666666666666663</v>
      </c>
      <c r="H132" s="1425" t="s">
        <v>2459</v>
      </c>
      <c r="I132" s="2093" t="s">
        <v>2132</v>
      </c>
      <c r="J132" s="11"/>
      <c r="K132" s="128"/>
    </row>
    <row r="133" spans="1:11" s="14" customFormat="1" ht="21" customHeight="1" thickBot="1" x14ac:dyDescent="0.25">
      <c r="A133" s="2785"/>
      <c r="B133" s="2785"/>
      <c r="C133" s="2785"/>
      <c r="D133" s="2769"/>
      <c r="E133" s="2769"/>
      <c r="F133" s="2769"/>
      <c r="G133" s="2769"/>
      <c r="H133" s="2770"/>
      <c r="J133" s="22"/>
      <c r="K133" s="128"/>
    </row>
    <row r="134" spans="1:11" s="14" customFormat="1" ht="45" customHeight="1" thickBot="1" x14ac:dyDescent="0.25">
      <c r="A134" s="2770"/>
      <c r="B134" s="2771"/>
      <c r="C134" s="2557" t="s">
        <v>911</v>
      </c>
      <c r="D134" s="2558"/>
      <c r="E134" s="2559"/>
      <c r="F134" s="1193" t="s">
        <v>52</v>
      </c>
      <c r="G134" s="1278">
        <f>IF((Access10=0),0,IF((AllSat1=1),0,10*AVERAGE(Hydro10,Struc10,Produc10,AnoxRisk10,Stress10)))</f>
        <v>6.1277777777777773</v>
      </c>
      <c r="H134" s="2525" t="s">
        <v>2452</v>
      </c>
      <c r="I134" s="2526"/>
      <c r="J134" s="23"/>
      <c r="K134" s="128"/>
    </row>
    <row r="135" spans="1:11" s="14" customFormat="1" ht="30" customHeight="1" thickBot="1" x14ac:dyDescent="0.25">
      <c r="A135" s="2770"/>
      <c r="B135" s="2771"/>
      <c r="C135" s="2557" t="s">
        <v>1910</v>
      </c>
      <c r="D135" s="2558"/>
      <c r="E135" s="2559"/>
      <c r="F135" s="1453" t="s">
        <v>2219</v>
      </c>
      <c r="G135" s="1279">
        <f>10*(AVERAGE(Fishing10,PopDist10, WbirdFeed10, DistRd10,Core10))</f>
        <v>2.6879629629629624</v>
      </c>
      <c r="H135" s="2525" t="s">
        <v>2221</v>
      </c>
      <c r="I135" s="2526"/>
      <c r="J135" s="11"/>
      <c r="K135" s="128"/>
    </row>
    <row r="136" spans="1:11" s="14" customFormat="1" ht="21" customHeight="1" thickBot="1" x14ac:dyDescent="0.25">
      <c r="A136" s="2770"/>
      <c r="B136" s="2770"/>
      <c r="C136" s="2770"/>
      <c r="D136" s="2770"/>
      <c r="E136" s="2770"/>
      <c r="F136" s="2770"/>
      <c r="G136" s="2770"/>
      <c r="H136" s="2770"/>
      <c r="J136" s="11"/>
      <c r="K136" s="128"/>
    </row>
    <row r="137" spans="1:11" s="14" customFormat="1" ht="21" customHeight="1" thickBot="1" x14ac:dyDescent="0.25">
      <c r="G137" s="985"/>
      <c r="H137" s="2755" t="s">
        <v>669</v>
      </c>
      <c r="I137" s="2756"/>
      <c r="J137" s="11"/>
      <c r="K137" s="128"/>
    </row>
    <row r="138" spans="1:11" s="14" customFormat="1" ht="42" customHeight="1" x14ac:dyDescent="0.2">
      <c r="H138" s="2709" t="s">
        <v>1346</v>
      </c>
      <c r="I138" s="2710"/>
      <c r="J138" s="11"/>
      <c r="K138" s="128"/>
    </row>
    <row r="139" spans="1:11" s="14" customFormat="1" ht="42" customHeight="1" x14ac:dyDescent="0.2">
      <c r="H139" s="2537" t="s">
        <v>820</v>
      </c>
      <c r="I139" s="2538"/>
      <c r="J139" s="11"/>
      <c r="K139" s="128"/>
    </row>
    <row r="140" spans="1:11" s="14" customFormat="1" ht="27" customHeight="1" x14ac:dyDescent="0.2">
      <c r="H140" s="2537" t="s">
        <v>806</v>
      </c>
      <c r="I140" s="2538"/>
      <c r="J140" s="11"/>
      <c r="K140" s="128"/>
    </row>
    <row r="141" spans="1:11" s="14" customFormat="1" ht="27" customHeight="1" x14ac:dyDescent="0.2">
      <c r="H141" s="2537" t="s">
        <v>1734</v>
      </c>
      <c r="I141" s="2538"/>
      <c r="J141" s="11"/>
      <c r="K141" s="128"/>
    </row>
    <row r="142" spans="1:11" s="14" customFormat="1" ht="42" customHeight="1" x14ac:dyDescent="0.2">
      <c r="H142" s="2537" t="s">
        <v>808</v>
      </c>
      <c r="I142" s="2538"/>
      <c r="J142" s="11"/>
      <c r="K142" s="128"/>
    </row>
    <row r="143" spans="1:11" s="14" customFormat="1" ht="27" customHeight="1" x14ac:dyDescent="0.2">
      <c r="H143" s="2537" t="s">
        <v>1735</v>
      </c>
      <c r="I143" s="2538"/>
      <c r="J143" s="11"/>
      <c r="K143" s="128"/>
    </row>
    <row r="144" spans="1:11" s="14" customFormat="1" ht="27" customHeight="1" x14ac:dyDescent="0.2">
      <c r="H144" s="2537" t="s">
        <v>1736</v>
      </c>
      <c r="I144" s="2538"/>
      <c r="J144" s="11"/>
      <c r="K144" s="128"/>
    </row>
    <row r="145" spans="2:11" s="14" customFormat="1" ht="42" customHeight="1" x14ac:dyDescent="0.2">
      <c r="H145" s="2537" t="s">
        <v>1737</v>
      </c>
      <c r="I145" s="2538"/>
      <c r="J145" s="11"/>
      <c r="K145" s="128"/>
    </row>
    <row r="146" spans="2:11" s="14" customFormat="1" ht="27" customHeight="1" x14ac:dyDescent="0.2">
      <c r="H146" s="2537" t="s">
        <v>817</v>
      </c>
      <c r="I146" s="2538"/>
      <c r="J146" s="11"/>
      <c r="K146" s="128"/>
    </row>
    <row r="147" spans="2:11" s="14" customFormat="1" ht="42" customHeight="1" x14ac:dyDescent="0.2">
      <c r="B147" s="48"/>
      <c r="C147" s="3"/>
      <c r="D147" s="334"/>
      <c r="E147" s="334"/>
      <c r="F147" s="334"/>
      <c r="G147" s="137"/>
      <c r="H147" s="2537" t="s">
        <v>821</v>
      </c>
      <c r="I147" s="2538"/>
      <c r="J147" s="11"/>
      <c r="K147" s="128"/>
    </row>
    <row r="148" spans="2:11" s="14" customFormat="1" ht="72" customHeight="1" thickBot="1" x14ac:dyDescent="0.25">
      <c r="B148" s="48"/>
      <c r="C148" s="3"/>
      <c r="D148" s="334"/>
      <c r="E148" s="334"/>
      <c r="F148" s="334"/>
      <c r="G148" s="137"/>
      <c r="H148" s="2570" t="s">
        <v>822</v>
      </c>
      <c r="I148" s="2571"/>
      <c r="J148" s="11"/>
      <c r="K148" s="128"/>
    </row>
    <row r="149" spans="2:11" s="14" customFormat="1" x14ac:dyDescent="0.2">
      <c r="B149" s="48"/>
      <c r="C149" s="3"/>
      <c r="D149" s="334"/>
      <c r="E149" s="334"/>
      <c r="F149" s="334"/>
      <c r="G149" s="137"/>
      <c r="H149" s="478"/>
      <c r="J149" s="11"/>
      <c r="K149" s="128"/>
    </row>
    <row r="150" spans="2:11" s="14" customFormat="1" x14ac:dyDescent="0.2">
      <c r="B150" s="48"/>
      <c r="C150" s="3"/>
      <c r="D150" s="334"/>
      <c r="E150" s="334"/>
      <c r="F150" s="334"/>
      <c r="G150" s="137"/>
      <c r="H150" s="1054"/>
      <c r="J150" s="11"/>
      <c r="K150" s="128"/>
    </row>
    <row r="151" spans="2:11" s="14" customFormat="1" x14ac:dyDescent="0.2">
      <c r="B151" s="48"/>
      <c r="C151" s="3"/>
      <c r="D151" s="334"/>
      <c r="E151" s="334"/>
      <c r="F151" s="334"/>
      <c r="G151" s="137"/>
      <c r="H151" s="1054"/>
      <c r="J151" s="11"/>
      <c r="K151" s="128"/>
    </row>
    <row r="152" spans="2:11" s="14" customFormat="1" x14ac:dyDescent="0.2">
      <c r="B152" s="48"/>
      <c r="C152" s="3"/>
      <c r="D152" s="334"/>
      <c r="E152" s="334"/>
      <c r="F152" s="334"/>
      <c r="G152" s="137"/>
      <c r="H152" s="2"/>
      <c r="J152" s="11"/>
      <c r="K152" s="128"/>
    </row>
    <row r="153" spans="2:11" s="14" customFormat="1" x14ac:dyDescent="0.2">
      <c r="B153" s="48"/>
      <c r="C153" s="3"/>
      <c r="D153" s="334"/>
      <c r="E153" s="334"/>
      <c r="F153" s="334"/>
      <c r="G153" s="137"/>
      <c r="H153" s="2"/>
      <c r="J153" s="11"/>
      <c r="K153" s="128"/>
    </row>
    <row r="154" spans="2:11" s="14" customFormat="1" x14ac:dyDescent="0.2">
      <c r="B154" s="48"/>
      <c r="C154" s="3"/>
      <c r="D154" s="334"/>
      <c r="E154" s="334"/>
      <c r="F154" s="334"/>
      <c r="G154" s="137"/>
      <c r="H154" s="2"/>
      <c r="J154" s="11"/>
      <c r="K154" s="128"/>
    </row>
    <row r="155" spans="2:11" s="14" customFormat="1" x14ac:dyDescent="0.2">
      <c r="B155" s="48"/>
      <c r="C155" s="3"/>
      <c r="D155" s="334"/>
      <c r="E155" s="334"/>
      <c r="F155" s="334"/>
      <c r="G155" s="137"/>
      <c r="H155" s="2"/>
      <c r="J155" s="11"/>
      <c r="K155" s="128"/>
    </row>
    <row r="156" spans="2:11" s="14" customFormat="1" x14ac:dyDescent="0.2">
      <c r="B156" s="48"/>
      <c r="C156" s="3"/>
      <c r="D156" s="334"/>
      <c r="E156" s="334"/>
      <c r="F156" s="334"/>
      <c r="G156" s="137"/>
      <c r="H156" s="2"/>
      <c r="J156" s="11"/>
      <c r="K156" s="128"/>
    </row>
    <row r="157" spans="2:11" s="14" customFormat="1" x14ac:dyDescent="0.2">
      <c r="B157" s="48"/>
      <c r="C157" s="3"/>
      <c r="D157" s="334"/>
      <c r="E157" s="334"/>
      <c r="F157" s="334"/>
      <c r="G157" s="137"/>
      <c r="H157" s="2"/>
      <c r="J157" s="11"/>
      <c r="K157" s="128"/>
    </row>
    <row r="158" spans="2:11" s="14" customFormat="1" x14ac:dyDescent="0.2">
      <c r="B158" s="48"/>
      <c r="C158" s="3"/>
      <c r="D158" s="334"/>
      <c r="E158" s="334"/>
      <c r="F158" s="334"/>
      <c r="G158" s="137"/>
      <c r="H158" s="2"/>
      <c r="J158" s="11"/>
      <c r="K158" s="128"/>
    </row>
    <row r="159" spans="2:11" s="14" customFormat="1" x14ac:dyDescent="0.2">
      <c r="B159" s="48"/>
      <c r="C159" s="3"/>
      <c r="D159" s="334"/>
      <c r="E159" s="334"/>
      <c r="F159" s="334"/>
      <c r="G159" s="137"/>
      <c r="H159" s="2"/>
      <c r="J159" s="11"/>
      <c r="K159" s="128"/>
    </row>
    <row r="160" spans="2:11" s="14" customFormat="1" x14ac:dyDescent="0.2">
      <c r="B160" s="48"/>
      <c r="C160" s="3"/>
      <c r="D160" s="334"/>
      <c r="E160" s="334"/>
      <c r="F160" s="334"/>
      <c r="G160" s="137"/>
      <c r="H160" s="2"/>
      <c r="J160" s="11"/>
      <c r="K160" s="128"/>
    </row>
    <row r="161" spans="2:11" s="14" customFormat="1" x14ac:dyDescent="0.2">
      <c r="B161" s="48"/>
      <c r="C161" s="3"/>
      <c r="D161" s="334"/>
      <c r="E161" s="334"/>
      <c r="F161" s="334"/>
      <c r="G161" s="137"/>
      <c r="H161" s="2"/>
      <c r="J161" s="11"/>
      <c r="K161" s="128"/>
    </row>
    <row r="162" spans="2:11" s="14" customFormat="1" x14ac:dyDescent="0.2">
      <c r="B162" s="48"/>
      <c r="C162" s="3"/>
      <c r="D162" s="334"/>
      <c r="E162" s="334"/>
      <c r="F162" s="334"/>
      <c r="G162" s="137"/>
      <c r="H162" s="2"/>
      <c r="J162" s="11"/>
      <c r="K162" s="128"/>
    </row>
    <row r="163" spans="2:11" s="14" customFormat="1" x14ac:dyDescent="0.2">
      <c r="B163" s="48"/>
      <c r="C163" s="3"/>
      <c r="D163" s="334"/>
      <c r="E163" s="334"/>
      <c r="F163" s="334"/>
      <c r="G163" s="137"/>
      <c r="H163" s="2"/>
      <c r="J163" s="11"/>
      <c r="K163" s="128"/>
    </row>
    <row r="164" spans="2:11" s="14" customFormat="1" x14ac:dyDescent="0.2">
      <c r="B164" s="48"/>
      <c r="C164" s="3"/>
      <c r="D164" s="334"/>
      <c r="E164" s="334"/>
      <c r="F164" s="334"/>
      <c r="G164" s="137"/>
      <c r="H164" s="2"/>
      <c r="J164" s="11"/>
      <c r="K164" s="128"/>
    </row>
    <row r="165" spans="2:11" s="14" customFormat="1" x14ac:dyDescent="0.2">
      <c r="B165" s="48"/>
      <c r="C165" s="3"/>
      <c r="D165" s="334"/>
      <c r="E165" s="334"/>
      <c r="F165" s="334"/>
      <c r="G165" s="137"/>
      <c r="H165" s="2"/>
      <c r="J165" s="11"/>
      <c r="K165" s="128"/>
    </row>
    <row r="166" spans="2:11" s="14" customFormat="1" x14ac:dyDescent="0.2">
      <c r="B166" s="48"/>
      <c r="C166" s="3"/>
      <c r="D166" s="334"/>
      <c r="E166" s="334"/>
      <c r="F166" s="334"/>
      <c r="G166" s="137"/>
      <c r="H166" s="2"/>
      <c r="J166" s="11"/>
      <c r="K166" s="128"/>
    </row>
    <row r="167" spans="2:11" s="14" customFormat="1" x14ac:dyDescent="0.2">
      <c r="B167" s="48"/>
      <c r="C167" s="3"/>
      <c r="D167" s="334"/>
      <c r="E167" s="334"/>
      <c r="F167" s="334"/>
      <c r="G167" s="137"/>
      <c r="H167" s="2"/>
      <c r="J167" s="11"/>
      <c r="K167" s="128"/>
    </row>
    <row r="168" spans="2:11" s="14" customFormat="1" x14ac:dyDescent="0.2">
      <c r="B168" s="48"/>
      <c r="C168" s="3"/>
      <c r="D168" s="334"/>
      <c r="E168" s="334"/>
      <c r="F168" s="334"/>
      <c r="G168" s="137"/>
      <c r="H168" s="2"/>
      <c r="J168" s="11"/>
      <c r="K168" s="128"/>
    </row>
    <row r="169" spans="2:11" s="14" customFormat="1" x14ac:dyDescent="0.2">
      <c r="B169" s="48"/>
      <c r="C169" s="3"/>
      <c r="D169" s="334"/>
      <c r="E169" s="334"/>
      <c r="F169" s="334"/>
      <c r="G169" s="137"/>
      <c r="H169" s="2"/>
      <c r="J169" s="11"/>
      <c r="K169" s="128"/>
    </row>
    <row r="170" spans="2:11" s="14" customFormat="1" x14ac:dyDescent="0.2">
      <c r="B170" s="48"/>
      <c r="C170" s="3"/>
      <c r="D170" s="334"/>
      <c r="E170" s="334"/>
      <c r="F170" s="334"/>
      <c r="G170" s="137"/>
      <c r="H170" s="2"/>
      <c r="J170" s="11"/>
      <c r="K170" s="128"/>
    </row>
    <row r="171" spans="2:11" s="14" customFormat="1" x14ac:dyDescent="0.2">
      <c r="B171" s="48"/>
      <c r="C171" s="3"/>
      <c r="D171" s="334"/>
      <c r="E171" s="334"/>
      <c r="F171" s="334"/>
      <c r="G171" s="137"/>
      <c r="H171" s="2"/>
      <c r="J171" s="11"/>
      <c r="K171" s="128"/>
    </row>
    <row r="172" spans="2:11" s="14" customFormat="1" x14ac:dyDescent="0.2">
      <c r="B172" s="48"/>
      <c r="C172" s="3"/>
      <c r="D172" s="334"/>
      <c r="E172" s="334"/>
      <c r="F172" s="334"/>
      <c r="G172" s="137"/>
      <c r="H172" s="2"/>
      <c r="J172" s="11"/>
      <c r="K172" s="128"/>
    </row>
    <row r="173" spans="2:11" s="14" customFormat="1" x14ac:dyDescent="0.2">
      <c r="B173" s="48"/>
      <c r="C173" s="3"/>
      <c r="D173" s="334"/>
      <c r="E173" s="334"/>
      <c r="F173" s="334"/>
      <c r="G173" s="137"/>
      <c r="H173" s="2"/>
      <c r="J173" s="11"/>
      <c r="K173" s="128"/>
    </row>
    <row r="174" spans="2:11" s="14" customFormat="1" x14ac:dyDescent="0.2">
      <c r="B174" s="48"/>
      <c r="C174" s="3"/>
      <c r="D174" s="334"/>
      <c r="E174" s="334"/>
      <c r="F174" s="334"/>
      <c r="G174" s="137"/>
      <c r="H174" s="2"/>
      <c r="J174" s="11"/>
      <c r="K174" s="128"/>
    </row>
    <row r="175" spans="2:11" s="14" customFormat="1" x14ac:dyDescent="0.2">
      <c r="B175" s="48"/>
      <c r="C175" s="3"/>
      <c r="D175" s="334"/>
      <c r="E175" s="334"/>
      <c r="F175" s="334"/>
      <c r="G175" s="137"/>
      <c r="H175" s="2"/>
      <c r="J175" s="11"/>
      <c r="K175" s="128"/>
    </row>
    <row r="176" spans="2:11" s="14" customFormat="1" x14ac:dyDescent="0.2">
      <c r="B176" s="48"/>
      <c r="C176" s="3"/>
      <c r="D176" s="334"/>
      <c r="E176" s="334"/>
      <c r="F176" s="334"/>
      <c r="G176" s="137"/>
      <c r="H176" s="2"/>
      <c r="J176" s="11"/>
      <c r="K176" s="128"/>
    </row>
    <row r="177" spans="2:11" s="14" customFormat="1" x14ac:dyDescent="0.2">
      <c r="B177" s="48"/>
      <c r="C177" s="3"/>
      <c r="D177" s="334"/>
      <c r="E177" s="334"/>
      <c r="F177" s="334"/>
      <c r="G177" s="137"/>
      <c r="H177" s="2"/>
      <c r="J177" s="11"/>
      <c r="K177" s="128"/>
    </row>
    <row r="178" spans="2:11" s="14" customFormat="1" x14ac:dyDescent="0.2">
      <c r="B178" s="48"/>
      <c r="C178" s="3"/>
      <c r="D178" s="334"/>
      <c r="E178" s="334"/>
      <c r="F178" s="334"/>
      <c r="G178" s="137"/>
      <c r="H178" s="2"/>
      <c r="J178" s="11"/>
      <c r="K178" s="128"/>
    </row>
    <row r="179" spans="2:11" s="14" customFormat="1" x14ac:dyDescent="0.2">
      <c r="B179" s="48"/>
      <c r="C179" s="3"/>
      <c r="D179" s="334"/>
      <c r="E179" s="334"/>
      <c r="F179" s="334"/>
      <c r="G179" s="137"/>
      <c r="H179" s="2"/>
      <c r="J179" s="11"/>
      <c r="K179" s="128"/>
    </row>
    <row r="180" spans="2:11" s="14" customFormat="1" x14ac:dyDescent="0.2">
      <c r="B180" s="48"/>
      <c r="C180" s="3"/>
      <c r="D180" s="334"/>
      <c r="E180" s="334"/>
      <c r="F180" s="334"/>
      <c r="G180" s="137"/>
      <c r="H180" s="2"/>
      <c r="J180" s="11"/>
      <c r="K180" s="128"/>
    </row>
    <row r="181" spans="2:11" s="14" customFormat="1" x14ac:dyDescent="0.2">
      <c r="B181" s="48"/>
      <c r="C181" s="3"/>
      <c r="D181" s="334"/>
      <c r="E181" s="334"/>
      <c r="F181" s="334"/>
      <c r="G181" s="137"/>
      <c r="H181" s="2"/>
      <c r="J181" s="11"/>
      <c r="K181" s="128"/>
    </row>
    <row r="182" spans="2:11" s="14" customFormat="1" x14ac:dyDescent="0.2">
      <c r="B182" s="48"/>
      <c r="C182" s="3"/>
      <c r="D182" s="334"/>
      <c r="E182" s="334"/>
      <c r="F182" s="334"/>
      <c r="G182" s="137"/>
      <c r="H182" s="2"/>
      <c r="J182" s="11"/>
      <c r="K182" s="128"/>
    </row>
    <row r="183" spans="2:11" s="14" customFormat="1" x14ac:dyDescent="0.2">
      <c r="B183" s="48"/>
      <c r="C183" s="3"/>
      <c r="D183" s="334"/>
      <c r="E183" s="334"/>
      <c r="F183" s="334"/>
      <c r="G183" s="137"/>
      <c r="H183" s="2"/>
      <c r="J183" s="11"/>
      <c r="K183" s="128"/>
    </row>
    <row r="184" spans="2:11" s="14" customFormat="1" x14ac:dyDescent="0.2">
      <c r="B184" s="48"/>
      <c r="C184" s="3"/>
      <c r="D184" s="334"/>
      <c r="E184" s="334"/>
      <c r="F184" s="334"/>
      <c r="G184" s="137"/>
      <c r="H184" s="2"/>
      <c r="J184" s="11"/>
      <c r="K184" s="128"/>
    </row>
    <row r="185" spans="2:11" s="14" customFormat="1" x14ac:dyDescent="0.2">
      <c r="B185" s="48"/>
      <c r="C185" s="3"/>
      <c r="D185" s="334"/>
      <c r="E185" s="334"/>
      <c r="F185" s="334"/>
      <c r="G185" s="137"/>
      <c r="H185" s="2"/>
      <c r="J185" s="11"/>
      <c r="K185" s="128"/>
    </row>
    <row r="186" spans="2:11" s="14" customFormat="1" x14ac:dyDescent="0.2">
      <c r="B186" s="48"/>
      <c r="C186" s="3"/>
      <c r="D186" s="334"/>
      <c r="E186" s="334"/>
      <c r="F186" s="334"/>
      <c r="G186" s="137"/>
      <c r="H186" s="2"/>
      <c r="J186" s="11"/>
      <c r="K186" s="128"/>
    </row>
    <row r="187" spans="2:11" s="14" customFormat="1" x14ac:dyDescent="0.2">
      <c r="B187" s="48"/>
      <c r="C187" s="3"/>
      <c r="D187" s="334"/>
      <c r="E187" s="334"/>
      <c r="F187" s="334"/>
      <c r="G187" s="137"/>
      <c r="H187" s="2"/>
      <c r="J187" s="11"/>
      <c r="K187" s="128"/>
    </row>
    <row r="188" spans="2:11" s="14" customFormat="1" x14ac:dyDescent="0.2">
      <c r="B188" s="48"/>
      <c r="C188" s="3"/>
      <c r="D188" s="334"/>
      <c r="E188" s="334"/>
      <c r="F188" s="334"/>
      <c r="G188" s="137"/>
      <c r="H188" s="2"/>
      <c r="J188" s="11"/>
      <c r="K188" s="128"/>
    </row>
    <row r="189" spans="2:11" s="14" customFormat="1" x14ac:dyDescent="0.2">
      <c r="B189" s="48"/>
      <c r="C189" s="3"/>
      <c r="D189" s="334"/>
      <c r="E189" s="334"/>
      <c r="F189" s="334"/>
      <c r="G189" s="137"/>
      <c r="H189" s="2"/>
      <c r="J189" s="11"/>
      <c r="K189" s="128"/>
    </row>
    <row r="190" spans="2:11" s="14" customFormat="1" x14ac:dyDescent="0.2">
      <c r="B190" s="48"/>
      <c r="C190" s="3"/>
      <c r="D190" s="334"/>
      <c r="E190" s="334"/>
      <c r="F190" s="334"/>
      <c r="G190" s="137"/>
      <c r="H190" s="2"/>
      <c r="J190" s="11"/>
      <c r="K190" s="128"/>
    </row>
    <row r="191" spans="2:11" s="14" customFormat="1" x14ac:dyDescent="0.2">
      <c r="B191" s="48"/>
      <c r="C191" s="3"/>
      <c r="D191" s="334"/>
      <c r="E191" s="334"/>
      <c r="F191" s="334"/>
      <c r="G191" s="137"/>
      <c r="H191" s="2"/>
      <c r="J191" s="11"/>
      <c r="K191" s="128"/>
    </row>
    <row r="192" spans="2:11" s="14" customFormat="1" x14ac:dyDescent="0.2">
      <c r="B192" s="48"/>
      <c r="C192" s="3"/>
      <c r="D192" s="334"/>
      <c r="E192" s="334"/>
      <c r="F192" s="334"/>
      <c r="G192" s="137"/>
      <c r="H192" s="2"/>
      <c r="J192" s="11"/>
      <c r="K192" s="128"/>
    </row>
    <row r="193" spans="2:11" s="14" customFormat="1" x14ac:dyDescent="0.2">
      <c r="B193" s="48"/>
      <c r="C193" s="3"/>
      <c r="D193" s="334"/>
      <c r="E193" s="334"/>
      <c r="F193" s="334"/>
      <c r="G193" s="137"/>
      <c r="H193" s="2"/>
      <c r="J193" s="11"/>
      <c r="K193" s="128"/>
    </row>
    <row r="194" spans="2:11" s="14" customFormat="1" x14ac:dyDescent="0.2">
      <c r="B194" s="48"/>
      <c r="C194" s="3"/>
      <c r="D194" s="334"/>
      <c r="E194" s="334"/>
      <c r="F194" s="334"/>
      <c r="G194" s="137"/>
      <c r="H194" s="2"/>
      <c r="J194" s="11"/>
      <c r="K194" s="128"/>
    </row>
    <row r="195" spans="2:11" s="14" customFormat="1" x14ac:dyDescent="0.2">
      <c r="B195" s="48"/>
      <c r="C195" s="3"/>
      <c r="D195" s="334"/>
      <c r="E195" s="334"/>
      <c r="F195" s="334"/>
      <c r="G195" s="137"/>
      <c r="H195" s="2"/>
      <c r="J195" s="11"/>
      <c r="K195" s="128"/>
    </row>
    <row r="196" spans="2:11" s="14" customFormat="1" x14ac:dyDescent="0.2">
      <c r="B196" s="48"/>
      <c r="C196" s="3"/>
      <c r="D196" s="334"/>
      <c r="E196" s="334"/>
      <c r="F196" s="334"/>
      <c r="G196" s="137"/>
      <c r="H196" s="2"/>
      <c r="J196" s="11"/>
      <c r="K196" s="128"/>
    </row>
    <row r="197" spans="2:11" s="14" customFormat="1" x14ac:dyDescent="0.2">
      <c r="B197" s="48"/>
      <c r="C197" s="3"/>
      <c r="D197" s="334"/>
      <c r="E197" s="334"/>
      <c r="F197" s="334"/>
      <c r="G197" s="137"/>
      <c r="H197" s="2"/>
      <c r="J197" s="11"/>
      <c r="K197" s="128"/>
    </row>
    <row r="198" spans="2:11" s="14" customFormat="1" x14ac:dyDescent="0.2">
      <c r="B198" s="48"/>
      <c r="C198" s="3"/>
      <c r="D198" s="334"/>
      <c r="E198" s="334"/>
      <c r="F198" s="334"/>
      <c r="G198" s="137"/>
      <c r="H198" s="2"/>
      <c r="J198" s="11"/>
      <c r="K198" s="128"/>
    </row>
    <row r="199" spans="2:11" s="14" customFormat="1" x14ac:dyDescent="0.2">
      <c r="B199" s="48"/>
      <c r="C199" s="3"/>
      <c r="D199" s="334"/>
      <c r="E199" s="334"/>
      <c r="F199" s="334"/>
      <c r="G199" s="137"/>
      <c r="H199" s="2"/>
      <c r="J199" s="11"/>
      <c r="K199" s="128"/>
    </row>
    <row r="200" spans="2:11" s="14" customFormat="1" x14ac:dyDescent="0.2">
      <c r="B200" s="48"/>
      <c r="C200" s="3"/>
      <c r="D200" s="334"/>
      <c r="E200" s="334"/>
      <c r="F200" s="334"/>
      <c r="G200" s="137"/>
      <c r="H200" s="2"/>
      <c r="J200" s="11"/>
      <c r="K200" s="128"/>
    </row>
    <row r="201" spans="2:11" s="14" customFormat="1" x14ac:dyDescent="0.2">
      <c r="B201" s="48"/>
      <c r="C201" s="3"/>
      <c r="D201" s="334"/>
      <c r="E201" s="334"/>
      <c r="F201" s="334"/>
      <c r="G201" s="137"/>
      <c r="H201" s="2"/>
      <c r="J201" s="11"/>
      <c r="K201" s="128"/>
    </row>
    <row r="202" spans="2:11" s="14" customFormat="1" x14ac:dyDescent="0.2">
      <c r="B202" s="48"/>
      <c r="C202" s="3"/>
      <c r="D202" s="334"/>
      <c r="E202" s="334"/>
      <c r="F202" s="334"/>
      <c r="G202" s="137"/>
      <c r="H202" s="2"/>
      <c r="J202" s="11"/>
      <c r="K202" s="128"/>
    </row>
    <row r="203" spans="2:11" s="14" customFormat="1" x14ac:dyDescent="0.2">
      <c r="B203" s="48"/>
      <c r="C203" s="3"/>
      <c r="D203" s="334"/>
      <c r="E203" s="334"/>
      <c r="F203" s="334"/>
      <c r="G203" s="137"/>
      <c r="H203" s="2"/>
      <c r="J203" s="11"/>
      <c r="K203" s="128"/>
    </row>
    <row r="204" spans="2:11" s="14" customFormat="1" x14ac:dyDescent="0.2">
      <c r="B204" s="48"/>
      <c r="C204" s="3"/>
      <c r="D204" s="334"/>
      <c r="E204" s="334"/>
      <c r="F204" s="334"/>
      <c r="G204" s="137"/>
      <c r="H204" s="2"/>
      <c r="J204" s="11"/>
      <c r="K204" s="128"/>
    </row>
    <row r="205" spans="2:11" s="14" customFormat="1" x14ac:dyDescent="0.2">
      <c r="B205" s="48"/>
      <c r="C205" s="3"/>
      <c r="D205" s="334"/>
      <c r="E205" s="334"/>
      <c r="F205" s="334"/>
      <c r="G205" s="137"/>
      <c r="H205" s="2"/>
      <c r="J205" s="11"/>
      <c r="K205" s="128"/>
    </row>
    <row r="206" spans="2:11" s="14" customFormat="1" x14ac:dyDescent="0.2">
      <c r="B206" s="48"/>
      <c r="C206" s="3"/>
      <c r="D206" s="334"/>
      <c r="E206" s="334"/>
      <c r="F206" s="334"/>
      <c r="G206" s="137"/>
      <c r="H206" s="2"/>
      <c r="J206" s="11"/>
      <c r="K206" s="128"/>
    </row>
    <row r="207" spans="2:11" s="14" customFormat="1" x14ac:dyDescent="0.2">
      <c r="B207" s="48"/>
      <c r="C207" s="3"/>
      <c r="D207" s="334"/>
      <c r="E207" s="334"/>
      <c r="F207" s="334"/>
      <c r="G207" s="137"/>
      <c r="H207" s="2"/>
      <c r="J207" s="11"/>
      <c r="K207" s="128"/>
    </row>
    <row r="208" spans="2:11" s="14" customFormat="1" x14ac:dyDescent="0.2">
      <c r="B208" s="48"/>
      <c r="C208" s="3"/>
      <c r="D208" s="334"/>
      <c r="E208" s="334"/>
      <c r="F208" s="334"/>
      <c r="G208" s="137"/>
      <c r="H208" s="2"/>
      <c r="J208" s="11"/>
      <c r="K208" s="128"/>
    </row>
    <row r="209" spans="2:11" s="14" customFormat="1" x14ac:dyDescent="0.2">
      <c r="B209" s="48"/>
      <c r="C209" s="3"/>
      <c r="D209" s="334"/>
      <c r="E209" s="334"/>
      <c r="F209" s="334"/>
      <c r="G209" s="137"/>
      <c r="H209" s="2"/>
      <c r="J209" s="11"/>
      <c r="K209" s="128"/>
    </row>
    <row r="210" spans="2:11" s="14" customFormat="1" x14ac:dyDescent="0.2">
      <c r="B210" s="48"/>
      <c r="C210" s="3"/>
      <c r="D210" s="334"/>
      <c r="E210" s="334"/>
      <c r="F210" s="334"/>
      <c r="G210" s="137"/>
      <c r="H210" s="2"/>
      <c r="J210" s="11"/>
      <c r="K210" s="128"/>
    </row>
    <row r="211" spans="2:11" s="14" customFormat="1" x14ac:dyDescent="0.2">
      <c r="B211" s="48"/>
      <c r="C211" s="3"/>
      <c r="D211" s="334"/>
      <c r="E211" s="334"/>
      <c r="F211" s="334"/>
      <c r="G211" s="137"/>
      <c r="H211" s="2"/>
      <c r="J211" s="11"/>
      <c r="K211" s="128"/>
    </row>
    <row r="212" spans="2:11" s="14" customFormat="1" x14ac:dyDescent="0.2">
      <c r="B212" s="48"/>
      <c r="C212" s="3"/>
      <c r="D212" s="334"/>
      <c r="E212" s="334"/>
      <c r="F212" s="334"/>
      <c r="G212" s="137"/>
      <c r="H212" s="2"/>
      <c r="J212" s="11"/>
      <c r="K212" s="128"/>
    </row>
    <row r="213" spans="2:11" s="14" customFormat="1" x14ac:dyDescent="0.2">
      <c r="B213" s="48"/>
      <c r="C213" s="3"/>
      <c r="D213" s="334"/>
      <c r="E213" s="334"/>
      <c r="F213" s="334"/>
      <c r="G213" s="137"/>
      <c r="H213" s="2"/>
      <c r="J213" s="11"/>
      <c r="K213" s="128"/>
    </row>
    <row r="214" spans="2:11" s="14" customFormat="1" x14ac:dyDescent="0.2">
      <c r="B214" s="48"/>
      <c r="C214" s="3"/>
      <c r="D214" s="334"/>
      <c r="E214" s="334"/>
      <c r="F214" s="334"/>
      <c r="G214" s="137"/>
      <c r="H214" s="2"/>
      <c r="J214" s="11"/>
      <c r="K214" s="128"/>
    </row>
    <row r="215" spans="2:11" s="14" customFormat="1" x14ac:dyDescent="0.2">
      <c r="B215" s="48"/>
      <c r="C215" s="3"/>
      <c r="D215" s="334"/>
      <c r="E215" s="334"/>
      <c r="F215" s="334"/>
      <c r="G215" s="137"/>
      <c r="H215" s="2"/>
      <c r="J215" s="11"/>
      <c r="K215" s="128"/>
    </row>
    <row r="216" spans="2:11" s="14" customFormat="1" x14ac:dyDescent="0.2">
      <c r="B216" s="48"/>
      <c r="C216" s="3"/>
      <c r="D216" s="334"/>
      <c r="E216" s="334"/>
      <c r="F216" s="334"/>
      <c r="G216" s="137"/>
      <c r="H216" s="2"/>
      <c r="J216" s="11"/>
      <c r="K216" s="128"/>
    </row>
    <row r="217" spans="2:11" s="14" customFormat="1" x14ac:dyDescent="0.2">
      <c r="B217" s="48"/>
      <c r="C217" s="3"/>
      <c r="D217" s="334"/>
      <c r="E217" s="334"/>
      <c r="F217" s="334"/>
      <c r="G217" s="137"/>
      <c r="H217" s="2"/>
      <c r="J217" s="11"/>
      <c r="K217" s="128"/>
    </row>
    <row r="218" spans="2:11" s="14" customFormat="1" x14ac:dyDescent="0.2">
      <c r="B218" s="48"/>
      <c r="C218" s="3"/>
      <c r="D218" s="334"/>
      <c r="E218" s="334"/>
      <c r="F218" s="334"/>
      <c r="G218" s="137"/>
      <c r="H218" s="2"/>
      <c r="J218" s="11"/>
      <c r="K218" s="128"/>
    </row>
    <row r="219" spans="2:11" s="14" customFormat="1" x14ac:dyDescent="0.2">
      <c r="B219" s="48"/>
      <c r="C219" s="3"/>
      <c r="D219" s="334"/>
      <c r="E219" s="334"/>
      <c r="F219" s="334"/>
      <c r="G219" s="137"/>
      <c r="H219" s="2"/>
      <c r="J219" s="11"/>
      <c r="K219" s="128"/>
    </row>
    <row r="220" spans="2:11" s="14" customFormat="1" x14ac:dyDescent="0.2">
      <c r="B220" s="48"/>
      <c r="C220" s="3"/>
      <c r="D220" s="334"/>
      <c r="E220" s="334"/>
      <c r="F220" s="334"/>
      <c r="G220" s="137"/>
      <c r="H220" s="2"/>
      <c r="J220" s="11"/>
      <c r="K220" s="128"/>
    </row>
    <row r="221" spans="2:11" s="14" customFormat="1" x14ac:dyDescent="0.2">
      <c r="B221" s="48"/>
      <c r="C221" s="3"/>
      <c r="D221" s="334"/>
      <c r="E221" s="334"/>
      <c r="F221" s="334"/>
      <c r="G221" s="137"/>
      <c r="H221" s="2"/>
      <c r="J221" s="11"/>
      <c r="K221" s="128"/>
    </row>
    <row r="222" spans="2:11" s="14" customFormat="1" x14ac:dyDescent="0.2">
      <c r="B222" s="48"/>
      <c r="C222" s="3"/>
      <c r="D222" s="334"/>
      <c r="E222" s="334"/>
      <c r="F222" s="334"/>
      <c r="G222" s="137"/>
      <c r="H222" s="2"/>
      <c r="J222" s="11"/>
      <c r="K222" s="128"/>
    </row>
    <row r="223" spans="2:11" s="14" customFormat="1" x14ac:dyDescent="0.2">
      <c r="B223" s="48"/>
      <c r="C223" s="3"/>
      <c r="D223" s="334"/>
      <c r="E223" s="334"/>
      <c r="F223" s="334"/>
      <c r="G223" s="137"/>
      <c r="H223" s="2"/>
      <c r="J223" s="11"/>
      <c r="K223" s="128"/>
    </row>
    <row r="224" spans="2:11" s="14" customFormat="1" x14ac:dyDescent="0.2">
      <c r="B224" s="48"/>
      <c r="C224" s="3"/>
      <c r="D224" s="334"/>
      <c r="E224" s="334"/>
      <c r="F224" s="334"/>
      <c r="G224" s="137"/>
      <c r="H224" s="2"/>
      <c r="J224" s="11"/>
      <c r="K224" s="128"/>
    </row>
  </sheetData>
  <sheetProtection algorithmName="SHA-512" hashValue="onZtW7vqekGJFu8QfJS3motmpJGnMsexoW1tkmzaF0khClNaje6BBI9QZS7thx4Yue0232dKCOmuvctIPR4G8A==" saltValue="rMfoF54093ARfaXQbPasDw==" spinCount="100000" sheet="1" formatCells="0" formatColumns="0" formatRows="0"/>
  <customSheetViews>
    <customSheetView guid="{B8E02330-2419-4DE6-AD01-7ACC7A5D18DD}" scale="75">
      <selection activeCell="H120" sqref="A2:H120"/>
      <pageMargins left="0.75" right="0.75" top="1" bottom="1" header="0.5" footer="0.5"/>
      <pageSetup orientation="portrait" r:id="rId1"/>
      <headerFooter alignWithMargins="0"/>
    </customSheetView>
  </customSheetViews>
  <mergeCells count="112">
    <mergeCell ref="C134:E134"/>
    <mergeCell ref="A134:B135"/>
    <mergeCell ref="B22:B27"/>
    <mergeCell ref="A105:A110"/>
    <mergeCell ref="A111:A117"/>
    <mergeCell ref="D133:H133"/>
    <mergeCell ref="A127:C133"/>
    <mergeCell ref="D128:F128"/>
    <mergeCell ref="D129:F129"/>
    <mergeCell ref="D130:F130"/>
    <mergeCell ref="D131:F131"/>
    <mergeCell ref="D132:F132"/>
    <mergeCell ref="A118:A124"/>
    <mergeCell ref="B118:B124"/>
    <mergeCell ref="H118:H124"/>
    <mergeCell ref="A22:A27"/>
    <mergeCell ref="B67:B72"/>
    <mergeCell ref="B79:B82"/>
    <mergeCell ref="H42:H47"/>
    <mergeCell ref="H73:H78"/>
    <mergeCell ref="D127:H127"/>
    <mergeCell ref="H92:H95"/>
    <mergeCell ref="B111:B117"/>
    <mergeCell ref="H111:H117"/>
    <mergeCell ref="B105:B110"/>
    <mergeCell ref="B73:B78"/>
    <mergeCell ref="B48:B51"/>
    <mergeCell ref="B83:B87"/>
    <mergeCell ref="B92:B95"/>
    <mergeCell ref="A92:A95"/>
    <mergeCell ref="A79:A82"/>
    <mergeCell ref="A67:A72"/>
    <mergeCell ref="B96:B101"/>
    <mergeCell ref="A96:A101"/>
    <mergeCell ref="B88:B91"/>
    <mergeCell ref="A73:A78"/>
    <mergeCell ref="H83:H87"/>
    <mergeCell ref="A83:A87"/>
    <mergeCell ref="A88:A91"/>
    <mergeCell ref="H88:H91"/>
    <mergeCell ref="H67:H72"/>
    <mergeCell ref="B63:B66"/>
    <mergeCell ref="H63:H66"/>
    <mergeCell ref="H52:H58"/>
    <mergeCell ref="A63:A66"/>
    <mergeCell ref="H59:H62"/>
    <mergeCell ref="B42:B47"/>
    <mergeCell ref="A59:A62"/>
    <mergeCell ref="B59:B62"/>
    <mergeCell ref="H48:H51"/>
    <mergeCell ref="B36:B41"/>
    <mergeCell ref="H36:H41"/>
    <mergeCell ref="A52:A58"/>
    <mergeCell ref="B52:B58"/>
    <mergeCell ref="H79:H82"/>
    <mergeCell ref="A48:A51"/>
    <mergeCell ref="A42:A47"/>
    <mergeCell ref="A1:B1"/>
    <mergeCell ref="A36:A41"/>
    <mergeCell ref="H3:H7"/>
    <mergeCell ref="B3:B7"/>
    <mergeCell ref="A3:A7"/>
    <mergeCell ref="A29:A35"/>
    <mergeCell ref="H9:H13"/>
    <mergeCell ref="H29:H35"/>
    <mergeCell ref="B15:B21"/>
    <mergeCell ref="H15:H21"/>
    <mergeCell ref="H22:H27"/>
    <mergeCell ref="B9:B13"/>
    <mergeCell ref="A9:A13"/>
    <mergeCell ref="B29:B35"/>
    <mergeCell ref="A15:A21"/>
    <mergeCell ref="I15:I21"/>
    <mergeCell ref="I22:I27"/>
    <mergeCell ref="I29:I35"/>
    <mergeCell ref="I36:I41"/>
    <mergeCell ref="I42:I47"/>
    <mergeCell ref="E1:I1"/>
    <mergeCell ref="I3:I7"/>
    <mergeCell ref="I9:I13"/>
    <mergeCell ref="I73:I78"/>
    <mergeCell ref="I79:I82"/>
    <mergeCell ref="I83:I87"/>
    <mergeCell ref="I88:I91"/>
    <mergeCell ref="I92:I95"/>
    <mergeCell ref="I48:I51"/>
    <mergeCell ref="I52:I58"/>
    <mergeCell ref="I59:I62"/>
    <mergeCell ref="I63:I66"/>
    <mergeCell ref="I67:I72"/>
    <mergeCell ref="H134:I134"/>
    <mergeCell ref="I96:I101"/>
    <mergeCell ref="I105:I110"/>
    <mergeCell ref="I111:I117"/>
    <mergeCell ref="I118:I124"/>
    <mergeCell ref="H96:H101"/>
    <mergeCell ref="H105:H110"/>
    <mergeCell ref="H146:I146"/>
    <mergeCell ref="H147:I147"/>
    <mergeCell ref="H148:I148"/>
    <mergeCell ref="H141:I141"/>
    <mergeCell ref="H142:I142"/>
    <mergeCell ref="H143:I143"/>
    <mergeCell ref="H144:I144"/>
    <mergeCell ref="H145:I145"/>
    <mergeCell ref="H135:I135"/>
    <mergeCell ref="H137:I137"/>
    <mergeCell ref="H138:I138"/>
    <mergeCell ref="H139:I139"/>
    <mergeCell ref="H140:I140"/>
    <mergeCell ref="A136:H136"/>
    <mergeCell ref="C135:E135"/>
  </mergeCells>
  <phoneticPr fontId="3" type="noConversion"/>
  <pageMargins left="0.75" right="0.75" top="1" bottom="1" header="0.5" footer="0.5"/>
  <pageSetup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dimension ref="A1:R219"/>
  <sheetViews>
    <sheetView zoomScaleNormal="100" workbookViewId="0">
      <selection sqref="A1:B1"/>
    </sheetView>
  </sheetViews>
  <sheetFormatPr defaultColWidth="9.33203125" defaultRowHeight="16.5" x14ac:dyDescent="0.2"/>
  <cols>
    <col min="1" max="1" width="5.83203125" style="20" customWidth="1"/>
    <col min="2" max="2" width="18.83203125" style="29" customWidth="1"/>
    <col min="3" max="3" width="75.83203125" style="3" customWidth="1"/>
    <col min="4" max="5" width="7.83203125" style="119" customWidth="1"/>
    <col min="6" max="6" width="7.83203125" style="148" customWidth="1"/>
    <col min="7" max="7" width="9.83203125" style="652" customWidth="1"/>
    <col min="8" max="8" width="64.83203125" style="478" customWidth="1"/>
    <col min="9" max="9" width="9.83203125" style="478" customWidth="1"/>
    <col min="10" max="10" width="9.33203125" style="2"/>
    <col min="11" max="11" width="9.33203125" style="151"/>
    <col min="12" max="18" width="9.33203125" style="2"/>
    <col min="19" max="16384" width="9.33203125" style="3"/>
  </cols>
  <sheetData>
    <row r="1" spans="1:18" s="2100" customFormat="1" ht="88.5" customHeight="1" thickBot="1" x14ac:dyDescent="0.25">
      <c r="A1" s="2627" t="s">
        <v>1070</v>
      </c>
      <c r="B1" s="2628"/>
      <c r="C1" s="2075" t="s">
        <v>1457</v>
      </c>
      <c r="D1" s="2074" t="s">
        <v>1071</v>
      </c>
      <c r="E1" s="2793"/>
      <c r="F1" s="2794"/>
      <c r="G1" s="2794"/>
      <c r="H1" s="2794"/>
      <c r="I1" s="2794"/>
      <c r="J1" s="2098"/>
      <c r="K1" s="2099"/>
      <c r="L1" s="2098"/>
      <c r="M1" s="2098"/>
      <c r="N1" s="2098"/>
      <c r="O1" s="2098"/>
      <c r="P1" s="2098"/>
      <c r="Q1" s="2098"/>
      <c r="R1" s="2098"/>
    </row>
    <row r="2" spans="1:18" s="106" customFormat="1" ht="36" customHeight="1" thickBot="1" x14ac:dyDescent="0.25">
      <c r="A2" s="1158" t="s">
        <v>88</v>
      </c>
      <c r="B2" s="1158" t="s">
        <v>1425</v>
      </c>
      <c r="C2" s="1196" t="s">
        <v>1165</v>
      </c>
      <c r="D2" s="1158" t="s">
        <v>45</v>
      </c>
      <c r="E2" s="1249" t="s">
        <v>1189</v>
      </c>
      <c r="F2" s="1250" t="s">
        <v>1190</v>
      </c>
      <c r="G2" s="1251" t="s">
        <v>2555</v>
      </c>
      <c r="H2" s="1158" t="s">
        <v>1118</v>
      </c>
      <c r="I2" s="1232" t="s">
        <v>2424</v>
      </c>
    </row>
    <row r="3" spans="1:18" ht="21" customHeight="1" thickBot="1" x14ac:dyDescent="0.25">
      <c r="A3" s="2790" t="str">
        <f>OF!A79</f>
        <v>OF15</v>
      </c>
      <c r="B3" s="2491" t="str">
        <f>OF!B79</f>
        <v>Tidal Proximity</v>
      </c>
      <c r="C3" s="368" t="str">
        <f>OF!C79</f>
        <v>The distance from the AA edge to the closest tidal water body (regardless of its salinity) is:</v>
      </c>
      <c r="D3" s="190"/>
      <c r="E3" s="190"/>
      <c r="F3" s="193"/>
      <c r="G3" s="465">
        <f>MAX(F4:F8)/MAX(E4:E8)</f>
        <v>1</v>
      </c>
      <c r="H3" s="2323" t="s">
        <v>1796</v>
      </c>
      <c r="I3" s="2323" t="s">
        <v>117</v>
      </c>
    </row>
    <row r="4" spans="1:18" ht="15" customHeight="1" x14ac:dyDescent="0.2">
      <c r="A4" s="2791"/>
      <c r="B4" s="2492"/>
      <c r="C4" s="369" t="str">
        <f>OF!C80</f>
        <v>&lt;100 m.</v>
      </c>
      <c r="D4" s="212">
        <f>OF!D80</f>
        <v>1</v>
      </c>
      <c r="E4" s="72">
        <v>4</v>
      </c>
      <c r="F4" s="300">
        <f>D4*E4</f>
        <v>4</v>
      </c>
      <c r="G4" s="97"/>
      <c r="H4" s="2324"/>
      <c r="I4" s="2324"/>
    </row>
    <row r="5" spans="1:18" ht="15" customHeight="1" x14ac:dyDescent="0.2">
      <c r="A5" s="2791"/>
      <c r="B5" s="2492"/>
      <c r="C5" s="568" t="str">
        <f>OF!C81</f>
        <v>100 m - 1 km.</v>
      </c>
      <c r="D5" s="70">
        <f>OF!D81</f>
        <v>0</v>
      </c>
      <c r="E5" s="72">
        <v>4</v>
      </c>
      <c r="F5" s="300">
        <f>D5*E5</f>
        <v>0</v>
      </c>
      <c r="G5" s="646"/>
      <c r="H5" s="2324"/>
      <c r="I5" s="2324"/>
    </row>
    <row r="6" spans="1:18" ht="15" customHeight="1" x14ac:dyDescent="0.2">
      <c r="A6" s="2791"/>
      <c r="B6" s="2492"/>
      <c r="C6" s="568" t="str">
        <f>OF!C82</f>
        <v>1 - 5 km.</v>
      </c>
      <c r="D6" s="70">
        <f>OF!D82</f>
        <v>0</v>
      </c>
      <c r="E6" s="72">
        <v>3</v>
      </c>
      <c r="F6" s="300">
        <f>D6*E6</f>
        <v>0</v>
      </c>
      <c r="G6" s="646"/>
      <c r="H6" s="2324"/>
      <c r="I6" s="2324"/>
    </row>
    <row r="7" spans="1:18" ht="15" customHeight="1" x14ac:dyDescent="0.2">
      <c r="A7" s="2791"/>
      <c r="B7" s="2492"/>
      <c r="C7" s="568" t="str">
        <f>OF!C84</f>
        <v>10-40 km.</v>
      </c>
      <c r="D7" s="70">
        <f>OF!D84</f>
        <v>0</v>
      </c>
      <c r="E7" s="72">
        <v>2</v>
      </c>
      <c r="F7" s="300">
        <f>D7*E7</f>
        <v>0</v>
      </c>
      <c r="G7" s="646"/>
      <c r="H7" s="2324"/>
      <c r="I7" s="2324"/>
    </row>
    <row r="8" spans="1:18" ht="15" customHeight="1" thickBot="1" x14ac:dyDescent="0.25">
      <c r="A8" s="2792"/>
      <c r="B8" s="2494"/>
      <c r="C8" s="370" t="str">
        <f>OF!C85</f>
        <v>&gt;40 km.</v>
      </c>
      <c r="D8" s="152">
        <f>OF!D85</f>
        <v>0</v>
      </c>
      <c r="E8" s="192">
        <v>0</v>
      </c>
      <c r="F8" s="301">
        <f>D8*E8</f>
        <v>0</v>
      </c>
      <c r="G8" s="647"/>
      <c r="H8" s="2325"/>
      <c r="I8" s="2325"/>
    </row>
    <row r="9" spans="1:18" ht="45" customHeight="1" thickBot="1" x14ac:dyDescent="0.25">
      <c r="A9" s="2399" t="str">
        <f>OF!A114</f>
        <v>OF23</v>
      </c>
      <c r="B9" s="2324" t="str">
        <f>OF!B114</f>
        <v>Unvegetated Surface in the Contributing Area</v>
      </c>
      <c r="C9" s="338" t="str">
        <f>OF!C114</f>
        <v>The proportion of the AA's contributing area (measured to no more than 1000 m upslope) that is comprised of buildings, roads, parking lots, other pavement, exposed bedrock, landslides, and other mostly-bare surface is about :</v>
      </c>
      <c r="D9" s="75"/>
      <c r="E9" s="318"/>
      <c r="F9" s="548"/>
      <c r="G9" s="466">
        <f>MAX(F10:F12)/MAX(E10:E12)</f>
        <v>1</v>
      </c>
      <c r="H9" s="2324" t="s">
        <v>668</v>
      </c>
      <c r="I9" s="2323" t="s">
        <v>150</v>
      </c>
    </row>
    <row r="10" spans="1:18" ht="15" customHeight="1" x14ac:dyDescent="0.2">
      <c r="A10" s="2399"/>
      <c r="B10" s="2324"/>
      <c r="C10" s="1905" t="str">
        <f>OF!C115</f>
        <v>&lt;10%.</v>
      </c>
      <c r="D10" s="295">
        <f>OF!D115</f>
        <v>1</v>
      </c>
      <c r="E10" s="318">
        <v>3</v>
      </c>
      <c r="F10" s="300">
        <f>D10*E10</f>
        <v>3</v>
      </c>
      <c r="G10" s="548"/>
      <c r="H10" s="2324"/>
      <c r="I10" s="2324"/>
    </row>
    <row r="11" spans="1:18" ht="15" customHeight="1" x14ac:dyDescent="0.2">
      <c r="A11" s="2399"/>
      <c r="B11" s="2324"/>
      <c r="C11" s="1895" t="str">
        <f>OF!C116</f>
        <v>10 to 25%.</v>
      </c>
      <c r="D11" s="211">
        <f>OF!D116</f>
        <v>0</v>
      </c>
      <c r="E11" s="318">
        <v>2</v>
      </c>
      <c r="F11" s="300">
        <f>D11*E11</f>
        <v>0</v>
      </c>
      <c r="G11" s="549"/>
      <c r="H11" s="2324"/>
      <c r="I11" s="2324"/>
    </row>
    <row r="12" spans="1:18" ht="15" customHeight="1" thickBot="1" x14ac:dyDescent="0.25">
      <c r="A12" s="2553"/>
      <c r="B12" s="2325"/>
      <c r="C12" s="1479" t="str">
        <f>OF!C117</f>
        <v>&gt;25%.</v>
      </c>
      <c r="D12" s="206">
        <f>OF!D117</f>
        <v>0</v>
      </c>
      <c r="E12" s="643">
        <v>0</v>
      </c>
      <c r="F12" s="301">
        <f>D12*E12</f>
        <v>0</v>
      </c>
      <c r="G12" s="550"/>
      <c r="H12" s="2325"/>
      <c r="I12" s="2325"/>
    </row>
    <row r="13" spans="1:18" ht="44.25" customHeight="1" thickBot="1" x14ac:dyDescent="0.25">
      <c r="A13" s="1573" t="str">
        <f>OF!A133</f>
        <v>OF27</v>
      </c>
      <c r="B13" s="1575" t="str">
        <f>OF!B133</f>
        <v>Growing Degree Days</v>
      </c>
      <c r="C13" s="1974" t="str">
        <f>OF!C133</f>
        <v>In Google Earth, open the KMZ file that accompanies this calculator, called NB-PEI_GrowingDegreeDays. Place your cursor over the AA and left-click. From the pop-up, enter the GRIDCODE in the next column.</v>
      </c>
      <c r="D13" s="2066">
        <f>OF!D133</f>
        <v>2135</v>
      </c>
      <c r="E13" s="1585"/>
      <c r="F13" s="507"/>
      <c r="G13" s="502">
        <f>IF((GrowD&lt;1),"",(GrowD-1305)/1328)</f>
        <v>0.625</v>
      </c>
      <c r="H13" s="1567" t="s">
        <v>966</v>
      </c>
      <c r="I13" s="1567" t="s">
        <v>967</v>
      </c>
    </row>
    <row r="14" spans="1:18" s="1920" customFormat="1" ht="70.5" customHeight="1" thickBot="1" x14ac:dyDescent="0.25">
      <c r="A14" s="1923" t="str">
        <f>OF!A152</f>
        <v>OF37</v>
      </c>
      <c r="B14" s="1923" t="str">
        <f>OF!B152</f>
        <v>Calcareous Region</v>
      </c>
      <c r="C14" s="1923" t="str">
        <f>OF!C152</f>
        <v xml:space="preserve">The AA is in an area that is at least partly underlain by soil, sediment, or bedrock that is highly calcareous (enter 3 in next column), moderately calcareous (enter 2), or slightly calcareous (enter 1), none= 0. Limestone is typically a major component (karst geology) and water is not acidic (pH is usually &gt;8).See Figure A-6 in Appendix A of the Manual.  If no map coverage, change to blank.
</v>
      </c>
      <c r="D14" s="243">
        <f>OF!D152</f>
        <v>0</v>
      </c>
      <c r="E14" s="190"/>
      <c r="F14" s="305"/>
      <c r="G14" s="465">
        <f>IF((D14=""),"",D14/3)</f>
        <v>0</v>
      </c>
      <c r="H14" s="1919" t="s">
        <v>2911</v>
      </c>
      <c r="I14" s="1919" t="s">
        <v>2574</v>
      </c>
      <c r="J14" s="1921"/>
      <c r="K14" s="151"/>
      <c r="L14" s="1921"/>
      <c r="M14" s="1921"/>
      <c r="N14" s="1921"/>
      <c r="O14" s="1921"/>
      <c r="P14" s="1921"/>
      <c r="Q14" s="1921"/>
      <c r="R14" s="1921"/>
    </row>
    <row r="15" spans="1:18" s="7" customFormat="1" ht="24" customHeight="1" thickBot="1" x14ac:dyDescent="0.25">
      <c r="A15" s="2323" t="str">
        <f>F!A4</f>
        <v>F1</v>
      </c>
      <c r="B15" s="2323" t="str">
        <f>F!B4</f>
        <v>Wetland Type</v>
      </c>
      <c r="C15" s="1317" t="str">
        <f>F!C4</f>
        <v>Follow the key below and mark the ONE row that best describes MOST of the vegetated part of the AA:</v>
      </c>
      <c r="D15" s="1320"/>
      <c r="E15" s="315"/>
      <c r="F15" s="1057"/>
      <c r="G15" s="465">
        <f>MAX(F16:F21)/MAX(E16:E21)</f>
        <v>1</v>
      </c>
      <c r="H15" s="2323" t="s">
        <v>2277</v>
      </c>
      <c r="I15" s="2323" t="s">
        <v>101</v>
      </c>
      <c r="K15" s="123"/>
    </row>
    <row r="16" spans="1:18" s="7" customFormat="1" ht="60" customHeight="1" thickBot="1" x14ac:dyDescent="0.25">
      <c r="A16" s="2324"/>
      <c r="B16" s="2324"/>
      <c r="C16" s="1317"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16" s="316"/>
      <c r="E16" s="316"/>
      <c r="F16" s="316"/>
      <c r="G16" s="605"/>
      <c r="H16" s="2324"/>
      <c r="I16" s="2324"/>
      <c r="K16" s="123"/>
    </row>
    <row r="17" spans="1:11" s="7" customFormat="1" ht="76.5" customHeight="1" x14ac:dyDescent="0.2">
      <c r="A17" s="2324"/>
      <c r="B17" s="2324"/>
      <c r="C17" s="1992"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17" s="205">
        <f>F!D6</f>
        <v>0</v>
      </c>
      <c r="E17" s="316">
        <v>1</v>
      </c>
      <c r="F17" s="300">
        <f>D17*E17</f>
        <v>0</v>
      </c>
      <c r="G17" s="605"/>
      <c r="H17" s="2324"/>
      <c r="I17" s="2324"/>
      <c r="K17" s="123"/>
    </row>
    <row r="18" spans="1:11" s="7" customFormat="1" ht="57" customHeight="1" thickBot="1" x14ac:dyDescent="0.25">
      <c r="A18" s="2324"/>
      <c r="B18" s="2324"/>
      <c r="C18" s="1990"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18" s="205">
        <f>F!D7</f>
        <v>0</v>
      </c>
      <c r="E18" s="316">
        <v>2</v>
      </c>
      <c r="F18" s="300">
        <f>D18*E18</f>
        <v>0</v>
      </c>
      <c r="G18" s="605"/>
      <c r="H18" s="2324"/>
      <c r="I18" s="2324"/>
      <c r="K18" s="123"/>
    </row>
    <row r="19" spans="1:11" s="7" customFormat="1" ht="30" customHeight="1" thickBot="1" x14ac:dyDescent="0.25">
      <c r="A19" s="2324"/>
      <c r="B19" s="2324"/>
      <c r="C19" s="1317" t="str">
        <f>F!C8</f>
        <v>B. Moss and/or lichen cover less than 25% of the ground. Soil is mineral or decomposed organic (muck). Choose between B1 and B2 and mark the choice with a 1 in their adjoining column:</v>
      </c>
      <c r="D19" s="316"/>
      <c r="E19" s="316"/>
      <c r="F19" s="300"/>
      <c r="G19" s="605"/>
      <c r="H19" s="2324"/>
      <c r="I19" s="2324"/>
      <c r="K19" s="123"/>
    </row>
    <row r="20" spans="1:11" s="7" customFormat="1" ht="27" customHeight="1" x14ac:dyDescent="0.2">
      <c r="A20" s="2324"/>
      <c r="B20" s="2324"/>
      <c r="C20" s="1992" t="str">
        <f>F!C9</f>
        <v>B1. Trees and shrubs taller than 1 m comprise more than 25% of the vegetated cover. Surface water is mostly absent or inundates the vegetation only seasonally (e.g., vernal pools or floodplain).</v>
      </c>
      <c r="D20" s="205">
        <f>F!D9</f>
        <v>0</v>
      </c>
      <c r="E20" s="316">
        <v>2</v>
      </c>
      <c r="F20" s="300">
        <f>D20*E20</f>
        <v>0</v>
      </c>
      <c r="G20" s="605"/>
      <c r="H20" s="2324"/>
      <c r="I20" s="2324"/>
      <c r="K20" s="123"/>
    </row>
    <row r="21" spans="1:11" s="7" customFormat="1" ht="42" customHeight="1" thickBot="1" x14ac:dyDescent="0.25">
      <c r="A21" s="2325"/>
      <c r="B21" s="2325"/>
      <c r="C21" s="420"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21" s="206">
        <f>F!D10</f>
        <v>1</v>
      </c>
      <c r="E21" s="317">
        <v>3</v>
      </c>
      <c r="F21" s="301">
        <f>D21*E21</f>
        <v>3</v>
      </c>
      <c r="G21" s="1489"/>
      <c r="H21" s="2325"/>
      <c r="I21" s="2325"/>
      <c r="K21" s="123"/>
    </row>
    <row r="22" spans="1:11" s="7" customFormat="1" ht="52.5" customHeight="1" thickBot="1" x14ac:dyDescent="0.25">
      <c r="A22" s="2796" t="str">
        <f>F!A12</f>
        <v>F2</v>
      </c>
      <c r="B22" s="2324" t="str">
        <f>F!B12</f>
        <v xml:space="preserve">Wetland Types - Adjoining or Subordinate </v>
      </c>
      <c r="C22" s="1467" t="str">
        <f>F!C12</f>
        <v>If the AA is smaller than 1 ha, mark all other types that occupy more than 1% of the vegetated AA.  If the AA is larger than 1 ha, mark all other types which are within or adjacent to the AA and occupy more than 1 ha, as visible from the AA or as interpreted from aerial imagery.  Do not mark again the type marked in F1.</v>
      </c>
      <c r="D22" s="318"/>
      <c r="E22" s="299"/>
      <c r="F22" s="299"/>
      <c r="G22" s="1494">
        <f>SUM(D23:D26)/3</f>
        <v>0.33333333333333331</v>
      </c>
      <c r="H22" s="2723" t="s">
        <v>2375</v>
      </c>
      <c r="I22" s="2323" t="s">
        <v>1690</v>
      </c>
      <c r="K22" s="123"/>
    </row>
    <row r="23" spans="1:11" s="7" customFormat="1" ht="15" customHeight="1" x14ac:dyDescent="0.2">
      <c r="A23" s="2796"/>
      <c r="B23" s="2324"/>
      <c r="C23" s="1303" t="str">
        <f>F!C13</f>
        <v>A1.</v>
      </c>
      <c r="D23" s="205">
        <f>F!D13</f>
        <v>0</v>
      </c>
      <c r="E23" s="300"/>
      <c r="F23" s="300"/>
      <c r="G23" s="648"/>
      <c r="H23" s="2723"/>
      <c r="I23" s="2324"/>
      <c r="K23" s="123"/>
    </row>
    <row r="24" spans="1:11" s="7" customFormat="1" ht="15" customHeight="1" x14ac:dyDescent="0.2">
      <c r="A24" s="2796"/>
      <c r="B24" s="2324"/>
      <c r="C24" s="1086" t="str">
        <f>F!C14</f>
        <v>A2.</v>
      </c>
      <c r="D24" s="205">
        <f>F!D14</f>
        <v>0</v>
      </c>
      <c r="E24" s="300"/>
      <c r="F24" s="300"/>
      <c r="G24" s="648"/>
      <c r="H24" s="2723"/>
      <c r="I24" s="2324"/>
      <c r="K24" s="123"/>
    </row>
    <row r="25" spans="1:11" s="7" customFormat="1" ht="15" customHeight="1" x14ac:dyDescent="0.2">
      <c r="A25" s="2796"/>
      <c r="B25" s="2324"/>
      <c r="C25" s="1086" t="str">
        <f>F!C15</f>
        <v>B1.</v>
      </c>
      <c r="D25" s="205">
        <f>F!D15</f>
        <v>1</v>
      </c>
      <c r="E25" s="300"/>
      <c r="F25" s="300"/>
      <c r="G25" s="648"/>
      <c r="H25" s="2723"/>
      <c r="I25" s="2324"/>
      <c r="K25" s="123"/>
    </row>
    <row r="26" spans="1:11" s="7" customFormat="1" ht="15" customHeight="1" thickBot="1" x14ac:dyDescent="0.25">
      <c r="A26" s="2797"/>
      <c r="B26" s="2325"/>
      <c r="C26" s="1087" t="str">
        <f>F!C16</f>
        <v>B2.</v>
      </c>
      <c r="D26" s="206">
        <f>F!D16</f>
        <v>0</v>
      </c>
      <c r="E26" s="301"/>
      <c r="F26" s="301"/>
      <c r="G26" s="649"/>
      <c r="H26" s="2795"/>
      <c r="I26" s="2325"/>
      <c r="K26" s="123"/>
    </row>
    <row r="27" spans="1:11" ht="75" customHeight="1" thickBot="1" x14ac:dyDescent="0.25">
      <c r="A27" s="1083" t="str">
        <f>F!A17</f>
        <v>F3</v>
      </c>
      <c r="B27" s="1083" t="str">
        <f>F!B17</f>
        <v>Woody Height &amp; Form Diversity</v>
      </c>
      <c r="C27" s="1472" t="str">
        <f>F!C17</f>
        <v>Following EACH row below, indicate with a number code the percentage of the living vegetation in the AA which is occupied by that feature (6 if &gt;95%, 5 if 75-95%, 4 if 50-75%, 3 if 25-50%, 2 if 5-25%, 1 if &lt;5%, 0 if none). If the vegetated part of the AA is largely herbaceous (non-woody) vegetation, these percentages should not sum to 100%.</v>
      </c>
      <c r="D27" s="852">
        <f>MAX(F!D19, F!D21, F!D23)/6</f>
        <v>0.16666666666666666</v>
      </c>
      <c r="E27" s="299"/>
      <c r="F27" s="299"/>
      <c r="G27" s="466">
        <f>IF((SUM(F!D18:'F'!D21)=0),"", D27)</f>
        <v>0.16666666666666666</v>
      </c>
      <c r="H27" s="1467" t="s">
        <v>2340</v>
      </c>
      <c r="I27" s="4" t="s">
        <v>1148</v>
      </c>
    </row>
    <row r="28" spans="1:11" s="7" customFormat="1" ht="21" customHeight="1" thickBot="1" x14ac:dyDescent="0.25">
      <c r="A28" s="2323" t="str">
        <f>F!A37</f>
        <v>F6</v>
      </c>
      <c r="B28" s="2323" t="str">
        <f>F!B37</f>
        <v>Height Class Interspersion</v>
      </c>
      <c r="C28" s="365" t="str">
        <f>F!C37</f>
        <v>Follow the key below and mark the ONE row that best describes MOST of the AA:</v>
      </c>
      <c r="D28" s="942"/>
      <c r="E28" s="304"/>
      <c r="F28" s="304"/>
      <c r="G28" s="581" t="str">
        <f>IF((MAX(F!D18:D21)&lt;2),"", MAX(F30:F34)/MAX(E30:E34))</f>
        <v/>
      </c>
      <c r="H28" s="2323" t="s">
        <v>2925</v>
      </c>
      <c r="I28" s="2323" t="s">
        <v>1574</v>
      </c>
      <c r="K28" s="123"/>
    </row>
    <row r="29" spans="1:11" s="7" customFormat="1" ht="45" customHeight="1" thickBot="1" x14ac:dyDescent="0.25">
      <c r="A29" s="2324"/>
      <c r="B29" s="2324"/>
      <c r="C29" s="4" t="str">
        <f>F!C38</f>
        <v xml:space="preserve">A. Neither the vegetation taller than 1 m nor the vegetation shorter than that comprise &gt;70% of the vegetated part of the AA.  They each comprise 30-70%.  Choose between A1 and A2 and mark the choice with a 1 in the adjoining column.  Otherwise go to B below. </v>
      </c>
      <c r="D29" s="316"/>
      <c r="E29" s="299"/>
      <c r="F29" s="319"/>
      <c r="G29" s="648"/>
      <c r="H29" s="2324"/>
      <c r="I29" s="2324"/>
      <c r="K29" s="123"/>
    </row>
    <row r="30" spans="1:11" s="7" customFormat="1" ht="15" customHeight="1" x14ac:dyDescent="0.2">
      <c r="A30" s="2324"/>
      <c r="B30" s="2324"/>
      <c r="C30" s="27" t="str">
        <f>F!C39</f>
        <v>A1. The two height classes are mostly scattered and intermixed throughout the AA.</v>
      </c>
      <c r="D30" s="238">
        <f>F!D39</f>
        <v>0</v>
      </c>
      <c r="E30" s="300">
        <v>3</v>
      </c>
      <c r="F30" s="303">
        <f>D30*E30</f>
        <v>0</v>
      </c>
      <c r="G30" s="648"/>
      <c r="H30" s="2324"/>
      <c r="I30" s="2324"/>
      <c r="K30" s="123"/>
    </row>
    <row r="31" spans="1:11" s="7" customFormat="1" ht="27" customHeight="1" thickBot="1" x14ac:dyDescent="0.25">
      <c r="A31" s="2324"/>
      <c r="B31" s="2324"/>
      <c r="C31" s="366" t="str">
        <f>F!C40</f>
        <v>A2. Not A1.  The two height classes are mostly in separate zones or bands, or in proportionately large clumps.</v>
      </c>
      <c r="D31" s="238">
        <f>F!D40</f>
        <v>0</v>
      </c>
      <c r="E31" s="300">
        <v>2</v>
      </c>
      <c r="F31" s="303">
        <f>D31*E31</f>
        <v>0</v>
      </c>
      <c r="G31" s="648"/>
      <c r="H31" s="2324"/>
      <c r="I31" s="2324"/>
      <c r="K31" s="123"/>
    </row>
    <row r="32" spans="1:11" s="7" customFormat="1" ht="45" customHeight="1" thickBot="1" x14ac:dyDescent="0.25">
      <c r="A32" s="2324"/>
      <c r="B32" s="2324"/>
      <c r="C32" s="4" t="str">
        <f>F!C41</f>
        <v>B. Either the vegetation shorter than 1 m comprises &gt;70% of the vegetated part of the AA, or the vegetation taller than that does.  One size class might even be totally absent.  Choose between B1 and B2 and mark the choice with a 1 in the adjoining column:</v>
      </c>
      <c r="D32" s="316"/>
      <c r="E32" s="300"/>
      <c r="F32" s="303"/>
      <c r="G32" s="648"/>
      <c r="H32" s="2324"/>
      <c r="I32" s="2324"/>
      <c r="K32" s="123"/>
    </row>
    <row r="33" spans="1:11" s="7" customFormat="1" ht="15" customHeight="1" x14ac:dyDescent="0.2">
      <c r="A33" s="2324"/>
      <c r="B33" s="2324"/>
      <c r="C33" s="27" t="str">
        <f>F!C42</f>
        <v>B1. The less prevalent height class is mostly scattered and intermixed within the prevalent one.</v>
      </c>
      <c r="D33" s="238">
        <f>F!D42</f>
        <v>0</v>
      </c>
      <c r="E33" s="300">
        <v>1</v>
      </c>
      <c r="F33" s="303">
        <f>D33*E33</f>
        <v>0</v>
      </c>
      <c r="G33" s="648"/>
      <c r="H33" s="2324"/>
      <c r="I33" s="2324"/>
      <c r="K33" s="123"/>
    </row>
    <row r="34" spans="1:11" s="7" customFormat="1" ht="27" customHeight="1" thickBot="1" x14ac:dyDescent="0.25">
      <c r="A34" s="2325"/>
      <c r="B34" s="2325"/>
      <c r="C34" s="153" t="str">
        <f>F!C43</f>
        <v>B2. Not B1.  The less prevalent height class is mostly located apart from the prevalent one, in separate zones or clumps, or is completely absent.</v>
      </c>
      <c r="D34" s="239">
        <f>F!D43</f>
        <v>0</v>
      </c>
      <c r="E34" s="301">
        <v>0</v>
      </c>
      <c r="F34" s="301">
        <f>D34*E34</f>
        <v>0</v>
      </c>
      <c r="G34" s="649"/>
      <c r="H34" s="2325"/>
      <c r="I34" s="2325"/>
      <c r="K34" s="123"/>
    </row>
    <row r="35" spans="1:11" ht="36" customHeight="1" thickBot="1" x14ac:dyDescent="0.25">
      <c r="A35" s="2399" t="str">
        <f>F!A48</f>
        <v>F8</v>
      </c>
      <c r="B35" s="2324" t="str">
        <f>F!B48</f>
        <v>Downed Wood</v>
      </c>
      <c r="C35" s="575" t="str">
        <f>F!C48</f>
        <v>The number of downed wood pieces longer than 2 m and with diameter &gt;10 cm, and not persistently submerged, is:</v>
      </c>
      <c r="D35" s="75"/>
      <c r="E35" s="299"/>
      <c r="F35" s="302"/>
      <c r="G35" s="466" t="str">
        <f>IF((MAX(F!D18:D21)&lt;2),"", IF((D36=1),1,""))</f>
        <v/>
      </c>
      <c r="H35" s="2404" t="s">
        <v>1577</v>
      </c>
      <c r="I35" s="2323" t="s">
        <v>112</v>
      </c>
    </row>
    <row r="36" spans="1:11" ht="18" customHeight="1" x14ac:dyDescent="0.2">
      <c r="A36" s="2369"/>
      <c r="B36" s="2327"/>
      <c r="C36" s="27" t="str">
        <f>F!C49</f>
        <v>Few or none that meet these criteria.</v>
      </c>
      <c r="D36" s="213">
        <f>F!D49</f>
        <v>0</v>
      </c>
      <c r="E36" s="300">
        <v>0</v>
      </c>
      <c r="F36" s="300">
        <f>D36*E36</f>
        <v>0</v>
      </c>
      <c r="G36" s="548"/>
      <c r="H36" s="2396"/>
      <c r="I36" s="2324"/>
    </row>
    <row r="37" spans="1:11" ht="27" customHeight="1" thickBot="1" x14ac:dyDescent="0.25">
      <c r="A37" s="2370"/>
      <c r="B37" s="2328"/>
      <c r="C37" s="153" t="str">
        <f>F!C50</f>
        <v>Several (&gt;5 if AA is &gt;5 hectares, less for smaller AAs) meet these criteria.</v>
      </c>
      <c r="D37" s="206">
        <f>F!D50</f>
        <v>0</v>
      </c>
      <c r="E37" s="301">
        <v>1</v>
      </c>
      <c r="F37" s="301">
        <f>D37*E37</f>
        <v>0</v>
      </c>
      <c r="G37" s="550"/>
      <c r="H37" s="2408"/>
      <c r="I37" s="2325"/>
    </row>
    <row r="38" spans="1:11" ht="21" customHeight="1" thickBot="1" x14ac:dyDescent="0.25">
      <c r="A38" s="2586" t="str">
        <f>F!A51</f>
        <v>F9</v>
      </c>
      <c r="B38" s="2323" t="str">
        <f>F!B51</f>
        <v>N Fixers</v>
      </c>
      <c r="C38" s="103" t="s">
        <v>1333</v>
      </c>
      <c r="D38" s="1320"/>
      <c r="E38" s="304"/>
      <c r="F38" s="305"/>
      <c r="G38" s="465">
        <f>MAX(F39:F43)/MAX(E39:E43)</f>
        <v>0</v>
      </c>
      <c r="H38" s="2529" t="s">
        <v>667</v>
      </c>
      <c r="I38" s="2323" t="s">
        <v>111</v>
      </c>
    </row>
    <row r="39" spans="1:11" ht="15" customHeight="1" x14ac:dyDescent="0.2">
      <c r="A39" s="2369"/>
      <c r="B39" s="2327"/>
      <c r="C39" s="369" t="s">
        <v>1334</v>
      </c>
      <c r="D39" s="213">
        <f>F!D52</f>
        <v>1</v>
      </c>
      <c r="E39" s="300">
        <v>0</v>
      </c>
      <c r="F39" s="300">
        <f>D39*E39</f>
        <v>0</v>
      </c>
      <c r="G39" s="548"/>
      <c r="H39" s="2404"/>
      <c r="I39" s="2324"/>
    </row>
    <row r="40" spans="1:11" ht="27" customHeight="1" x14ac:dyDescent="0.2">
      <c r="A40" s="2369"/>
      <c r="B40" s="2327"/>
      <c r="C40" s="872" t="s">
        <v>1458</v>
      </c>
      <c r="D40" s="205">
        <f>F!D53</f>
        <v>0</v>
      </c>
      <c r="E40" s="300">
        <v>1</v>
      </c>
      <c r="F40" s="300">
        <f>D40*E40</f>
        <v>0</v>
      </c>
      <c r="G40" s="549"/>
      <c r="H40" s="2404"/>
      <c r="I40" s="2324"/>
    </row>
    <row r="41" spans="1:11" ht="27" customHeight="1" x14ac:dyDescent="0.2">
      <c r="A41" s="2369"/>
      <c r="B41" s="2327"/>
      <c r="C41" s="872" t="s">
        <v>1459</v>
      </c>
      <c r="D41" s="205">
        <f>F!D54</f>
        <v>0</v>
      </c>
      <c r="E41" s="300">
        <v>2</v>
      </c>
      <c r="F41" s="300">
        <f>D41*E41</f>
        <v>0</v>
      </c>
      <c r="G41" s="549"/>
      <c r="H41" s="2404"/>
      <c r="I41" s="2324"/>
    </row>
    <row r="42" spans="1:11" ht="27" customHeight="1" x14ac:dyDescent="0.2">
      <c r="A42" s="2369"/>
      <c r="B42" s="2327"/>
      <c r="C42" s="872" t="s">
        <v>1460</v>
      </c>
      <c r="D42" s="205">
        <f>F!D55</f>
        <v>0</v>
      </c>
      <c r="E42" s="300">
        <v>3</v>
      </c>
      <c r="F42" s="300">
        <f>D42*E42</f>
        <v>0</v>
      </c>
      <c r="G42" s="549"/>
      <c r="H42" s="2404"/>
      <c r="I42" s="2324"/>
    </row>
    <row r="43" spans="1:11" ht="27" customHeight="1" thickBot="1" x14ac:dyDescent="0.25">
      <c r="A43" s="2370"/>
      <c r="B43" s="2328"/>
      <c r="C43" s="370" t="s">
        <v>1461</v>
      </c>
      <c r="D43" s="206">
        <f>F!D56</f>
        <v>0</v>
      </c>
      <c r="E43" s="301">
        <v>4</v>
      </c>
      <c r="F43" s="301">
        <f>D43*E43</f>
        <v>0</v>
      </c>
      <c r="G43" s="550"/>
      <c r="H43" s="2530"/>
      <c r="I43" s="2325"/>
    </row>
    <row r="44" spans="1:11" ht="30" customHeight="1" thickBot="1" x14ac:dyDescent="0.25">
      <c r="A44" s="2399" t="str">
        <f>F!A63</f>
        <v>F11</v>
      </c>
      <c r="B44" s="2324" t="str">
        <f>F!B63</f>
        <v>% Bare Ground &amp; Thatch</v>
      </c>
      <c r="C44" s="895" t="str">
        <f>F!C63</f>
        <v>Consider the parts of the AA that lack surface water at the driest time of the growing season. Viewed from directly above the ground layer, the predominant condition in those areas at that time is:</v>
      </c>
      <c r="D44" s="75"/>
      <c r="E44" s="299"/>
      <c r="F44" s="302"/>
      <c r="G44" s="466">
        <f>MAX(F45:F48)/MAX(E45:E48)</f>
        <v>0.66666666666666663</v>
      </c>
      <c r="H44" s="2404" t="s">
        <v>15</v>
      </c>
      <c r="I44" s="2324" t="s">
        <v>113</v>
      </c>
    </row>
    <row r="45" spans="1:11" ht="42" customHeight="1" x14ac:dyDescent="0.2">
      <c r="A45" s="2369"/>
      <c r="B45" s="2327"/>
      <c r="C45" s="27" t="str">
        <f>F!C64</f>
        <v>Little or no (&lt;5%) bare ground is visible between erect stems or under canopy anywhere in the vegetated AA. Ground is extensively blanketed by dense thatch, moss, lichens, graminoids with great stem densities, or plants with ground-hugging foliage. </v>
      </c>
      <c r="D45" s="213">
        <f>F!D64</f>
        <v>0</v>
      </c>
      <c r="E45" s="300">
        <v>3</v>
      </c>
      <c r="F45" s="300">
        <f>D45*E45</f>
        <v>0</v>
      </c>
      <c r="G45" s="548"/>
      <c r="H45" s="2396"/>
      <c r="I45" s="2324"/>
    </row>
    <row r="46" spans="1:11" ht="27" customHeight="1" x14ac:dyDescent="0.2">
      <c r="A46" s="2369"/>
      <c r="B46" s="2327"/>
      <c r="C46" s="5" t="str">
        <f>F!C65</f>
        <v>Slightly bare ground (5-20% bare between plants) is visible in places, but those areas comprise less than 5% of the unflooded parts of the AA.</v>
      </c>
      <c r="D46" s="205">
        <f>F!D65</f>
        <v>1</v>
      </c>
      <c r="E46" s="300">
        <v>2</v>
      </c>
      <c r="F46" s="300">
        <f>D46*E46</f>
        <v>2</v>
      </c>
      <c r="G46" s="549"/>
      <c r="H46" s="2396"/>
      <c r="I46" s="2324"/>
    </row>
    <row r="47" spans="1:11" ht="27" customHeight="1" x14ac:dyDescent="0.2">
      <c r="A47" s="2369"/>
      <c r="B47" s="2327"/>
      <c r="C47" s="5" t="str">
        <f>F!C66</f>
        <v>Much bare ground (20-50% bare between plants) is visible in places, and those areas comprise more than 5% of the unflooded parts of the AA. </v>
      </c>
      <c r="D47" s="205">
        <f>F!D66</f>
        <v>0</v>
      </c>
      <c r="E47" s="300">
        <v>1</v>
      </c>
      <c r="F47" s="300">
        <f>D47*E47</f>
        <v>0</v>
      </c>
      <c r="G47" s="549"/>
      <c r="H47" s="2396"/>
      <c r="I47" s="2324"/>
    </row>
    <row r="48" spans="1:11" ht="15" customHeight="1" thickBot="1" x14ac:dyDescent="0.25">
      <c r="A48" s="2370"/>
      <c r="B48" s="2328"/>
      <c r="C48" s="153" t="str">
        <f>F!C67</f>
        <v>Other conditions.</v>
      </c>
      <c r="D48" s="206">
        <f>F!D67</f>
        <v>0</v>
      </c>
      <c r="E48" s="301">
        <v>0</v>
      </c>
      <c r="F48" s="301">
        <f>D48*E48</f>
        <v>0</v>
      </c>
      <c r="G48" s="550"/>
      <c r="H48" s="2408"/>
      <c r="I48" s="2325"/>
    </row>
    <row r="49" spans="1:11" ht="60" customHeight="1" thickBot="1" x14ac:dyDescent="0.25">
      <c r="A49" s="2752" t="str">
        <f>F!A69</f>
        <v>F12</v>
      </c>
      <c r="B49" s="2324" t="str">
        <f>F!B69</f>
        <v xml:space="preserve">Ground Irregularity </v>
      </c>
      <c r="C49" s="575"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49" s="190"/>
      <c r="E49" s="299"/>
      <c r="F49" s="302"/>
      <c r="G49" s="466">
        <f>MAX(F50:F52)/MAX(E50:E52)</f>
        <v>0.5</v>
      </c>
      <c r="H49" s="2404" t="s">
        <v>60</v>
      </c>
      <c r="I49" s="2323" t="s">
        <v>114</v>
      </c>
    </row>
    <row r="50" spans="1:11" ht="27" customHeight="1" x14ac:dyDescent="0.2">
      <c r="A50" s="2554"/>
      <c r="B50" s="2327"/>
      <c r="C50" s="27" t="str">
        <f>F!C70</f>
        <v>Few or none (minimal microtopography; &lt;1% of the land has such features, or entire AA is always water-covered).</v>
      </c>
      <c r="D50" s="213">
        <f>F!D70</f>
        <v>0</v>
      </c>
      <c r="E50" s="300">
        <v>0</v>
      </c>
      <c r="F50" s="300">
        <f>D50*E50</f>
        <v>0</v>
      </c>
      <c r="G50" s="548"/>
      <c r="H50" s="2396"/>
      <c r="I50" s="2324"/>
    </row>
    <row r="51" spans="1:11" ht="15" customHeight="1" x14ac:dyDescent="0.2">
      <c r="A51" s="2554"/>
      <c r="B51" s="2327"/>
      <c r="C51" s="5" t="str">
        <f>F!C71</f>
        <v>Intermediate.</v>
      </c>
      <c r="D51" s="205">
        <f>F!D71</f>
        <v>1</v>
      </c>
      <c r="E51" s="300">
        <v>1</v>
      </c>
      <c r="F51" s="300">
        <f>D51*E51</f>
        <v>1</v>
      </c>
      <c r="G51" s="549"/>
      <c r="H51" s="2396"/>
      <c r="I51" s="2324"/>
    </row>
    <row r="52" spans="1:11" ht="15" customHeight="1" thickBot="1" x14ac:dyDescent="0.25">
      <c r="A52" s="2554"/>
      <c r="B52" s="2327"/>
      <c r="C52" s="366" t="str">
        <f>F!C72</f>
        <v>Several (extensive micro-topography).</v>
      </c>
      <c r="D52" s="211">
        <f>F!D72</f>
        <v>0</v>
      </c>
      <c r="E52" s="303">
        <v>2</v>
      </c>
      <c r="F52" s="303">
        <f>D52*E52</f>
        <v>0</v>
      </c>
      <c r="G52" s="558"/>
      <c r="H52" s="2396"/>
      <c r="I52" s="2325"/>
    </row>
    <row r="53" spans="1:11" ht="30" customHeight="1" thickBot="1" x14ac:dyDescent="0.25">
      <c r="A53" s="2684" t="str">
        <f>F!A105</f>
        <v>F19</v>
      </c>
      <c r="B53" s="2339" t="str">
        <f>F!B105</f>
        <v xml:space="preserve">Dominance of Most Abundant Herbaceous Species </v>
      </c>
      <c r="C53" s="460" t="str">
        <f>F!C105</f>
        <v>Determine which two herbaceous species comprise the greatest portion of the herbaceous cover (excluding mosses and floating-leaved aquatic plants). Then choose one of the following:</v>
      </c>
      <c r="D53" s="190"/>
      <c r="E53" s="304"/>
      <c r="F53" s="305"/>
      <c r="G53" s="465">
        <f>IF((NoHerbCov=1),"", MAX(F54:F55)/MAX(E54:E55))</f>
        <v>1</v>
      </c>
      <c r="H53" s="2323" t="s">
        <v>1850</v>
      </c>
      <c r="I53" s="2323" t="s">
        <v>1031</v>
      </c>
    </row>
    <row r="54" spans="1:11" ht="15" customHeight="1" x14ac:dyDescent="0.2">
      <c r="A54" s="2392"/>
      <c r="B54" s="2340"/>
      <c r="C54" s="461" t="str">
        <f>F!C106</f>
        <v>those species together comprise &gt; 50% of the areal cover of herbaceous plants at any time during the year.</v>
      </c>
      <c r="D54" s="215">
        <f>F!D106</f>
        <v>0</v>
      </c>
      <c r="E54" s="300">
        <v>0</v>
      </c>
      <c r="F54" s="303">
        <f>D54*E54</f>
        <v>0</v>
      </c>
      <c r="G54" s="548"/>
      <c r="H54" s="2324"/>
      <c r="I54" s="2324"/>
    </row>
    <row r="55" spans="1:11" ht="27" customHeight="1" thickBot="1" x14ac:dyDescent="0.25">
      <c r="A55" s="2738"/>
      <c r="B55" s="2341"/>
      <c r="C55" s="584" t="str">
        <f>F!C107</f>
        <v>those species together do not comprise &gt; 50% of the areal cover of herbaceous plants at any time during the year.</v>
      </c>
      <c r="D55" s="240">
        <f>F!D107</f>
        <v>1</v>
      </c>
      <c r="E55" s="301">
        <v>1</v>
      </c>
      <c r="F55" s="301">
        <f>D55*E55</f>
        <v>1</v>
      </c>
      <c r="G55" s="550"/>
      <c r="H55" s="2325"/>
      <c r="I55" s="2325"/>
    </row>
    <row r="56" spans="1:11" s="7" customFormat="1" ht="30" customHeight="1" thickBot="1" x14ac:dyDescent="0.25">
      <c r="A56" s="2399" t="str">
        <f>F!A121</f>
        <v>F24</v>
      </c>
      <c r="B56" s="2324" t="str">
        <f>F!B121</f>
        <v>% of AA Without Surface Water</v>
      </c>
      <c r="C56" s="896" t="str">
        <f>F!C121</f>
        <v>The percentage of the AA that never contains surface water during an average year (that is, except perhaps for a few hours after snowmelt or rainstorms), but which is still a wetland, is:</v>
      </c>
      <c r="D56" s="75"/>
      <c r="E56" s="318"/>
      <c r="F56" s="299"/>
      <c r="G56" s="434">
        <f>MAX(F57:F62)/MAX(E57:E62)</f>
        <v>0.83333333333333337</v>
      </c>
      <c r="H56" s="2324" t="s">
        <v>979</v>
      </c>
      <c r="I56" s="2323" t="s">
        <v>656</v>
      </c>
      <c r="K56" s="123"/>
    </row>
    <row r="57" spans="1:11" s="7" customFormat="1" ht="15" customHeight="1" x14ac:dyDescent="0.2">
      <c r="A57" s="2399"/>
      <c r="B57" s="2324"/>
      <c r="C57" s="100" t="str">
        <f>F!C122</f>
        <v xml:space="preserve">&lt;1% . In other words, all or nearly all of the AA is covered by water permanently or at least seasonally.  </v>
      </c>
      <c r="D57" s="236">
        <f>F!D122</f>
        <v>1</v>
      </c>
      <c r="E57" s="300">
        <v>5</v>
      </c>
      <c r="F57" s="300">
        <f t="shared" ref="F57:F62" si="0">D57*E57</f>
        <v>5</v>
      </c>
      <c r="G57" s="325"/>
      <c r="H57" s="2324"/>
      <c r="I57" s="2324"/>
      <c r="K57" s="123"/>
    </row>
    <row r="58" spans="1:11" s="7" customFormat="1" ht="15" customHeight="1" x14ac:dyDescent="0.2">
      <c r="A58" s="2399"/>
      <c r="B58" s="2324"/>
      <c r="C58" s="100" t="str">
        <f>F!C123</f>
        <v>1-25% of the AA,  or &lt;1% but &gt;0.01 ha never contains surface water.</v>
      </c>
      <c r="D58" s="236">
        <f>F!D123</f>
        <v>0</v>
      </c>
      <c r="E58" s="300">
        <v>6</v>
      </c>
      <c r="F58" s="300">
        <f t="shared" si="0"/>
        <v>0</v>
      </c>
      <c r="G58" s="325"/>
      <c r="H58" s="2324"/>
      <c r="I58" s="2324"/>
      <c r="K58" s="123"/>
    </row>
    <row r="59" spans="1:11" s="7" customFormat="1" ht="15" customHeight="1" x14ac:dyDescent="0.2">
      <c r="A59" s="2399"/>
      <c r="B59" s="2324"/>
      <c r="C59" s="100" t="str">
        <f>F!C124</f>
        <v>25-50% of the AA never contains surface water.</v>
      </c>
      <c r="D59" s="236">
        <f>F!D124</f>
        <v>0</v>
      </c>
      <c r="E59" s="300">
        <v>4</v>
      </c>
      <c r="F59" s="300">
        <f t="shared" si="0"/>
        <v>0</v>
      </c>
      <c r="G59" s="325"/>
      <c r="H59" s="2324"/>
      <c r="I59" s="2324"/>
      <c r="K59" s="123"/>
    </row>
    <row r="60" spans="1:11" s="7" customFormat="1" ht="15" customHeight="1" x14ac:dyDescent="0.2">
      <c r="A60" s="2399"/>
      <c r="B60" s="2324"/>
      <c r="C60" s="100" t="str">
        <f>F!C125</f>
        <v>50-75% of the AA never contains surface water.</v>
      </c>
      <c r="D60" s="236">
        <f>F!D125</f>
        <v>0</v>
      </c>
      <c r="E60" s="300">
        <v>3</v>
      </c>
      <c r="F60" s="300">
        <f t="shared" si="0"/>
        <v>0</v>
      </c>
      <c r="G60" s="325"/>
      <c r="H60" s="2324"/>
      <c r="I60" s="2324"/>
      <c r="K60" s="123"/>
    </row>
    <row r="61" spans="1:11" s="7" customFormat="1" ht="27" customHeight="1" x14ac:dyDescent="0.2">
      <c r="A61" s="2399"/>
      <c r="B61" s="2324"/>
      <c r="C61" s="100" t="str">
        <f>F!C126</f>
        <v>75-99% of the AA never contains surface water, OR &gt;99% and there is at least one persistently ponded water body larger than 1 ha in the AA.</v>
      </c>
      <c r="D61" s="236">
        <f>F!D126</f>
        <v>0</v>
      </c>
      <c r="E61" s="300">
        <v>2</v>
      </c>
      <c r="F61" s="300">
        <f t="shared" si="0"/>
        <v>0</v>
      </c>
      <c r="G61" s="325"/>
      <c r="H61" s="2324"/>
      <c r="I61" s="2324"/>
      <c r="K61" s="123"/>
    </row>
    <row r="62" spans="1:11" s="7" customFormat="1" ht="27" customHeight="1" thickBot="1" x14ac:dyDescent="0.25">
      <c r="A62" s="2399"/>
      <c r="B62" s="2324"/>
      <c r="C62" s="20" t="str">
        <f>F!C127</f>
        <v>99-100%. AND there is no persistently ponded water body larger than 1 ha within the AA. Enter "1" and SKIP to F42 (Channel Connection).</v>
      </c>
      <c r="D62" s="873">
        <f>F!D127</f>
        <v>0</v>
      </c>
      <c r="E62" s="303">
        <v>1</v>
      </c>
      <c r="F62" s="303">
        <f t="shared" si="0"/>
        <v>0</v>
      </c>
      <c r="G62" s="327"/>
      <c r="H62" s="2324"/>
      <c r="I62" s="2325"/>
      <c r="K62" s="123"/>
    </row>
    <row r="63" spans="1:11" s="6" customFormat="1" ht="45" customHeight="1" thickBot="1" x14ac:dyDescent="0.25">
      <c r="A63" s="2586" t="str">
        <f>F!A128</f>
        <v>F25</v>
      </c>
      <c r="B63" s="2323" t="str">
        <f>F!B128</f>
        <v>% of AA with Persistent Surface Water</v>
      </c>
      <c r="C63" s="1317"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63" s="190"/>
      <c r="E63" s="304"/>
      <c r="F63" s="305"/>
      <c r="G63" s="465">
        <f>IF((AllSat1&gt;0),"",MAX(F64:F68)/MAX(E64:E68))</f>
        <v>0.5</v>
      </c>
      <c r="H63" s="2529" t="s">
        <v>1851</v>
      </c>
      <c r="I63" s="2326" t="s">
        <v>104</v>
      </c>
      <c r="K63" s="106"/>
    </row>
    <row r="64" spans="1:11" s="6" customFormat="1" ht="27" customHeight="1" x14ac:dyDescent="0.2">
      <c r="A64" s="2399"/>
      <c r="B64" s="2324"/>
      <c r="C64" s="576" t="str">
        <f>F!C129</f>
        <v>None. The AA dries up completely (no water in channels either) or never has surface water during most years.  SKIP to F27.</v>
      </c>
      <c r="D64" s="211">
        <f>F!D129</f>
        <v>0</v>
      </c>
      <c r="E64" s="299">
        <v>0</v>
      </c>
      <c r="F64" s="300">
        <f>D64*E64</f>
        <v>0</v>
      </c>
      <c r="G64" s="549"/>
      <c r="H64" s="2404"/>
      <c r="I64" s="2327"/>
      <c r="K64" s="106"/>
    </row>
    <row r="65" spans="1:18" ht="15" customHeight="1" x14ac:dyDescent="0.2">
      <c r="A65" s="2399"/>
      <c r="B65" s="2324"/>
      <c r="C65" s="576" t="str">
        <f>F!C130</f>
        <v>1-20% of the AA.</v>
      </c>
      <c r="D65" s="211">
        <f>F!D130</f>
        <v>0</v>
      </c>
      <c r="E65" s="300">
        <v>1</v>
      </c>
      <c r="F65" s="300">
        <f>D65*E65</f>
        <v>0</v>
      </c>
      <c r="G65" s="549"/>
      <c r="H65" s="2404"/>
      <c r="I65" s="2327"/>
    </row>
    <row r="66" spans="1:18" ht="15" customHeight="1" x14ac:dyDescent="0.2">
      <c r="A66" s="2399"/>
      <c r="B66" s="2324"/>
      <c r="C66" s="576" t="str">
        <f>F!C131</f>
        <v>20-50% of the AA.</v>
      </c>
      <c r="D66" s="211">
        <f>F!D131</f>
        <v>1</v>
      </c>
      <c r="E66" s="300">
        <v>2</v>
      </c>
      <c r="F66" s="300">
        <f>D66*E66</f>
        <v>2</v>
      </c>
      <c r="G66" s="549"/>
      <c r="H66" s="2404"/>
      <c r="I66" s="2327"/>
    </row>
    <row r="67" spans="1:18" ht="15" customHeight="1" x14ac:dyDescent="0.2">
      <c r="A67" s="2399"/>
      <c r="B67" s="2324"/>
      <c r="C67" s="576" t="str">
        <f>F!C132</f>
        <v>50-95% of the AA.</v>
      </c>
      <c r="D67" s="211">
        <f>F!D132</f>
        <v>0</v>
      </c>
      <c r="E67" s="300">
        <v>3</v>
      </c>
      <c r="F67" s="300">
        <f>D67*E67</f>
        <v>0</v>
      </c>
      <c r="G67" s="549"/>
      <c r="H67" s="2404"/>
      <c r="I67" s="2327"/>
    </row>
    <row r="68" spans="1:18" ht="15" customHeight="1" thickBot="1" x14ac:dyDescent="0.25">
      <c r="A68" s="2553"/>
      <c r="B68" s="2325"/>
      <c r="C68" s="420" t="str">
        <f>F!C133</f>
        <v>&gt;95% of the AA. True for many fringe wetlands.</v>
      </c>
      <c r="D68" s="206">
        <f>F!D133</f>
        <v>0</v>
      </c>
      <c r="E68" s="317">
        <v>4</v>
      </c>
      <c r="F68" s="301">
        <f>D68*E68</f>
        <v>0</v>
      </c>
      <c r="G68" s="550"/>
      <c r="H68" s="2530"/>
      <c r="I68" s="2328"/>
    </row>
    <row r="69" spans="1:18" ht="30" customHeight="1" thickBot="1" x14ac:dyDescent="0.25">
      <c r="A69" s="2752" t="str">
        <f>F!A140</f>
        <v>F27</v>
      </c>
      <c r="B69" s="2324" t="str">
        <f>F!B140</f>
        <v>% of AA that is Flooded Only Seasonally</v>
      </c>
      <c r="C69" s="1302" t="str">
        <f>F!C140</f>
        <v>The percentage of the AA's area that is between the annual high water and the annual low water (surface water) is:</v>
      </c>
      <c r="D69" s="75"/>
      <c r="E69" s="299"/>
      <c r="F69" s="302"/>
      <c r="G69" s="434">
        <f>IF((AllSat1&gt;0),"",MAX(F70:F74)/MAX(E70:E74))</f>
        <v>0.5</v>
      </c>
      <c r="H69" s="2404" t="s">
        <v>1852</v>
      </c>
      <c r="I69" s="2324" t="s">
        <v>102</v>
      </c>
    </row>
    <row r="70" spans="1:18" ht="16.899999999999999" customHeight="1" x14ac:dyDescent="0.2">
      <c r="A70" s="2752"/>
      <c r="B70" s="2324"/>
      <c r="C70" s="577" t="str">
        <f>F!C141</f>
        <v>None, or &lt;0.01 hectare and &lt;1% of the AA.  SKIP to F29.</v>
      </c>
      <c r="D70" s="213">
        <f>F!D141</f>
        <v>0</v>
      </c>
      <c r="E70" s="300">
        <v>3</v>
      </c>
      <c r="F70" s="300">
        <f>D70*E70</f>
        <v>0</v>
      </c>
      <c r="G70" s="548"/>
      <c r="H70" s="2404"/>
      <c r="I70" s="2324"/>
    </row>
    <row r="71" spans="1:18" ht="16.899999999999999" customHeight="1" x14ac:dyDescent="0.2">
      <c r="A71" s="2752"/>
      <c r="B71" s="2324"/>
      <c r="C71" s="419" t="str">
        <f>F!C142</f>
        <v>1-20% of the AA, or &lt;1% but &gt;0.01 ha.</v>
      </c>
      <c r="D71" s="205">
        <f>F!D142</f>
        <v>0</v>
      </c>
      <c r="E71" s="300">
        <v>4</v>
      </c>
      <c r="F71" s="300">
        <f>D71*E71</f>
        <v>0</v>
      </c>
      <c r="G71" s="549"/>
      <c r="H71" s="2404"/>
      <c r="I71" s="2324"/>
    </row>
    <row r="72" spans="1:18" ht="16.899999999999999" customHeight="1" x14ac:dyDescent="0.2">
      <c r="A72" s="2752"/>
      <c r="B72" s="2324"/>
      <c r="C72" s="419" t="str">
        <f>F!C143</f>
        <v>20-50% of the AA.</v>
      </c>
      <c r="D72" s="205">
        <f>F!D143</f>
        <v>0</v>
      </c>
      <c r="E72" s="300">
        <v>3</v>
      </c>
      <c r="F72" s="300">
        <f>D72*E72</f>
        <v>0</v>
      </c>
      <c r="G72" s="549"/>
      <c r="H72" s="2404"/>
      <c r="I72" s="2324"/>
    </row>
    <row r="73" spans="1:18" ht="16.899999999999999" customHeight="1" x14ac:dyDescent="0.2">
      <c r="A73" s="2752"/>
      <c r="B73" s="2324"/>
      <c r="C73" s="419" t="str">
        <f>F!C144</f>
        <v>50-95% of the AA.</v>
      </c>
      <c r="D73" s="205">
        <f>F!D144</f>
        <v>1</v>
      </c>
      <c r="E73" s="300">
        <v>2</v>
      </c>
      <c r="F73" s="300">
        <f>D73*E73</f>
        <v>2</v>
      </c>
      <c r="G73" s="549"/>
      <c r="H73" s="2404"/>
      <c r="I73" s="2324"/>
    </row>
    <row r="74" spans="1:18" ht="34.5" customHeight="1" thickBot="1" x14ac:dyDescent="0.25">
      <c r="A74" s="2752"/>
      <c r="B74" s="2324"/>
      <c r="C74" s="576" t="str">
        <f>F!C145</f>
        <v xml:space="preserve">&gt;95% of the AA. </v>
      </c>
      <c r="D74" s="211">
        <f>F!D145</f>
        <v>0</v>
      </c>
      <c r="E74" s="303">
        <v>1</v>
      </c>
      <c r="F74" s="303">
        <f>D74*E74</f>
        <v>0</v>
      </c>
      <c r="G74" s="558"/>
      <c r="H74" s="2404"/>
      <c r="I74" s="2324"/>
    </row>
    <row r="75" spans="1:18" ht="30" customHeight="1" thickBot="1" x14ac:dyDescent="0.25">
      <c r="A75" s="2323" t="str">
        <f>F!A146</f>
        <v>F28</v>
      </c>
      <c r="B75" s="2323" t="str">
        <f>F!B146</f>
        <v>Annual Water Fluctuation Range</v>
      </c>
      <c r="C75" s="365" t="str">
        <f>F!C146</f>
        <v>The annual fluctuation in surface water level within most of the parts of the AA that contain surface water at least temporarily is:</v>
      </c>
      <c r="D75" s="190"/>
      <c r="E75" s="304"/>
      <c r="F75" s="305"/>
      <c r="G75" s="428">
        <f>IF((AllSat1&gt;0),"",IF((NoSeasonal=1),"",MAX(F76:F80)/MAX(E76:E80)))</f>
        <v>0</v>
      </c>
      <c r="H75" s="2326" t="s">
        <v>1853</v>
      </c>
      <c r="I75" s="2323" t="s">
        <v>107</v>
      </c>
    </row>
    <row r="76" spans="1:18" ht="16.899999999999999" customHeight="1" x14ac:dyDescent="0.2">
      <c r="A76" s="2324"/>
      <c r="B76" s="2324"/>
      <c r="C76" s="27" t="str">
        <f>F!C147</f>
        <v>&lt;10 cm change (stable or nearly so).</v>
      </c>
      <c r="D76" s="213">
        <f>F!D147</f>
        <v>0</v>
      </c>
      <c r="E76" s="300">
        <v>3</v>
      </c>
      <c r="F76" s="300">
        <f>D76*E76</f>
        <v>0</v>
      </c>
      <c r="G76" s="548"/>
      <c r="H76" s="2327"/>
      <c r="I76" s="2324"/>
    </row>
    <row r="77" spans="1:18" ht="16.899999999999999" customHeight="1" x14ac:dyDescent="0.2">
      <c r="A77" s="2324"/>
      <c r="B77" s="2324"/>
      <c r="C77" s="1469" t="str">
        <f>F!C148</f>
        <v>10 cm - 50 cm change.</v>
      </c>
      <c r="D77" s="205">
        <f>F!D148</f>
        <v>0</v>
      </c>
      <c r="E77" s="300">
        <v>4</v>
      </c>
      <c r="F77" s="300">
        <f>D77*E77</f>
        <v>0</v>
      </c>
      <c r="G77" s="549"/>
      <c r="H77" s="2327"/>
      <c r="I77" s="2324"/>
    </row>
    <row r="78" spans="1:18" ht="16.899999999999999" customHeight="1" x14ac:dyDescent="0.2">
      <c r="A78" s="2324"/>
      <c r="B78" s="2324"/>
      <c r="C78" s="1469" t="str">
        <f>F!C149</f>
        <v>0.5 - 1 m change.</v>
      </c>
      <c r="D78" s="205">
        <f>F!D149</f>
        <v>0</v>
      </c>
      <c r="E78" s="300">
        <v>2</v>
      </c>
      <c r="F78" s="300">
        <f>D78*E78</f>
        <v>0</v>
      </c>
      <c r="G78" s="549"/>
      <c r="H78" s="2327"/>
      <c r="I78" s="2324"/>
    </row>
    <row r="79" spans="1:18" ht="16.899999999999999" customHeight="1" x14ac:dyDescent="0.2">
      <c r="A79" s="2324"/>
      <c r="B79" s="2324"/>
      <c r="C79" s="1469" t="str">
        <f>F!C150</f>
        <v>1-2 m change.</v>
      </c>
      <c r="D79" s="205">
        <f>F!D150</f>
        <v>0</v>
      </c>
      <c r="E79" s="300">
        <v>1</v>
      </c>
      <c r="F79" s="300">
        <f>D79*E79</f>
        <v>0</v>
      </c>
      <c r="G79" s="590"/>
      <c r="H79" s="2643"/>
      <c r="I79" s="2324"/>
    </row>
    <row r="80" spans="1:18" ht="16.899999999999999" customHeight="1" thickBot="1" x14ac:dyDescent="0.25">
      <c r="A80" s="2325"/>
      <c r="B80" s="2325"/>
      <c r="C80" s="153" t="str">
        <f>F!C151</f>
        <v>&gt;2 m change.</v>
      </c>
      <c r="D80" s="206">
        <f>F!D151</f>
        <v>1</v>
      </c>
      <c r="E80" s="301">
        <v>0</v>
      </c>
      <c r="F80" s="301">
        <f>D80*E80</f>
        <v>0</v>
      </c>
      <c r="G80" s="591"/>
      <c r="H80" s="2689"/>
      <c r="I80" s="2325"/>
      <c r="J80" s="478"/>
      <c r="L80" s="478"/>
      <c r="M80" s="478"/>
      <c r="N80" s="478"/>
      <c r="O80" s="478"/>
      <c r="P80" s="478"/>
      <c r="Q80" s="478"/>
      <c r="R80" s="478"/>
    </row>
    <row r="81" spans="1:9" ht="30" customHeight="1" thickBot="1" x14ac:dyDescent="0.25">
      <c r="A81" s="2586" t="str">
        <f>F!A153</f>
        <v>F29</v>
      </c>
      <c r="B81" s="2324" t="str">
        <f>F!B153</f>
        <v>Predominant Depth Class</v>
      </c>
      <c r="C81" s="1982" t="str">
        <f>F!C153</f>
        <v>During most of the time when surface water is present during the growing season, its depth, averaged over the entire inundated part of the AA, is:</v>
      </c>
      <c r="D81" s="75"/>
      <c r="E81" s="299"/>
      <c r="F81" s="302"/>
      <c r="G81" s="434">
        <f>IF((AllSat1&gt;0),"",IF((TooSmall=1),"",MAX(F82:F86)/MAX(E82:E86)))</f>
        <v>0.8</v>
      </c>
      <c r="H81" s="2404" t="s">
        <v>1184</v>
      </c>
      <c r="I81" s="2323" t="s">
        <v>108</v>
      </c>
    </row>
    <row r="82" spans="1:9" ht="15" customHeight="1" x14ac:dyDescent="0.2">
      <c r="A82" s="2369"/>
      <c r="B82" s="2327"/>
      <c r="C82" s="27" t="str">
        <f>F!C154</f>
        <v>&lt;10 cm deep (but &gt;0).</v>
      </c>
      <c r="D82" s="213">
        <f>F!D154</f>
        <v>0</v>
      </c>
      <c r="E82" s="300">
        <v>3</v>
      </c>
      <c r="F82" s="300">
        <f>D82*E82</f>
        <v>0</v>
      </c>
      <c r="G82" s="548"/>
      <c r="H82" s="2404"/>
      <c r="I82" s="2324"/>
    </row>
    <row r="83" spans="1:9" ht="15" customHeight="1" x14ac:dyDescent="0.2">
      <c r="A83" s="2369"/>
      <c r="B83" s="2327"/>
      <c r="C83" s="5" t="str">
        <f>F!C155</f>
        <v>10 - 50 cm deep.</v>
      </c>
      <c r="D83" s="205">
        <f>F!D155</f>
        <v>0</v>
      </c>
      <c r="E83" s="300">
        <v>5</v>
      </c>
      <c r="F83" s="300">
        <f>D83*E83</f>
        <v>0</v>
      </c>
      <c r="G83" s="549"/>
      <c r="H83" s="2404"/>
      <c r="I83" s="2324"/>
    </row>
    <row r="84" spans="1:9" ht="15" customHeight="1" x14ac:dyDescent="0.2">
      <c r="A84" s="2369"/>
      <c r="B84" s="2327"/>
      <c r="C84" s="5" t="str">
        <f>F!C156</f>
        <v>0.5 - 1 m deep.</v>
      </c>
      <c r="D84" s="205">
        <f>F!D156</f>
        <v>1</v>
      </c>
      <c r="E84" s="300">
        <v>4</v>
      </c>
      <c r="F84" s="300">
        <f>D84*E84</f>
        <v>4</v>
      </c>
      <c r="G84" s="549"/>
      <c r="H84" s="2404"/>
      <c r="I84" s="2324"/>
    </row>
    <row r="85" spans="1:9" ht="15" customHeight="1" x14ac:dyDescent="0.2">
      <c r="A85" s="2369"/>
      <c r="B85" s="2327"/>
      <c r="C85" s="5" t="str">
        <f>F!C157</f>
        <v>1 - 2 m deep.</v>
      </c>
      <c r="D85" s="205">
        <f>F!D157</f>
        <v>0</v>
      </c>
      <c r="E85" s="300">
        <v>2</v>
      </c>
      <c r="F85" s="300">
        <f>D85*E85</f>
        <v>0</v>
      </c>
      <c r="G85" s="549"/>
      <c r="H85" s="2404"/>
      <c r="I85" s="2324"/>
    </row>
    <row r="86" spans="1:9" ht="15" customHeight="1" thickBot="1" x14ac:dyDescent="0.25">
      <c r="A86" s="2370"/>
      <c r="B86" s="2328"/>
      <c r="C86" s="153" t="str">
        <f>F!C158</f>
        <v>&gt;2 m deep. True for many fringe wetlands.</v>
      </c>
      <c r="D86" s="206">
        <f>F!D158</f>
        <v>0</v>
      </c>
      <c r="E86" s="301">
        <v>1</v>
      </c>
      <c r="F86" s="301">
        <f>D86*E86</f>
        <v>0</v>
      </c>
      <c r="G86" s="550"/>
      <c r="H86" s="2530"/>
      <c r="I86" s="2325"/>
    </row>
    <row r="87" spans="1:9" ht="21" customHeight="1" thickBot="1" x14ac:dyDescent="0.25">
      <c r="A87" s="2789" t="str">
        <f>F!A159</f>
        <v>F30</v>
      </c>
      <c r="B87" s="2672" t="str">
        <f>F!B159</f>
        <v>Depth Classes - Evenness of Proportions</v>
      </c>
      <c r="C87" s="631" t="str">
        <f>F!C159</f>
        <v>When present, surface water in most of the AA usually consists of (select one):</v>
      </c>
      <c r="D87" s="190"/>
      <c r="E87" s="299"/>
      <c r="F87" s="302"/>
      <c r="G87" s="466">
        <f>IF((AllSat1&gt;0),"",IF((TooSmall=1),"",MAX(F88:F90)/MAX(E88:E90)))</f>
        <v>1</v>
      </c>
      <c r="H87" s="2340" t="s">
        <v>1854</v>
      </c>
      <c r="I87" s="2323" t="s">
        <v>1030</v>
      </c>
    </row>
    <row r="88" spans="1:9" ht="15" customHeight="1" x14ac:dyDescent="0.2">
      <c r="A88" s="2789"/>
      <c r="B88" s="2672"/>
      <c r="C88" s="632" t="str">
        <f>F!C160</f>
        <v xml:space="preserve">One depth class that comprises &gt;90% of the AA’s inundated area (use the classes in the question above). </v>
      </c>
      <c r="D88" s="251">
        <f>F!D160</f>
        <v>0</v>
      </c>
      <c r="E88" s="300">
        <v>0</v>
      </c>
      <c r="F88" s="300">
        <f>D88*E88</f>
        <v>0</v>
      </c>
      <c r="G88" s="548"/>
      <c r="H88" s="2324"/>
      <c r="I88" s="2324"/>
    </row>
    <row r="89" spans="1:9" ht="15" customHeight="1" x14ac:dyDescent="0.2">
      <c r="A89" s="2789"/>
      <c r="B89" s="2672"/>
      <c r="C89" s="633" t="str">
        <f>F!C161</f>
        <v>One depth class that comprises 50-90% of the AA's inundated area.</v>
      </c>
      <c r="D89" s="252">
        <f>F!D161</f>
        <v>0</v>
      </c>
      <c r="E89" s="300">
        <v>1</v>
      </c>
      <c r="F89" s="300">
        <f>D89*E89</f>
        <v>0</v>
      </c>
      <c r="G89" s="549"/>
      <c r="H89" s="2324"/>
      <c r="I89" s="2324"/>
    </row>
    <row r="90" spans="1:9" ht="15" customHeight="1" thickBot="1" x14ac:dyDescent="0.25">
      <c r="A90" s="2789"/>
      <c r="B90" s="2672"/>
      <c r="C90" s="634" t="str">
        <f>F!C162</f>
        <v>Neither of above. There are 3 or more depth classes and none occupy &gt;50%.</v>
      </c>
      <c r="D90" s="253">
        <f>F!D162</f>
        <v>1</v>
      </c>
      <c r="E90" s="303">
        <v>2</v>
      </c>
      <c r="F90" s="303">
        <f>D90*E90</f>
        <v>2</v>
      </c>
      <c r="G90" s="558"/>
      <c r="H90" s="2324"/>
      <c r="I90" s="2325"/>
    </row>
    <row r="91" spans="1:9" ht="45" customHeight="1" thickBot="1" x14ac:dyDescent="0.25">
      <c r="A91" s="2684" t="str">
        <f>F!A163</f>
        <v>F31</v>
      </c>
      <c r="B91" s="2323" t="str">
        <f>F!B163</f>
        <v>% of Water That Is Ponded (not Flowing)</v>
      </c>
      <c r="C91" s="365" t="str">
        <f>F!C163</f>
        <v>During most times when surface water is present, the percentage that is (1) ponded (stagnant, or flows so slowly that fine sediment is not held in suspension) AND (2) is likely to be deeper than 0.5 m in some places, is:</v>
      </c>
      <c r="D91" s="190"/>
      <c r="E91" s="304"/>
      <c r="F91" s="305"/>
      <c r="G91" s="465">
        <f>IF((AllSat1&gt;0),"",MAX(F92:F96)/MAX(E92:E96))</f>
        <v>0.25</v>
      </c>
      <c r="H91" s="2529" t="s">
        <v>2235</v>
      </c>
      <c r="I91" s="2323" t="s">
        <v>106</v>
      </c>
    </row>
    <row r="92" spans="1:9" ht="15" customHeight="1" x14ac:dyDescent="0.2">
      <c r="A92" s="2369"/>
      <c r="B92" s="2327"/>
      <c r="C92" s="27" t="str">
        <f>F!C164</f>
        <v>&lt;5% of the water, or it occupies &lt;100 sq.m cumulatively. Nearly all the surface water is flowing. SKIP to F34.</v>
      </c>
      <c r="D92" s="237">
        <f>F!D164</f>
        <v>1</v>
      </c>
      <c r="E92" s="300">
        <v>1</v>
      </c>
      <c r="F92" s="300">
        <f>D92*E92</f>
        <v>1</v>
      </c>
      <c r="G92" s="549"/>
      <c r="H92" s="2404"/>
      <c r="I92" s="2324"/>
    </row>
    <row r="93" spans="1:9" ht="15" customHeight="1" x14ac:dyDescent="0.2">
      <c r="A93" s="2369"/>
      <c r="B93" s="2327"/>
      <c r="C93" s="970" t="str">
        <f>F!C165</f>
        <v>5-30% of the water.</v>
      </c>
      <c r="D93" s="238">
        <f>F!D165</f>
        <v>0</v>
      </c>
      <c r="E93" s="300">
        <v>2</v>
      </c>
      <c r="F93" s="300">
        <f>D93*E93</f>
        <v>0</v>
      </c>
      <c r="G93" s="549"/>
      <c r="H93" s="2404"/>
      <c r="I93" s="2324"/>
    </row>
    <row r="94" spans="1:9" ht="15" customHeight="1" x14ac:dyDescent="0.2">
      <c r="A94" s="2369"/>
      <c r="B94" s="2327"/>
      <c r="C94" s="970" t="str">
        <f>F!C166</f>
        <v>30-70% of the water.</v>
      </c>
      <c r="D94" s="238">
        <f>F!D166</f>
        <v>0</v>
      </c>
      <c r="E94" s="300">
        <v>3</v>
      </c>
      <c r="F94" s="300">
        <f>D94*E94</f>
        <v>0</v>
      </c>
      <c r="G94" s="558"/>
      <c r="H94" s="2404"/>
      <c r="I94" s="2324"/>
    </row>
    <row r="95" spans="1:9" ht="15" customHeight="1" x14ac:dyDescent="0.2">
      <c r="A95" s="2369"/>
      <c r="B95" s="2327"/>
      <c r="C95" s="970" t="str">
        <f>F!C167</f>
        <v>70-95% of the water.</v>
      </c>
      <c r="D95" s="238">
        <f>F!D167</f>
        <v>0</v>
      </c>
      <c r="E95" s="300">
        <v>4</v>
      </c>
      <c r="F95" s="300">
        <f>D95*E95</f>
        <v>0</v>
      </c>
      <c r="G95" s="558"/>
      <c r="H95" s="2404"/>
      <c r="I95" s="2324"/>
    </row>
    <row r="96" spans="1:9" ht="15" customHeight="1" thickBot="1" x14ac:dyDescent="0.25">
      <c r="A96" s="2370"/>
      <c r="B96" s="2328"/>
      <c r="C96" s="153" t="str">
        <f>F!C168</f>
        <v>&gt;95% of the water.</v>
      </c>
      <c r="D96" s="239">
        <f>F!D168</f>
        <v>0</v>
      </c>
      <c r="E96" s="301">
        <v>2</v>
      </c>
      <c r="F96" s="301">
        <f>D96*E96</f>
        <v>0</v>
      </c>
      <c r="G96" s="550"/>
      <c r="H96" s="2530"/>
      <c r="I96" s="2325"/>
    </row>
    <row r="97" spans="1:9" ht="30" customHeight="1" thickBot="1" x14ac:dyDescent="0.25">
      <c r="A97" s="2788" t="str">
        <f>F!A170</f>
        <v>F33</v>
      </c>
      <c r="B97" s="2694" t="str">
        <f>F!B170</f>
        <v xml:space="preserve">% of Ponded Water that is Open </v>
      </c>
      <c r="C97" s="4" t="str">
        <f>F!C170</f>
        <v>In ducks-eye aerial view, the percentage of the ponded water that is open (lacking emergent vegetation during most of the growing season, and unhidden by a forest or shrub canopy) is:</v>
      </c>
      <c r="D97" s="190"/>
      <c r="E97" s="304"/>
      <c r="F97" s="305"/>
      <c r="G97" s="465" t="str">
        <f>IF((AllSat1&gt;0),"",IF((TooSmall=1),"",IF((NoPonded=1),"",MAX(F98:F103)/MAX(E98:E103))))</f>
        <v/>
      </c>
      <c r="H97" s="2529" t="s">
        <v>1855</v>
      </c>
      <c r="I97" s="2323" t="s">
        <v>105</v>
      </c>
    </row>
    <row r="98" spans="1:9" ht="27" customHeight="1" x14ac:dyDescent="0.2">
      <c r="A98" s="2745"/>
      <c r="B98" s="2324"/>
      <c r="C98" s="573" t="str">
        <f>F!C171</f>
        <v>None, or &lt;1% of the AA and largest pool occupies &lt;0.01 hectares. Enter "1" and SKIP to F41 (Floating Algae &amp; Duckweed).</v>
      </c>
      <c r="D98" s="211">
        <f>F!D171</f>
        <v>0</v>
      </c>
      <c r="E98" s="300">
        <v>1</v>
      </c>
      <c r="F98" s="300">
        <f t="shared" ref="F98:F103" si="1">D98*E98</f>
        <v>0</v>
      </c>
      <c r="G98" s="548"/>
      <c r="H98" s="2404"/>
      <c r="I98" s="2324"/>
    </row>
    <row r="99" spans="1:9" ht="15" customHeight="1" x14ac:dyDescent="0.2">
      <c r="A99" s="2745"/>
      <c r="B99" s="2324"/>
      <c r="C99" s="366" t="str">
        <f>F!C172</f>
        <v>1-4% of the ponded water. Enter "1" and SKIP to F41 (Floating Algae &amp; Duckweed).</v>
      </c>
      <c r="D99" s="211">
        <f>F!D172</f>
        <v>0</v>
      </c>
      <c r="E99" s="300">
        <v>3</v>
      </c>
      <c r="F99" s="300">
        <f t="shared" si="1"/>
        <v>0</v>
      </c>
      <c r="G99" s="549"/>
      <c r="H99" s="2404"/>
      <c r="I99" s="2324"/>
    </row>
    <row r="100" spans="1:9" ht="15" customHeight="1" x14ac:dyDescent="0.2">
      <c r="A100" s="2745"/>
      <c r="B100" s="2324"/>
      <c r="C100" s="366" t="str">
        <f>F!C173</f>
        <v>5-30% of the ponded water.</v>
      </c>
      <c r="D100" s="211">
        <f>F!D173</f>
        <v>0</v>
      </c>
      <c r="E100" s="300">
        <v>4</v>
      </c>
      <c r="F100" s="300">
        <f t="shared" si="1"/>
        <v>0</v>
      </c>
      <c r="G100" s="549"/>
      <c r="H100" s="2404"/>
      <c r="I100" s="2324"/>
    </row>
    <row r="101" spans="1:9" ht="15" customHeight="1" x14ac:dyDescent="0.2">
      <c r="A101" s="2745"/>
      <c r="B101" s="2324"/>
      <c r="C101" s="366" t="str">
        <f>F!C174</f>
        <v>30-70% of the ponded water.</v>
      </c>
      <c r="D101" s="211">
        <f>F!D174</f>
        <v>0</v>
      </c>
      <c r="E101" s="300">
        <v>6</v>
      </c>
      <c r="F101" s="300">
        <f t="shared" si="1"/>
        <v>0</v>
      </c>
      <c r="G101" s="549"/>
      <c r="H101" s="2404"/>
      <c r="I101" s="2324"/>
    </row>
    <row r="102" spans="1:9" ht="15" customHeight="1" x14ac:dyDescent="0.2">
      <c r="A102" s="2745"/>
      <c r="B102" s="2324"/>
      <c r="C102" s="366" t="str">
        <f>F!C175</f>
        <v>70-99% of the ponded water.</v>
      </c>
      <c r="D102" s="211">
        <f>F!D175</f>
        <v>0</v>
      </c>
      <c r="E102" s="300">
        <v>2</v>
      </c>
      <c r="F102" s="300">
        <f t="shared" si="1"/>
        <v>0</v>
      </c>
      <c r="G102" s="558"/>
      <c r="H102" s="2404"/>
      <c r="I102" s="2324"/>
    </row>
    <row r="103" spans="1:9" ht="15" customHeight="1" thickBot="1" x14ac:dyDescent="0.25">
      <c r="A103" s="2772"/>
      <c r="B103" s="2325"/>
      <c r="C103" s="366" t="str">
        <f>F!C176</f>
        <v xml:space="preserve">100% of the ponded water. </v>
      </c>
      <c r="D103" s="211">
        <f>F!D176</f>
        <v>0</v>
      </c>
      <c r="E103" s="303">
        <v>0</v>
      </c>
      <c r="F103" s="303">
        <f t="shared" si="1"/>
        <v>0</v>
      </c>
      <c r="G103" s="558"/>
      <c r="H103" s="2530"/>
      <c r="I103" s="2325"/>
    </row>
    <row r="104" spans="1:9" ht="33.75" customHeight="1" thickBot="1" x14ac:dyDescent="0.25">
      <c r="A104" s="2586" t="str">
        <f>F!A195</f>
        <v>F37</v>
      </c>
      <c r="B104" s="2323" t="str">
        <f>F!B195</f>
        <v>Interspersion of Emergents &amp; Open Water</v>
      </c>
      <c r="C104" s="105" t="str">
        <f>F!C195</f>
        <v>During most of the part of the growing season when water is present, the spatial pattern of emergent vegetation within the water is mostly:</v>
      </c>
      <c r="D104" s="190"/>
      <c r="E104" s="304"/>
      <c r="F104" s="305"/>
      <c r="G104" s="581" t="str">
        <f>IF((AllSat1&gt;0),"",IF((TooSmall=1),"",IF((NoPonded=1),"",IF((NoOpenPonded+NoOpenPonded1&gt;0),"",IF((AllOpenPond=1),"",IF((NoRobustEm=1),"",MAX(F105:F107)/MAX(E105:E107)))))))</f>
        <v/>
      </c>
      <c r="H104" s="2324" t="s">
        <v>1856</v>
      </c>
      <c r="I104" s="2323" t="s">
        <v>109</v>
      </c>
    </row>
    <row r="105" spans="1:9" ht="15" customHeight="1" x14ac:dyDescent="0.2">
      <c r="A105" s="2399"/>
      <c r="B105" s="2324"/>
      <c r="C105" s="577" t="str">
        <f>F!C196</f>
        <v>Scattered. More than 30% of such vegetation forms small islands or corridors surrounded by water.</v>
      </c>
      <c r="D105" s="213">
        <f>F!D196</f>
        <v>0</v>
      </c>
      <c r="E105" s="300">
        <v>3</v>
      </c>
      <c r="F105" s="300">
        <f>D105*E105</f>
        <v>0</v>
      </c>
      <c r="G105" s="648"/>
      <c r="H105" s="2324"/>
      <c r="I105" s="2324"/>
    </row>
    <row r="106" spans="1:9" ht="15" customHeight="1" x14ac:dyDescent="0.2">
      <c r="A106" s="2399"/>
      <c r="B106" s="2324"/>
      <c r="C106" s="419" t="str">
        <f>F!C197</f>
        <v>Intermediate.</v>
      </c>
      <c r="D106" s="205">
        <f>F!D197</f>
        <v>0</v>
      </c>
      <c r="E106" s="300">
        <v>2</v>
      </c>
      <c r="F106" s="300">
        <f>D106*E106</f>
        <v>0</v>
      </c>
      <c r="G106" s="648"/>
      <c r="H106" s="2324"/>
      <c r="I106" s="2324"/>
    </row>
    <row r="107" spans="1:9" ht="27" customHeight="1" thickBot="1" x14ac:dyDescent="0.25">
      <c r="A107" s="2553"/>
      <c r="B107" s="2325"/>
      <c r="C107" s="420" t="str">
        <f>F!C198</f>
        <v>Clumped. More than 70% of such vegetation is in bands along the wetland perimeter or is clumped at one or a few sides of the surface water area.</v>
      </c>
      <c r="D107" s="206">
        <f>F!D198</f>
        <v>1</v>
      </c>
      <c r="E107" s="301">
        <v>1</v>
      </c>
      <c r="F107" s="301">
        <f>D107*E107</f>
        <v>1</v>
      </c>
      <c r="G107" s="649"/>
      <c r="H107" s="2324"/>
      <c r="I107" s="2325"/>
    </row>
    <row r="108" spans="1:9" ht="69.75" customHeight="1" thickBot="1" x14ac:dyDescent="0.25">
      <c r="A108" s="2323" t="str">
        <f>F!A200</f>
        <v>F39</v>
      </c>
      <c r="B108" s="2323" t="str">
        <f>F!B200</f>
        <v>Non-vegetated Aquatic Cover</v>
      </c>
      <c r="C108" s="105" t="str">
        <f>F!C200</f>
        <v>During most of the growing season and in waters deeper than 0.5 m, the cover for fish, aquatic invertebrates, and/or amphibians that is provided NOT by living vegetation, but by accumulations of dead wood and undercut banks is:</v>
      </c>
      <c r="D108" s="190"/>
      <c r="E108" s="304"/>
      <c r="F108" s="304"/>
      <c r="G108" s="465" t="str">
        <f>IF((AllSat1&gt;0),"",IF((TooSmall=1),"",IF((OpenW=0),"",IF((DeepPersis=0),"", MAX(F109:F111)/MAX(E109:E111)))))</f>
        <v/>
      </c>
      <c r="H108" s="2323" t="s">
        <v>1857</v>
      </c>
      <c r="I108" s="2323" t="s">
        <v>103</v>
      </c>
    </row>
    <row r="109" spans="1:9" ht="24" customHeight="1" x14ac:dyDescent="0.2">
      <c r="A109" s="2324"/>
      <c r="B109" s="2324"/>
      <c r="C109" s="577" t="str">
        <f>F!C201</f>
        <v>Little or none.</v>
      </c>
      <c r="D109" s="213">
        <f>F!D201</f>
        <v>1</v>
      </c>
      <c r="E109" s="300">
        <v>0</v>
      </c>
      <c r="F109" s="300">
        <f>D109*E109</f>
        <v>0</v>
      </c>
      <c r="G109" s="549"/>
      <c r="H109" s="2324"/>
      <c r="I109" s="2324"/>
    </row>
    <row r="110" spans="1:9" ht="24" customHeight="1" x14ac:dyDescent="0.2">
      <c r="A110" s="2324"/>
      <c r="B110" s="2324"/>
      <c r="C110" s="419" t="str">
        <f>F!C202</f>
        <v>Intermediate.</v>
      </c>
      <c r="D110" s="205">
        <f>F!D202</f>
        <v>0</v>
      </c>
      <c r="E110" s="300">
        <v>1</v>
      </c>
      <c r="F110" s="300">
        <f>D110*E110</f>
        <v>0</v>
      </c>
      <c r="G110" s="549"/>
      <c r="H110" s="2324"/>
      <c r="I110" s="2324"/>
    </row>
    <row r="111" spans="1:9" ht="24" customHeight="1" thickBot="1" x14ac:dyDescent="0.25">
      <c r="A111" s="2325"/>
      <c r="B111" s="2325"/>
      <c r="C111" s="420" t="str">
        <f>F!C203</f>
        <v>Extensive.</v>
      </c>
      <c r="D111" s="206">
        <f>F!D203</f>
        <v>0</v>
      </c>
      <c r="E111" s="301">
        <v>2</v>
      </c>
      <c r="F111" s="301">
        <f>D111*E111</f>
        <v>0</v>
      </c>
      <c r="G111" s="550"/>
      <c r="H111" s="2325"/>
      <c r="I111" s="2325"/>
    </row>
    <row r="112" spans="1:9" ht="30" customHeight="1" thickBot="1" x14ac:dyDescent="0.25">
      <c r="A112" s="2586" t="str">
        <f>F!A218</f>
        <v>F46</v>
      </c>
      <c r="B112" s="2323" t="str">
        <f>F!B218</f>
        <v>Throughflow Resistance</v>
      </c>
      <c r="C112" s="365" t="str">
        <f>F!C218</f>
        <v>During its travel through the AA at the time of peak annual flow, water arriving in channels: [select only the ONE encountered by most of the incoming water].</v>
      </c>
      <c r="D112" s="190"/>
      <c r="E112" s="304"/>
      <c r="F112" s="305"/>
      <c r="G112" s="465">
        <f>IF(AND(Inflows=0,OutNone=1,OutNone1=1),"",MAX(F113:F117)/MAX(E113:E117))</f>
        <v>1</v>
      </c>
      <c r="H112" s="2529" t="s">
        <v>1858</v>
      </c>
      <c r="I112" s="2323" t="s">
        <v>110</v>
      </c>
    </row>
    <row r="113" spans="1:18" ht="42" customHeight="1" x14ac:dyDescent="0.2">
      <c r="A113" s="2399"/>
      <c r="B113" s="2324"/>
      <c r="C113" s="27" t="str">
        <f>F!C219</f>
        <v>Does not bump into many plant stems as it travels through the AA. Nearly all the water continues to travel in unvegetated (often incised) channels that have minimal contact with wetland vegetation, or through a zone of open water such as an instream pond or lake.</v>
      </c>
      <c r="D113" s="213">
        <f>F!D219</f>
        <v>0</v>
      </c>
      <c r="E113" s="299">
        <v>0</v>
      </c>
      <c r="F113" s="299">
        <f>D113*E113</f>
        <v>0</v>
      </c>
      <c r="G113" s="548"/>
      <c r="H113" s="2404"/>
      <c r="I113" s="2324"/>
    </row>
    <row r="114" spans="1:18" ht="15" customHeight="1" x14ac:dyDescent="0.2">
      <c r="A114" s="2399"/>
      <c r="B114" s="2324"/>
      <c r="C114" s="5" t="str">
        <f>F!C220</f>
        <v>Bumps into herbaceous vegetation but mostly remains in fairly straight channels.</v>
      </c>
      <c r="D114" s="205">
        <f>F!D220</f>
        <v>0</v>
      </c>
      <c r="E114" s="300">
        <v>1</v>
      </c>
      <c r="F114" s="300">
        <f>D114*E114</f>
        <v>0</v>
      </c>
      <c r="G114" s="549"/>
      <c r="H114" s="2404"/>
      <c r="I114" s="2324"/>
    </row>
    <row r="115" spans="1:18" ht="27" customHeight="1" x14ac:dyDescent="0.2">
      <c r="A115" s="2399"/>
      <c r="B115" s="2324"/>
      <c r="C115" s="5" t="str">
        <f>F!C221</f>
        <v>Bumps into herbaceous vegetation and mostly spreads throughout, or is in widely meandering, multi-branched, or braided channels.</v>
      </c>
      <c r="D115" s="205">
        <f>F!D221</f>
        <v>1</v>
      </c>
      <c r="E115" s="300">
        <v>2</v>
      </c>
      <c r="F115" s="300">
        <f>D115*E115</f>
        <v>2</v>
      </c>
      <c r="G115" s="549"/>
      <c r="H115" s="2404"/>
      <c r="I115" s="2324"/>
    </row>
    <row r="116" spans="1:18" ht="15" customHeight="1" x14ac:dyDescent="0.2">
      <c r="A116" s="2399"/>
      <c r="B116" s="2324"/>
      <c r="C116" s="5" t="str">
        <f>F!C222</f>
        <v>Bumps into tree trunks and/or shrub stems but mostly remains in fairly straight channels.</v>
      </c>
      <c r="D116" s="205">
        <f>F!D222</f>
        <v>0</v>
      </c>
      <c r="E116" s="300">
        <v>1</v>
      </c>
      <c r="F116" s="300">
        <f>D116*E116</f>
        <v>0</v>
      </c>
      <c r="G116" s="549"/>
      <c r="H116" s="2404"/>
      <c r="I116" s="2324"/>
    </row>
    <row r="117" spans="1:18" ht="27" customHeight="1" thickBot="1" x14ac:dyDescent="0.25">
      <c r="A117" s="2399"/>
      <c r="B117" s="2324"/>
      <c r="C117" s="366" t="str">
        <f>F!C223</f>
        <v>Bumps into tree trunks and/or shrub stems and follows a fairly indirect path from entrance to exit (meandering, multi-branched, or braided).</v>
      </c>
      <c r="D117" s="211">
        <f>F!D223</f>
        <v>0</v>
      </c>
      <c r="E117" s="303">
        <v>2</v>
      </c>
      <c r="F117" s="303">
        <f>D117*E117</f>
        <v>0</v>
      </c>
      <c r="G117" s="558"/>
      <c r="H117" s="2404"/>
      <c r="I117" s="2325"/>
    </row>
    <row r="118" spans="1:18" ht="30" customHeight="1" thickBot="1" x14ac:dyDescent="0.25">
      <c r="A118" s="2586" t="str">
        <f>F!A228</f>
        <v>F48</v>
      </c>
      <c r="B118" s="2323" t="str">
        <f>F!B228</f>
        <v>TDS and/or Conductivity</v>
      </c>
      <c r="C118" s="73" t="str">
        <f>F!C228</f>
        <v>The TDS (total dissolved solids) or conductivity off the AA's surface water is: (select the first true row with information):</v>
      </c>
      <c r="D118" s="1050"/>
      <c r="E118" s="304"/>
      <c r="F118" s="304"/>
      <c r="G118" s="581" t="str">
        <f>IF((D122=1),"",IF((D121=1),0,IF((D119&gt;2000),0, IF((D120&gt;4000),0, IF((D119&gt;300),1,IF((D120&gt;600),1, 0.5))))))</f>
        <v/>
      </c>
      <c r="H118" s="2323" t="s">
        <v>2589</v>
      </c>
      <c r="I118" s="2323" t="s">
        <v>1575</v>
      </c>
      <c r="J118" s="478"/>
      <c r="L118" s="478"/>
      <c r="M118" s="478"/>
      <c r="N118" s="478"/>
      <c r="O118" s="478"/>
      <c r="P118" s="478"/>
      <c r="Q118" s="478"/>
      <c r="R118" s="478"/>
    </row>
    <row r="119" spans="1:18" ht="15" customHeight="1" thickBot="1" x14ac:dyDescent="0.25">
      <c r="A119" s="2399"/>
      <c r="B119" s="2324"/>
      <c r="C119" s="2101" t="str">
        <f>F!C229</f>
        <v>TDS is: [Enter the reading in ppm or mg/L in the column to the right, if measured, or answer next row.]</v>
      </c>
      <c r="D119" s="2094" t="str">
        <f>IF((F!D229=""),"",F!D229)</f>
        <v/>
      </c>
      <c r="E119" s="316"/>
      <c r="F119" s="300"/>
      <c r="G119" s="666"/>
      <c r="H119" s="2324"/>
      <c r="I119" s="2324"/>
      <c r="J119" s="478"/>
      <c r="L119" s="478"/>
      <c r="M119" s="478"/>
      <c r="N119" s="478"/>
      <c r="O119" s="478"/>
      <c r="P119" s="478"/>
      <c r="Q119" s="478"/>
      <c r="R119" s="478"/>
    </row>
    <row r="120" spans="1:18" ht="18.600000000000001" customHeight="1" thickBot="1" x14ac:dyDescent="0.25">
      <c r="A120" s="2399"/>
      <c r="B120" s="2324"/>
      <c r="C120" s="1950" t="str">
        <f>F!C230</f>
        <v>Conductivity is  [Enter the reading in µS/cm in the column to the right.]</v>
      </c>
      <c r="D120" s="2094" t="str">
        <f>IF((F!D230=""),"",F!D230)</f>
        <v/>
      </c>
      <c r="E120" s="316"/>
      <c r="F120" s="300"/>
      <c r="G120" s="666"/>
      <c r="H120" s="2324"/>
      <c r="I120" s="2324"/>
      <c r="J120" s="478"/>
      <c r="L120" s="478"/>
      <c r="M120" s="478"/>
      <c r="N120" s="478"/>
      <c r="O120" s="478"/>
      <c r="P120" s="478"/>
      <c r="Q120" s="478"/>
      <c r="R120" s="478"/>
    </row>
    <row r="121" spans="1:18" ht="15" customHeight="1" x14ac:dyDescent="0.2">
      <c r="A121" s="2399"/>
      <c r="B121" s="2324"/>
      <c r="C121" s="419" t="str">
        <f>F!C231</f>
        <v>Was not measured, but plants that indicate saline conditions cover much of the vegetated AA. Enter "1".</v>
      </c>
      <c r="D121" s="213">
        <f>F!D231</f>
        <v>0</v>
      </c>
      <c r="E121" s="300"/>
      <c r="F121" s="300"/>
      <c r="G121" s="666"/>
      <c r="H121" s="2324"/>
      <c r="I121" s="2324"/>
      <c r="J121" s="478"/>
      <c r="L121" s="478"/>
      <c r="M121" s="478"/>
      <c r="N121" s="478"/>
      <c r="O121" s="478"/>
      <c r="P121" s="478"/>
      <c r="Q121" s="478"/>
      <c r="R121" s="478"/>
    </row>
    <row r="122" spans="1:18" ht="15" customHeight="1" thickBot="1" x14ac:dyDescent="0.25">
      <c r="A122" s="2553"/>
      <c r="B122" s="2325"/>
      <c r="C122" s="420" t="str">
        <f>F!C232</f>
        <v>Neither of above</v>
      </c>
      <c r="D122" s="206">
        <f>F!D232</f>
        <v>1</v>
      </c>
      <c r="E122" s="301"/>
      <c r="F122" s="301"/>
      <c r="G122" s="667" t="s">
        <v>912</v>
      </c>
      <c r="H122" s="2325"/>
      <c r="I122" s="2325"/>
      <c r="J122" s="478"/>
      <c r="L122" s="478"/>
      <c r="M122" s="478"/>
      <c r="N122" s="478"/>
      <c r="O122" s="478"/>
      <c r="P122" s="478"/>
      <c r="Q122" s="478"/>
      <c r="R122" s="478"/>
    </row>
    <row r="123" spans="1:18" ht="21" customHeight="1" thickBot="1" x14ac:dyDescent="0.25">
      <c r="A123" s="2586" t="str">
        <f>F!A237</f>
        <v>F50</v>
      </c>
      <c r="B123" s="2323" t="str">
        <f>F!B237</f>
        <v>Groundwater Strength of Evidence</v>
      </c>
      <c r="C123" s="1949" t="str">
        <f>F!C237</f>
        <v>Select first applicable choice:</v>
      </c>
      <c r="D123" s="1320"/>
      <c r="E123" s="304"/>
      <c r="F123" s="305"/>
      <c r="G123" s="581" t="str">
        <f>IF((D126=1),"",MAX(F124:F126)/MAX(E124:E126))</f>
        <v/>
      </c>
      <c r="H123" s="2324" t="s">
        <v>1859</v>
      </c>
      <c r="I123" s="2323" t="s">
        <v>122</v>
      </c>
    </row>
    <row r="124" spans="1:18" ht="42" customHeight="1" thickBot="1" x14ac:dyDescent="0.25">
      <c r="A124" s="2399"/>
      <c r="B124" s="2324"/>
      <c r="C124" s="1949"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24" s="1623">
        <f>F!D238</f>
        <v>0</v>
      </c>
      <c r="E124" s="300">
        <v>3</v>
      </c>
      <c r="F124" s="327">
        <f>D124*E124</f>
        <v>0</v>
      </c>
      <c r="G124" s="665"/>
      <c r="H124" s="2324"/>
      <c r="I124" s="2324"/>
    </row>
    <row r="125" spans="1:18" ht="27" customHeight="1" thickBot="1" x14ac:dyDescent="0.25">
      <c r="A125" s="2399"/>
      <c r="B125" s="2324"/>
      <c r="C125" s="1949" t="str">
        <f>F!C239</f>
        <v>Most of the AA has a slope of &gt;5%, or is very close to the base of a natural slope longer than 100 and much steeper than the slope of the AA,  AND the pH of surface water, if known, is &gt;5.5.</v>
      </c>
      <c r="D125" s="1623">
        <f>F!D239</f>
        <v>0</v>
      </c>
      <c r="E125" s="300">
        <v>2</v>
      </c>
      <c r="F125" s="327">
        <f>D125*E125</f>
        <v>0</v>
      </c>
      <c r="G125" s="666"/>
      <c r="H125" s="2324"/>
      <c r="I125" s="2324"/>
    </row>
    <row r="126" spans="1:18" ht="27" customHeight="1" thickBot="1" x14ac:dyDescent="0.25">
      <c r="A126" s="2553"/>
      <c r="B126" s="2325"/>
      <c r="C126" s="1951" t="str">
        <f>F!C240</f>
        <v>Neither of above is true, although some groundwater may discharge to or flow through the AA. Or groundwater influx is unknown.</v>
      </c>
      <c r="D126" s="243">
        <f>F!D240</f>
        <v>1</v>
      </c>
      <c r="E126" s="301">
        <v>0</v>
      </c>
      <c r="F126" s="329">
        <f>D126*E126</f>
        <v>0</v>
      </c>
      <c r="G126" s="667"/>
      <c r="H126" s="2324"/>
      <c r="I126" s="2325"/>
    </row>
    <row r="127" spans="1:18" ht="93" customHeight="1" thickBot="1" x14ac:dyDescent="0.25">
      <c r="A127" s="2324" t="str">
        <f>F!A247</f>
        <v>F52</v>
      </c>
      <c r="B127" s="2324" t="str">
        <f>F!B247</f>
        <v>Vegetated Buffer as % of Perimeter</v>
      </c>
      <c r="C127" s="1617" t="str">
        <f>F!C247</f>
        <v>Within a zone extending 30 m laterally from the AA's edge with upland and/or other wetlands, the percentage that contains perennial vegetation cover (except lawns, row crops, heavily grazed land, conifer plantations) is:</v>
      </c>
      <c r="D127" s="1622"/>
      <c r="E127" s="299"/>
      <c r="F127" s="302"/>
      <c r="G127" s="434">
        <f>MAX(F128:F132)/MAX(E128:E132)</f>
        <v>0</v>
      </c>
      <c r="H127" s="2529" t="s">
        <v>1462</v>
      </c>
      <c r="I127" s="2323" t="s">
        <v>115</v>
      </c>
    </row>
    <row r="128" spans="1:18" ht="45" customHeight="1" x14ac:dyDescent="0.2">
      <c r="A128" s="2324"/>
      <c r="B128" s="2324"/>
      <c r="C128" s="1292" t="str">
        <f>F!C248</f>
        <v>&lt;5%.</v>
      </c>
      <c r="D128" s="1323">
        <f>F!D248</f>
        <v>1</v>
      </c>
      <c r="E128" s="316">
        <v>0</v>
      </c>
      <c r="F128" s="300">
        <f t="shared" ref="F128:F135" si="2">D128*E128</f>
        <v>0</v>
      </c>
      <c r="G128" s="548"/>
      <c r="H128" s="2404"/>
      <c r="I128" s="2324"/>
    </row>
    <row r="129" spans="1:18" ht="45" customHeight="1" x14ac:dyDescent="0.2">
      <c r="A129" s="2324"/>
      <c r="B129" s="2324"/>
      <c r="C129" s="1294" t="str">
        <f>F!C249</f>
        <v>5 to 30%.</v>
      </c>
      <c r="D129" s="205">
        <f>F!D249</f>
        <v>0</v>
      </c>
      <c r="E129" s="316">
        <v>2</v>
      </c>
      <c r="F129" s="300">
        <f t="shared" si="2"/>
        <v>0</v>
      </c>
      <c r="G129" s="549"/>
      <c r="H129" s="2404"/>
      <c r="I129" s="2324"/>
    </row>
    <row r="130" spans="1:18" ht="45" customHeight="1" x14ac:dyDescent="0.2">
      <c r="A130" s="2324"/>
      <c r="B130" s="2324"/>
      <c r="C130" s="868" t="str">
        <f>F!C250</f>
        <v>30 to 60%.</v>
      </c>
      <c r="D130" s="205">
        <f>F!D250</f>
        <v>0</v>
      </c>
      <c r="E130" s="316">
        <v>3</v>
      </c>
      <c r="F130" s="300">
        <f t="shared" si="2"/>
        <v>0</v>
      </c>
      <c r="G130" s="549"/>
      <c r="H130" s="2404"/>
      <c r="I130" s="2324"/>
    </row>
    <row r="131" spans="1:18" ht="51" customHeight="1" x14ac:dyDescent="0.2">
      <c r="A131" s="2324"/>
      <c r="B131" s="2324"/>
      <c r="C131" s="1131" t="str">
        <f>F!C251</f>
        <v>60 to 90%.</v>
      </c>
      <c r="D131" s="213">
        <f>F!D251</f>
        <v>0</v>
      </c>
      <c r="E131" s="316">
        <v>4</v>
      </c>
      <c r="F131" s="300">
        <f t="shared" si="2"/>
        <v>0</v>
      </c>
      <c r="G131" s="549"/>
      <c r="H131" s="2404"/>
      <c r="I131" s="2324"/>
    </row>
    <row r="132" spans="1:18" ht="55.5" customHeight="1" thickBot="1" x14ac:dyDescent="0.25">
      <c r="A132" s="2325"/>
      <c r="B132" s="2325"/>
      <c r="C132" s="937" t="str">
        <f>F!C252</f>
        <v>&gt;90%, or all the area within 30 m of the AA edge is other wetlands. SKIP to F55.</v>
      </c>
      <c r="D132" s="244">
        <f>F!D252</f>
        <v>0</v>
      </c>
      <c r="E132" s="317">
        <v>6</v>
      </c>
      <c r="F132" s="301">
        <f t="shared" si="2"/>
        <v>0</v>
      </c>
      <c r="G132" s="550"/>
      <c r="H132" s="2530"/>
      <c r="I132" s="2325"/>
    </row>
    <row r="133" spans="1:18" ht="36" customHeight="1" thickBot="1" x14ac:dyDescent="0.25">
      <c r="A133" s="2323" t="str">
        <f>F!A253</f>
        <v>F53</v>
      </c>
      <c r="B133" s="2323" t="str">
        <f>F!B253</f>
        <v>Type of Cover in Buffer</v>
      </c>
      <c r="C133" s="365" t="str">
        <f>F!C253</f>
        <v>Within 30 m upslope of where the wetland transitions to upland, the upland land cover that is NOT perennial vegetation is mostly (mark ONE):</v>
      </c>
      <c r="D133" s="1322"/>
      <c r="E133" s="304"/>
      <c r="F133" s="305"/>
      <c r="G133" s="465">
        <f>IF((BuffAllNat=1),"",MAX(F134:F135)/MAX(E134:E135))</f>
        <v>0</v>
      </c>
      <c r="H133" s="2729" t="s">
        <v>2218</v>
      </c>
      <c r="I133" s="2323" t="s">
        <v>116</v>
      </c>
    </row>
    <row r="134" spans="1:18" ht="21" customHeight="1" x14ac:dyDescent="0.2">
      <c r="A134" s="2327"/>
      <c r="B134" s="2327"/>
      <c r="C134" s="1133" t="str">
        <f>F!C254</f>
        <v>Impervious surface, e.g., paved road, parking lot, building, exposed rock.</v>
      </c>
      <c r="D134" s="1304">
        <f>F!D254</f>
        <v>0</v>
      </c>
      <c r="E134" s="300">
        <v>0</v>
      </c>
      <c r="F134" s="300">
        <f t="shared" si="2"/>
        <v>0</v>
      </c>
      <c r="G134" s="548"/>
      <c r="H134" s="2730"/>
      <c r="I134" s="2324"/>
    </row>
    <row r="135" spans="1:18" ht="33" customHeight="1" thickBot="1" x14ac:dyDescent="0.25">
      <c r="A135" s="2328"/>
      <c r="B135" s="2328"/>
      <c r="C135" s="1324" t="str">
        <f>F!C255</f>
        <v>Bare or nearly bare pervious surface or managed vegetation, e.g., lawn, row crops, unpaved road, dike, landslide.</v>
      </c>
      <c r="D135" s="1325">
        <f>F!D255</f>
        <v>0</v>
      </c>
      <c r="E135" s="301">
        <v>1</v>
      </c>
      <c r="F135" s="301">
        <f t="shared" si="2"/>
        <v>0</v>
      </c>
      <c r="G135" s="550"/>
      <c r="H135" s="2731"/>
      <c r="I135" s="2325"/>
    </row>
    <row r="136" spans="1:18" s="8" customFormat="1" ht="72" customHeight="1" thickBot="1" x14ac:dyDescent="0.25">
      <c r="A136" s="583" t="str">
        <f>S!A3</f>
        <v>S1</v>
      </c>
      <c r="B136" s="588" t="str">
        <f>S!B3</f>
        <v>Aberrant Timing of Water Inputs</v>
      </c>
      <c r="C136" s="635" t="str">
        <f>S!E24</f>
        <v>Stressor subscore=</v>
      </c>
      <c r="D136" s="851">
        <f>S!F24</f>
        <v>0.25</v>
      </c>
      <c r="E136" s="592"/>
      <c r="F136" s="644"/>
      <c r="G136" s="465" t="str">
        <f>IF((Inflows=1),"", IF((AllSat1=1),"", 1-D136))</f>
        <v/>
      </c>
      <c r="H136" s="4" t="s">
        <v>1738</v>
      </c>
      <c r="I136" s="1261" t="s">
        <v>1670</v>
      </c>
      <c r="J136" s="25"/>
      <c r="K136" s="159"/>
      <c r="L136" s="25"/>
      <c r="M136" s="25"/>
      <c r="N136" s="25"/>
      <c r="O136" s="25"/>
      <c r="P136" s="25"/>
      <c r="Q136" s="25"/>
      <c r="R136" s="25"/>
    </row>
    <row r="137" spans="1:18" s="8" customFormat="1" ht="84" customHeight="1" thickBot="1" x14ac:dyDescent="0.25">
      <c r="A137" s="583" t="str">
        <f>S!A51</f>
        <v>S4</v>
      </c>
      <c r="B137" s="588" t="str">
        <f>S!B51</f>
        <v>Excessive Sediment Loading from Contributing Area</v>
      </c>
      <c r="C137" s="160" t="str">
        <f>S!E68</f>
        <v>Stressor subscore=</v>
      </c>
      <c r="D137" s="851">
        <f>S!F68</f>
        <v>0.58333333333333337</v>
      </c>
      <c r="E137" s="592"/>
      <c r="F137" s="644"/>
      <c r="G137" s="581">
        <f>1-D137</f>
        <v>0.41666666666666663</v>
      </c>
      <c r="H137" s="971" t="s">
        <v>1519</v>
      </c>
      <c r="I137" s="1261" t="s">
        <v>1671</v>
      </c>
      <c r="J137" s="25"/>
      <c r="K137" s="159"/>
      <c r="L137" s="25"/>
      <c r="M137" s="25"/>
      <c r="N137" s="25"/>
      <c r="O137" s="25"/>
      <c r="P137" s="25"/>
      <c r="Q137" s="25"/>
      <c r="R137" s="25"/>
    </row>
    <row r="138" spans="1:18" s="8" customFormat="1" ht="45" customHeight="1" thickBot="1" x14ac:dyDescent="0.25">
      <c r="A138" s="860" t="str">
        <f>S!A69</f>
        <v>S5</v>
      </c>
      <c r="B138" s="861" t="str">
        <f>S!B69</f>
        <v>Soil or Sediment Alteration Within the Assessment Area</v>
      </c>
      <c r="C138" s="864" t="str">
        <f>S!E86</f>
        <v>Stressor subscore=</v>
      </c>
      <c r="D138" s="862">
        <f>S!F86</f>
        <v>0.83333333333333337</v>
      </c>
      <c r="E138" s="863"/>
      <c r="F138" s="655"/>
      <c r="G138" s="466">
        <f>1-D138</f>
        <v>0.16666666666666663</v>
      </c>
      <c r="H138" s="4" t="s">
        <v>72</v>
      </c>
      <c r="I138" s="1261" t="s">
        <v>1672</v>
      </c>
      <c r="J138" s="25"/>
      <c r="K138" s="159"/>
      <c r="L138" s="25"/>
      <c r="M138" s="25"/>
      <c r="N138" s="25"/>
      <c r="O138" s="25"/>
      <c r="P138" s="25"/>
      <c r="Q138" s="25"/>
      <c r="R138" s="25"/>
    </row>
    <row r="139" spans="1:18" s="147" customFormat="1" ht="36" customHeight="1" thickBot="1" x14ac:dyDescent="0.25">
      <c r="A139" s="1183" t="s">
        <v>88</v>
      </c>
      <c r="B139" s="1184" t="s">
        <v>2434</v>
      </c>
      <c r="C139" s="1186" t="s">
        <v>1165</v>
      </c>
      <c r="D139" s="1185" t="s">
        <v>45</v>
      </c>
      <c r="E139" s="1318" t="s">
        <v>1189</v>
      </c>
      <c r="F139" s="1284" t="s">
        <v>1190</v>
      </c>
      <c r="G139" s="1319" t="s">
        <v>2555</v>
      </c>
      <c r="H139" s="1184" t="s">
        <v>1118</v>
      </c>
      <c r="I139" s="1184" t="s">
        <v>2424</v>
      </c>
      <c r="J139" s="151"/>
      <c r="K139" s="151"/>
      <c r="L139" s="151"/>
      <c r="M139" s="151"/>
      <c r="N139" s="151"/>
      <c r="O139" s="151"/>
      <c r="P139" s="151"/>
      <c r="Q139" s="151"/>
      <c r="R139" s="151"/>
    </row>
    <row r="140" spans="1:18" ht="30" customHeight="1" thickBot="1" x14ac:dyDescent="0.25">
      <c r="A140" s="2778"/>
      <c r="B140" s="640" t="str">
        <f>FA!C150</f>
        <v>Function Score for Anadromous Fish Habitat</v>
      </c>
      <c r="C140" s="636"/>
      <c r="D140" s="120"/>
      <c r="E140" s="141"/>
      <c r="F140" s="122"/>
      <c r="G140" s="650">
        <f>FA!G150/10</f>
        <v>0</v>
      </c>
      <c r="H140" s="2404" t="s">
        <v>1350</v>
      </c>
      <c r="I140" s="2800"/>
    </row>
    <row r="141" spans="1:18" ht="30" customHeight="1" thickBot="1" x14ac:dyDescent="0.25">
      <c r="A141" s="2645"/>
      <c r="B141" s="641" t="str">
        <f>FR!C134</f>
        <v>Function Score for Resident Fish Habitat</v>
      </c>
      <c r="C141" s="637"/>
      <c r="D141" s="121"/>
      <c r="E141" s="142"/>
      <c r="F141" s="118"/>
      <c r="G141" s="651">
        <f>FR!G134/10</f>
        <v>0.61277777777777775</v>
      </c>
      <c r="H141" s="2404"/>
      <c r="I141" s="2776"/>
    </row>
    <row r="142" spans="1:18" ht="30" customHeight="1" thickBot="1" x14ac:dyDescent="0.25">
      <c r="A142" s="2645"/>
      <c r="B142" s="641" t="str">
        <f>AM!C211</f>
        <v>Function Score for Amphibian Habitat</v>
      </c>
      <c r="C142" s="637"/>
      <c r="D142" s="121"/>
      <c r="E142" s="142"/>
      <c r="F142" s="118"/>
      <c r="G142" s="651">
        <f>AM!G211/10</f>
        <v>0.65614417989417995</v>
      </c>
      <c r="H142" s="2404"/>
      <c r="I142" s="2776"/>
    </row>
    <row r="143" spans="1:18" ht="30" customHeight="1" thickBot="1" x14ac:dyDescent="0.25">
      <c r="A143" s="2645"/>
      <c r="B143" s="641" t="str">
        <f>WBF!C171</f>
        <v>Function Score for Feeding Waterbird Habitat</v>
      </c>
      <c r="C143" s="637"/>
      <c r="D143" s="121"/>
      <c r="E143" s="142"/>
      <c r="F143" s="118"/>
      <c r="G143" s="651">
        <f>WBF!G171/10</f>
        <v>0.74398148148148135</v>
      </c>
      <c r="H143" s="2404"/>
      <c r="I143" s="2776"/>
    </row>
    <row r="144" spans="1:18" ht="30" customHeight="1" thickBot="1" x14ac:dyDescent="0.25">
      <c r="A144" s="2645"/>
      <c r="B144" s="641" t="str">
        <f>WBN!C197</f>
        <v>Function Score for Nesting Waterbird Habitat</v>
      </c>
      <c r="C144" s="638"/>
      <c r="D144" s="118"/>
      <c r="E144" s="118"/>
      <c r="F144" s="142"/>
      <c r="G144" s="651">
        <f>IFERROR((WBN!G197/10),"")</f>
        <v>0.62361111111111112</v>
      </c>
      <c r="H144" s="2404"/>
      <c r="I144" s="2776"/>
    </row>
    <row r="145" spans="1:9" ht="45" customHeight="1" thickBot="1" x14ac:dyDescent="0.25">
      <c r="A145" s="2646"/>
      <c r="B145" s="642" t="str">
        <f>SBM!C182</f>
        <v>Function Score for Songbird, Raptor, &amp; Mammal Habitat</v>
      </c>
      <c r="C145" s="639"/>
      <c r="D145" s="144"/>
      <c r="E145" s="144"/>
      <c r="F145" s="143"/>
      <c r="G145" s="651">
        <f>SBM!G182/10</f>
        <v>0.5769982993197279</v>
      </c>
      <c r="H145" s="2530"/>
      <c r="I145" s="2777"/>
    </row>
    <row r="146" spans="1:9" ht="21" customHeight="1" thickBot="1" x14ac:dyDescent="0.25">
      <c r="A146" s="2545"/>
      <c r="B146" s="2545"/>
      <c r="C146" s="2545"/>
      <c r="D146" s="2545"/>
      <c r="E146" s="2545"/>
      <c r="F146" s="2545"/>
      <c r="G146" s="2545"/>
      <c r="H146" s="2545"/>
    </row>
    <row r="147" spans="1:9" ht="24" customHeight="1" x14ac:dyDescent="0.2">
      <c r="A147" s="2560"/>
      <c r="B147" s="2560"/>
      <c r="C147" s="2560"/>
      <c r="D147" s="2786" t="s">
        <v>121</v>
      </c>
      <c r="E147" s="2787"/>
      <c r="F147" s="2787"/>
      <c r="G147" s="412">
        <f>AVERAGE(ABpct8,(AVERAGE(AqCov8,DepthDiv8, Gcover8,Girreg8,WoodDown8, HerbDiv8, WoodHerbMix8)))</f>
        <v>0.79166666666666663</v>
      </c>
      <c r="H147" s="1422" t="s">
        <v>2062</v>
      </c>
      <c r="I147" s="1423" t="s">
        <v>2133</v>
      </c>
    </row>
    <row r="148" spans="1:9" ht="21" customHeight="1" x14ac:dyDescent="0.2">
      <c r="A148" s="2560"/>
      <c r="B148" s="2560"/>
      <c r="C148" s="2560"/>
      <c r="D148" s="2763" t="s">
        <v>119</v>
      </c>
      <c r="E148" s="2764"/>
      <c r="F148" s="2764"/>
      <c r="G148" s="413">
        <f>AVERAGE(PermWpct8,SatPct8,SeasPct8,Fluctu8,Groundw8)</f>
        <v>0.45833333333333337</v>
      </c>
      <c r="H148" s="1407" t="s">
        <v>1156</v>
      </c>
      <c r="I148" s="1424" t="s">
        <v>2134</v>
      </c>
    </row>
    <row r="149" spans="1:9" ht="21" customHeight="1" x14ac:dyDescent="0.2">
      <c r="A149" s="2560"/>
      <c r="B149" s="2560"/>
      <c r="C149" s="2560"/>
      <c r="D149" s="2763" t="s">
        <v>120</v>
      </c>
      <c r="E149" s="2764"/>
      <c r="F149" s="2764"/>
      <c r="G149" s="413" t="str">
        <f>IF((AllSat1&gt;0),"", IF((NoPonded=1),"", AVERAGE(Interspers8,ThruFlo8,IsoWet8)))</f>
        <v/>
      </c>
      <c r="H149" s="1407" t="s">
        <v>2063</v>
      </c>
      <c r="I149" s="1424" t="s">
        <v>2135</v>
      </c>
    </row>
    <row r="150" spans="1:9" ht="30" customHeight="1" x14ac:dyDescent="0.2">
      <c r="A150" s="2560"/>
      <c r="B150" s="2560"/>
      <c r="C150" s="2560"/>
      <c r="D150" s="2638" t="s">
        <v>149</v>
      </c>
      <c r="E150" s="2639"/>
      <c r="F150" s="2639"/>
      <c r="G150" s="413">
        <f>AVERAGE(Wettype8,AVERAGE(Depth8,warmth8,DecidTree8,Nfixers8,WoodDown8, Conduc8,TidalProx8,karst8))</f>
        <v>0.71597222222222223</v>
      </c>
      <c r="H150" s="1407" t="s">
        <v>2575</v>
      </c>
      <c r="I150" s="1424" t="s">
        <v>2136</v>
      </c>
    </row>
    <row r="151" spans="1:9" ht="21" customHeight="1" x14ac:dyDescent="0.2">
      <c r="A151" s="2560"/>
      <c r="B151" s="2560"/>
      <c r="C151" s="2560"/>
      <c r="D151" s="2763" t="s">
        <v>118</v>
      </c>
      <c r="E151" s="2764"/>
      <c r="F151" s="2764"/>
      <c r="G151" s="413">
        <f>AVERAGE(ImpervCA,NatVegPctCU8,CUbuffLUtype8,Subtypes8)</f>
        <v>0.33333333333333331</v>
      </c>
      <c r="H151" s="1407" t="s">
        <v>2064</v>
      </c>
      <c r="I151" s="1424" t="s">
        <v>2137</v>
      </c>
    </row>
    <row r="152" spans="1:9" ht="21" customHeight="1" thickBot="1" x14ac:dyDescent="0.25">
      <c r="A152" s="2560"/>
      <c r="B152" s="2560"/>
      <c r="C152" s="2560"/>
      <c r="D152" s="2765" t="s">
        <v>451</v>
      </c>
      <c r="E152" s="2766"/>
      <c r="F152" s="2766"/>
      <c r="G152" s="1434">
        <f>AVERAGE(SedCA8a,SoilDisturb8a,AltTime8a)</f>
        <v>0.29166666666666663</v>
      </c>
      <c r="H152" s="1425" t="s">
        <v>2326</v>
      </c>
      <c r="I152" s="1426" t="s">
        <v>2138</v>
      </c>
    </row>
    <row r="153" spans="1:9" ht="21" customHeight="1" thickBot="1" x14ac:dyDescent="0.25">
      <c r="A153" s="2560"/>
      <c r="B153" s="2560"/>
      <c r="C153" s="2560"/>
      <c r="D153" s="2801"/>
      <c r="E153" s="2801"/>
      <c r="F153" s="2801"/>
      <c r="G153" s="2801"/>
      <c r="H153" s="2798"/>
    </row>
    <row r="154" spans="1:9" ht="30" customHeight="1" thickBot="1" x14ac:dyDescent="0.25">
      <c r="A154" s="2798"/>
      <c r="B154" s="2799"/>
      <c r="C154" s="2557" t="s">
        <v>11</v>
      </c>
      <c r="D154" s="2558"/>
      <c r="E154" s="2559"/>
      <c r="F154" s="1193" t="s">
        <v>52</v>
      </c>
      <c r="G154" s="1278">
        <f>10*AVERAGE(Structure8,Food8,AVERAGE(Hydropd8,Connec8,Stressors8,Lscape8))</f>
        <v>6.229166666666667</v>
      </c>
      <c r="H154" s="2721" t="s">
        <v>2065</v>
      </c>
      <c r="I154" s="2722"/>
    </row>
    <row r="155" spans="1:9" ht="30" customHeight="1" thickBot="1" x14ac:dyDescent="0.25">
      <c r="A155" s="2798"/>
      <c r="B155" s="2799"/>
      <c r="C155" s="2557" t="s">
        <v>1911</v>
      </c>
      <c r="D155" s="2558"/>
      <c r="E155" s="2559"/>
      <c r="F155" s="1453" t="s">
        <v>2219</v>
      </c>
      <c r="G155" s="1279">
        <f>10*(AVERAGE(AnadFish,ResFish,Amphib,WbirdF,WbirdNest,SongbMam))</f>
        <v>5.3558547493071309</v>
      </c>
      <c r="H155" s="2525" t="s">
        <v>2066</v>
      </c>
      <c r="I155" s="2526"/>
    </row>
    <row r="156" spans="1:9" ht="21" customHeight="1" thickBot="1" x14ac:dyDescent="0.25">
      <c r="A156" s="2798"/>
      <c r="B156" s="2798"/>
      <c r="C156" s="2798"/>
      <c r="D156" s="2798"/>
      <c r="E156" s="2798"/>
      <c r="F156" s="2798"/>
      <c r="G156" s="2798"/>
      <c r="H156" s="2798"/>
    </row>
    <row r="157" spans="1:9" ht="21" customHeight="1" thickBot="1" x14ac:dyDescent="0.25">
      <c r="A157" s="25"/>
      <c r="B157" s="25"/>
      <c r="C157" s="25"/>
      <c r="D157" s="25"/>
      <c r="E157" s="25"/>
      <c r="F157" s="25"/>
      <c r="G157" s="986"/>
      <c r="H157" s="2755" t="s">
        <v>669</v>
      </c>
      <c r="I157" s="2756"/>
    </row>
    <row r="158" spans="1:9" ht="42" customHeight="1" x14ac:dyDescent="0.2">
      <c r="A158" s="25"/>
      <c r="B158" s="25"/>
      <c r="C158" s="25"/>
      <c r="D158" s="25"/>
      <c r="E158" s="25"/>
      <c r="F158" s="25"/>
      <c r="G158" s="25"/>
      <c r="H158" s="2709" t="s">
        <v>792</v>
      </c>
      <c r="I158" s="2710"/>
    </row>
    <row r="159" spans="1:9" ht="27" customHeight="1" x14ac:dyDescent="0.2">
      <c r="A159" s="25"/>
      <c r="B159" s="25"/>
      <c r="C159" s="25"/>
      <c r="D159" s="25"/>
      <c r="E159" s="25"/>
      <c r="F159" s="25"/>
      <c r="G159" s="25"/>
      <c r="H159" s="2537" t="s">
        <v>823</v>
      </c>
      <c r="I159" s="2538"/>
    </row>
    <row r="160" spans="1:9" ht="42" customHeight="1" x14ac:dyDescent="0.2">
      <c r="A160" s="25"/>
      <c r="B160" s="25"/>
      <c r="C160" s="25"/>
      <c r="D160" s="25"/>
      <c r="E160" s="25"/>
      <c r="F160" s="25"/>
      <c r="G160" s="25"/>
      <c r="H160" s="2537" t="s">
        <v>1101</v>
      </c>
      <c r="I160" s="2538"/>
    </row>
    <row r="161" spans="1:9" ht="27" customHeight="1" x14ac:dyDescent="0.2">
      <c r="A161" s="25"/>
      <c r="B161" s="25"/>
      <c r="C161" s="25"/>
      <c r="D161" s="25"/>
      <c r="E161" s="25"/>
      <c r="F161" s="25"/>
      <c r="G161" s="25"/>
      <c r="H161" s="2537" t="s">
        <v>1100</v>
      </c>
      <c r="I161" s="2538"/>
    </row>
    <row r="162" spans="1:9" ht="27" customHeight="1" x14ac:dyDescent="0.2">
      <c r="A162" s="25"/>
      <c r="B162" s="25"/>
      <c r="C162" s="25"/>
      <c r="D162" s="25"/>
      <c r="E162" s="25"/>
      <c r="F162" s="25"/>
      <c r="G162" s="25"/>
      <c r="H162" s="2537" t="s">
        <v>824</v>
      </c>
      <c r="I162" s="2538"/>
    </row>
    <row r="163" spans="1:9" ht="27" customHeight="1" x14ac:dyDescent="0.2">
      <c r="A163" s="25"/>
      <c r="B163" s="25"/>
      <c r="C163" s="25"/>
      <c r="D163" s="25"/>
      <c r="E163" s="25"/>
      <c r="F163" s="25"/>
      <c r="G163" s="25"/>
      <c r="H163" s="2537" t="s">
        <v>825</v>
      </c>
      <c r="I163" s="2538"/>
    </row>
    <row r="164" spans="1:9" ht="42" customHeight="1" x14ac:dyDescent="0.2">
      <c r="A164" s="25"/>
      <c r="B164" s="25"/>
      <c r="C164" s="25"/>
      <c r="D164" s="25"/>
      <c r="E164" s="25"/>
      <c r="F164" s="25"/>
      <c r="G164" s="25"/>
      <c r="H164" s="2537" t="s">
        <v>826</v>
      </c>
      <c r="I164" s="2538"/>
    </row>
    <row r="165" spans="1:9" ht="27" customHeight="1" x14ac:dyDescent="0.2">
      <c r="A165" s="25"/>
      <c r="B165" s="25"/>
      <c r="C165" s="25"/>
      <c r="D165" s="25"/>
      <c r="E165" s="25"/>
      <c r="F165" s="25"/>
      <c r="G165" s="25"/>
      <c r="H165" s="2537" t="s">
        <v>827</v>
      </c>
      <c r="I165" s="2538"/>
    </row>
    <row r="166" spans="1:9" ht="42" customHeight="1" x14ac:dyDescent="0.2">
      <c r="A166" s="25"/>
      <c r="B166" s="25"/>
      <c r="C166" s="25"/>
      <c r="D166" s="25"/>
      <c r="E166" s="25"/>
      <c r="F166" s="25"/>
      <c r="G166" s="25"/>
      <c r="H166" s="2537" t="s">
        <v>828</v>
      </c>
      <c r="I166" s="2538"/>
    </row>
    <row r="167" spans="1:9" ht="57" customHeight="1" x14ac:dyDescent="0.2">
      <c r="A167" s="25"/>
      <c r="B167" s="25"/>
      <c r="C167" s="25"/>
      <c r="D167" s="25"/>
      <c r="E167" s="25"/>
      <c r="F167" s="25"/>
      <c r="G167" s="25"/>
      <c r="H167" s="2537" t="s">
        <v>829</v>
      </c>
      <c r="I167" s="2538"/>
    </row>
    <row r="168" spans="1:9" ht="27" customHeight="1" x14ac:dyDescent="0.2">
      <c r="A168" s="25"/>
      <c r="B168" s="25"/>
      <c r="C168" s="25"/>
      <c r="D168" s="25"/>
      <c r="E168" s="25"/>
      <c r="F168" s="25"/>
      <c r="G168" s="25"/>
      <c r="H168" s="2537" t="s">
        <v>830</v>
      </c>
      <c r="I168" s="2538"/>
    </row>
    <row r="169" spans="1:9" ht="27" customHeight="1" x14ac:dyDescent="0.2">
      <c r="A169" s="25"/>
      <c r="B169" s="25"/>
      <c r="C169" s="25"/>
      <c r="D169" s="25"/>
      <c r="E169" s="25"/>
      <c r="F169" s="25"/>
      <c r="G169" s="25"/>
      <c r="H169" s="2537" t="s">
        <v>831</v>
      </c>
      <c r="I169" s="2538"/>
    </row>
    <row r="170" spans="1:9" ht="27" customHeight="1" x14ac:dyDescent="0.2">
      <c r="A170" s="25"/>
      <c r="B170" s="25"/>
      <c r="C170" s="25"/>
      <c r="D170" s="25"/>
      <c r="E170" s="25"/>
      <c r="F170" s="25"/>
      <c r="G170" s="25"/>
      <c r="H170" s="2537" t="s">
        <v>806</v>
      </c>
      <c r="I170" s="2538"/>
    </row>
    <row r="171" spans="1:9" ht="42" customHeight="1" x14ac:dyDescent="0.2">
      <c r="A171" s="25"/>
      <c r="B171" s="25"/>
      <c r="C171" s="25"/>
      <c r="D171" s="25"/>
      <c r="E171" s="25"/>
      <c r="F171" s="25"/>
      <c r="G171" s="25"/>
      <c r="H171" s="2537" t="s">
        <v>1875</v>
      </c>
      <c r="I171" s="2538"/>
    </row>
    <row r="172" spans="1:9" ht="27" customHeight="1" x14ac:dyDescent="0.2">
      <c r="A172" s="25"/>
      <c r="B172" s="25"/>
      <c r="C172" s="25"/>
      <c r="D172" s="25"/>
      <c r="E172" s="25"/>
      <c r="F172" s="25"/>
      <c r="G172" s="25"/>
      <c r="H172" s="2537" t="s">
        <v>832</v>
      </c>
      <c r="I172" s="2538"/>
    </row>
    <row r="173" spans="1:9" ht="27" customHeight="1" x14ac:dyDescent="0.2">
      <c r="A173" s="25"/>
      <c r="B173" s="25"/>
      <c r="C173" s="25"/>
      <c r="D173" s="25"/>
      <c r="E173" s="25"/>
      <c r="F173" s="25"/>
      <c r="G173" s="25"/>
      <c r="H173" s="2537" t="s">
        <v>1876</v>
      </c>
      <c r="I173" s="2538"/>
    </row>
    <row r="174" spans="1:9" ht="42" customHeight="1" x14ac:dyDescent="0.2">
      <c r="A174" s="25"/>
      <c r="B174" s="25"/>
      <c r="C174" s="25"/>
      <c r="D174" s="25"/>
      <c r="E174" s="25"/>
      <c r="F174" s="25"/>
      <c r="G174" s="25"/>
      <c r="H174" s="2537" t="s">
        <v>1740</v>
      </c>
      <c r="I174" s="2538"/>
    </row>
    <row r="175" spans="1:9" ht="27" customHeight="1" x14ac:dyDescent="0.2">
      <c r="A175" s="25"/>
      <c r="B175" s="25"/>
      <c r="C175" s="25"/>
      <c r="D175" s="25"/>
      <c r="E175" s="25"/>
      <c r="F175" s="25"/>
      <c r="G175" s="25"/>
      <c r="H175" s="2703" t="s">
        <v>833</v>
      </c>
      <c r="I175" s="2704"/>
    </row>
    <row r="176" spans="1:9" ht="27" customHeight="1" x14ac:dyDescent="0.2">
      <c r="A176" s="25"/>
      <c r="B176" s="25"/>
      <c r="C176" s="25"/>
      <c r="D176" s="25"/>
      <c r="E176" s="25"/>
      <c r="F176" s="25"/>
      <c r="G176" s="25"/>
      <c r="H176" s="2537" t="s">
        <v>834</v>
      </c>
      <c r="I176" s="2538"/>
    </row>
    <row r="177" spans="1:18" ht="42" customHeight="1" x14ac:dyDescent="0.2">
      <c r="A177" s="25"/>
      <c r="B177" s="25"/>
      <c r="C177" s="25"/>
      <c r="D177" s="25"/>
      <c r="E177" s="25"/>
      <c r="F177" s="25"/>
      <c r="G177" s="25"/>
      <c r="H177" s="2537" t="s">
        <v>835</v>
      </c>
      <c r="I177" s="2538"/>
    </row>
    <row r="178" spans="1:18" ht="42" customHeight="1" x14ac:dyDescent="0.2">
      <c r="A178" s="25"/>
      <c r="B178" s="25"/>
      <c r="C178" s="25"/>
      <c r="D178" s="25"/>
      <c r="E178" s="25"/>
      <c r="F178" s="25"/>
      <c r="G178" s="25"/>
      <c r="H178" s="2537" t="s">
        <v>808</v>
      </c>
      <c r="I178" s="2538"/>
    </row>
    <row r="179" spans="1:18" ht="27" customHeight="1" x14ac:dyDescent="0.2">
      <c r="A179" s="25"/>
      <c r="B179" s="25"/>
      <c r="C179" s="25"/>
      <c r="D179" s="25"/>
      <c r="E179" s="25"/>
      <c r="F179" s="25"/>
      <c r="G179" s="25"/>
      <c r="H179" s="2537" t="s">
        <v>1203</v>
      </c>
      <c r="I179" s="2538"/>
    </row>
    <row r="180" spans="1:18" ht="42" customHeight="1" x14ac:dyDescent="0.2">
      <c r="A180" s="25"/>
      <c r="B180" s="25"/>
      <c r="C180" s="25"/>
      <c r="D180" s="25"/>
      <c r="E180" s="25"/>
      <c r="F180" s="25"/>
      <c r="G180" s="25"/>
      <c r="H180" s="2537" t="s">
        <v>836</v>
      </c>
      <c r="I180" s="2538"/>
    </row>
    <row r="181" spans="1:18" ht="27" customHeight="1" x14ac:dyDescent="0.2">
      <c r="A181" s="25"/>
      <c r="B181" s="25"/>
      <c r="C181" s="25"/>
      <c r="D181" s="25"/>
      <c r="E181" s="25"/>
      <c r="F181" s="25"/>
      <c r="G181" s="25"/>
      <c r="H181" s="2537" t="s">
        <v>837</v>
      </c>
      <c r="I181" s="2538"/>
    </row>
    <row r="182" spans="1:18" ht="27" customHeight="1" x14ac:dyDescent="0.2">
      <c r="A182" s="25"/>
      <c r="B182" s="25"/>
      <c r="C182" s="25"/>
      <c r="D182" s="25"/>
      <c r="E182" s="25"/>
      <c r="F182" s="25"/>
      <c r="G182" s="25"/>
      <c r="H182" s="2537" t="s">
        <v>838</v>
      </c>
      <c r="I182" s="2538"/>
    </row>
    <row r="183" spans="1:18" ht="27" customHeight="1" x14ac:dyDescent="0.2">
      <c r="A183" s="25"/>
      <c r="B183" s="25"/>
      <c r="C183" s="25"/>
      <c r="D183" s="25"/>
      <c r="E183" s="25"/>
      <c r="F183" s="25"/>
      <c r="G183" s="25"/>
      <c r="H183" s="2537" t="s">
        <v>839</v>
      </c>
      <c r="I183" s="2538"/>
    </row>
    <row r="184" spans="1:18" ht="42" customHeight="1" x14ac:dyDescent="0.2">
      <c r="A184" s="25"/>
      <c r="B184" s="25"/>
      <c r="C184" s="25"/>
      <c r="D184" s="25"/>
      <c r="E184" s="25"/>
      <c r="F184" s="25"/>
      <c r="G184" s="25"/>
      <c r="H184" s="2537" t="s">
        <v>1405</v>
      </c>
      <c r="I184" s="2538"/>
      <c r="J184" s="478"/>
      <c r="L184" s="478"/>
      <c r="M184" s="478"/>
      <c r="N184" s="478"/>
      <c r="O184" s="478"/>
      <c r="P184" s="478"/>
      <c r="Q184" s="478"/>
      <c r="R184" s="478"/>
    </row>
    <row r="185" spans="1:18" ht="57" customHeight="1" x14ac:dyDescent="0.2">
      <c r="A185" s="25"/>
      <c r="B185" s="25"/>
      <c r="C185" s="25"/>
      <c r="D185" s="25"/>
      <c r="E185" s="25"/>
      <c r="F185" s="25"/>
      <c r="G185" s="25"/>
      <c r="H185" s="2531" t="s">
        <v>840</v>
      </c>
      <c r="I185" s="2532"/>
    </row>
    <row r="186" spans="1:18" ht="27" customHeight="1" x14ac:dyDescent="0.2">
      <c r="A186" s="25"/>
      <c r="B186" s="25"/>
      <c r="C186" s="25"/>
      <c r="D186" s="25"/>
      <c r="E186" s="25"/>
      <c r="F186" s="25"/>
      <c r="G186" s="25"/>
      <c r="H186" s="2537" t="s">
        <v>841</v>
      </c>
      <c r="I186" s="2538"/>
    </row>
    <row r="187" spans="1:18" ht="27" customHeight="1" x14ac:dyDescent="0.2">
      <c r="A187" s="25"/>
      <c r="B187" s="25"/>
      <c r="C187" s="25"/>
      <c r="D187" s="25"/>
      <c r="E187" s="25"/>
      <c r="F187" s="25"/>
      <c r="G187" s="25"/>
      <c r="H187" s="2537" t="s">
        <v>842</v>
      </c>
      <c r="I187" s="2538"/>
    </row>
    <row r="188" spans="1:18" ht="27" customHeight="1" x14ac:dyDescent="0.2">
      <c r="A188" s="25"/>
      <c r="B188" s="25"/>
      <c r="C188" s="25"/>
      <c r="D188" s="25"/>
      <c r="E188" s="25"/>
      <c r="F188" s="25"/>
      <c r="G188" s="25"/>
      <c r="H188" s="2537" t="s">
        <v>843</v>
      </c>
      <c r="I188" s="2538"/>
    </row>
    <row r="189" spans="1:18" ht="27" customHeight="1" x14ac:dyDescent="0.2">
      <c r="A189" s="25"/>
      <c r="B189" s="25"/>
      <c r="C189" s="25"/>
      <c r="D189" s="25"/>
      <c r="E189" s="25"/>
      <c r="F189" s="25"/>
      <c r="G189" s="25"/>
      <c r="H189" s="2537" t="s">
        <v>844</v>
      </c>
      <c r="I189" s="2538"/>
    </row>
    <row r="190" spans="1:18" ht="27" customHeight="1" x14ac:dyDescent="0.2">
      <c r="A190" s="25"/>
      <c r="B190" s="25"/>
      <c r="C190" s="25"/>
      <c r="D190" s="25"/>
      <c r="E190" s="25"/>
      <c r="F190" s="25"/>
      <c r="G190" s="25"/>
      <c r="H190" s="2537" t="s">
        <v>845</v>
      </c>
      <c r="I190" s="2538"/>
    </row>
    <row r="191" spans="1:18" ht="42" customHeight="1" x14ac:dyDescent="0.2">
      <c r="A191" s="25"/>
      <c r="B191" s="25"/>
      <c r="C191" s="25"/>
      <c r="D191" s="25"/>
      <c r="E191" s="25"/>
      <c r="F191" s="25"/>
      <c r="G191" s="25"/>
      <c r="H191" s="2537" t="s">
        <v>846</v>
      </c>
      <c r="I191" s="2538"/>
    </row>
    <row r="192" spans="1:18" ht="27" customHeight="1" x14ac:dyDescent="0.2">
      <c r="A192" s="25"/>
      <c r="B192" s="25"/>
      <c r="C192" s="25"/>
      <c r="D192" s="25"/>
      <c r="E192" s="25"/>
      <c r="F192" s="25"/>
      <c r="G192" s="25"/>
      <c r="H192" s="2537" t="s">
        <v>812</v>
      </c>
      <c r="I192" s="2538"/>
    </row>
    <row r="193" spans="1:9" ht="27" customHeight="1" x14ac:dyDescent="0.2">
      <c r="A193" s="25"/>
      <c r="B193" s="25"/>
      <c r="C193" s="25"/>
      <c r="D193" s="25"/>
      <c r="E193" s="25"/>
      <c r="F193" s="25"/>
      <c r="G193" s="25"/>
      <c r="H193" s="2537" t="s">
        <v>847</v>
      </c>
      <c r="I193" s="2538"/>
    </row>
    <row r="194" spans="1:9" ht="27" customHeight="1" x14ac:dyDescent="0.2">
      <c r="A194" s="25"/>
      <c r="B194" s="25"/>
      <c r="C194" s="25"/>
      <c r="D194" s="25"/>
      <c r="E194" s="25"/>
      <c r="F194" s="25"/>
      <c r="G194" s="25"/>
      <c r="H194" s="2537" t="s">
        <v>1739</v>
      </c>
      <c r="I194" s="2538"/>
    </row>
    <row r="195" spans="1:9" ht="57" customHeight="1" x14ac:dyDescent="0.2">
      <c r="A195" s="25"/>
      <c r="B195" s="25"/>
      <c r="C195" s="25"/>
      <c r="D195" s="25"/>
      <c r="E195" s="25"/>
      <c r="F195" s="25"/>
      <c r="G195" s="25"/>
      <c r="H195" s="2537" t="s">
        <v>1463</v>
      </c>
      <c r="I195" s="2538"/>
    </row>
    <row r="196" spans="1:9" ht="27" customHeight="1" x14ac:dyDescent="0.2">
      <c r="A196" s="25"/>
      <c r="B196" s="25"/>
      <c r="C196" s="25"/>
      <c r="D196" s="25"/>
      <c r="E196" s="25"/>
      <c r="F196" s="25"/>
      <c r="G196" s="25"/>
      <c r="H196" s="2537" t="s">
        <v>848</v>
      </c>
      <c r="I196" s="2538"/>
    </row>
    <row r="197" spans="1:9" ht="27" customHeight="1" x14ac:dyDescent="0.2">
      <c r="A197" s="25"/>
      <c r="B197" s="25"/>
      <c r="C197" s="25"/>
      <c r="D197" s="25"/>
      <c r="E197" s="25"/>
      <c r="F197" s="25"/>
      <c r="G197" s="25"/>
      <c r="H197" s="2537" t="s">
        <v>1348</v>
      </c>
      <c r="I197" s="2538"/>
    </row>
    <row r="198" spans="1:9" ht="42" customHeight="1" thickBot="1" x14ac:dyDescent="0.25">
      <c r="A198" s="25"/>
      <c r="B198" s="25"/>
      <c r="C198" s="25"/>
      <c r="D198" s="25"/>
      <c r="E198" s="25"/>
      <c r="F198" s="25"/>
      <c r="G198" s="25"/>
      <c r="H198" s="2570" t="s">
        <v>849</v>
      </c>
      <c r="I198" s="2571"/>
    </row>
    <row r="199" spans="1:9" x14ac:dyDescent="0.2">
      <c r="A199" s="65"/>
      <c r="C199" s="12"/>
    </row>
    <row r="200" spans="1:9" x14ac:dyDescent="0.2">
      <c r="A200" s="65"/>
      <c r="C200" s="12"/>
    </row>
    <row r="201" spans="1:9" x14ac:dyDescent="0.2">
      <c r="A201" s="65"/>
      <c r="C201" s="12"/>
    </row>
    <row r="202" spans="1:9" x14ac:dyDescent="0.2">
      <c r="A202" s="65"/>
      <c r="C202" s="12"/>
    </row>
    <row r="203" spans="1:9" x14ac:dyDescent="0.2">
      <c r="A203" s="65"/>
    </row>
    <row r="204" spans="1:9" x14ac:dyDescent="0.2">
      <c r="A204" s="65"/>
    </row>
    <row r="205" spans="1:9" x14ac:dyDescent="0.2">
      <c r="A205" s="65"/>
    </row>
    <row r="206" spans="1:9" x14ac:dyDescent="0.2">
      <c r="A206" s="65"/>
    </row>
    <row r="207" spans="1:9" x14ac:dyDescent="0.2">
      <c r="A207" s="65"/>
    </row>
    <row r="208" spans="1:9" x14ac:dyDescent="0.2">
      <c r="A208" s="65"/>
    </row>
    <row r="219" spans="8:8" ht="51" x14ac:dyDescent="0.2">
      <c r="H219" s="478" t="s">
        <v>1565</v>
      </c>
    </row>
  </sheetData>
  <sheetProtection algorithmName="SHA-512" hashValue="x/h01Xl8Oz5XPK+gdD4+MVr1wBegeZ2opA4fXQl/zSeEq4ysy7hDJunRkrqtDvSoWSiwKKPHEVWvKri7A1VUsA==" saltValue="KBkfFKXfUEMuwi9RM9YGTQ==" spinCount="100000" sheet="1" formatCells="0" formatColumns="0" formatRows="0"/>
  <customSheetViews>
    <customSheetView guid="{B8E02330-2419-4DE6-AD01-7ACC7A5D18DD}" scale="75" topLeftCell="A154">
      <selection activeCell="A2" sqref="A2:H175"/>
      <pageMargins left="0.75" right="0.75" top="1" bottom="1" header="0.5" footer="0.5"/>
      <pageSetup orientation="portrait" r:id="rId1"/>
      <headerFooter alignWithMargins="0"/>
    </customSheetView>
  </customSheetViews>
  <mergeCells count="162">
    <mergeCell ref="H197:I197"/>
    <mergeCell ref="H198:I198"/>
    <mergeCell ref="H192:I192"/>
    <mergeCell ref="H193:I193"/>
    <mergeCell ref="H194:I194"/>
    <mergeCell ref="H195:I195"/>
    <mergeCell ref="H196:I196"/>
    <mergeCell ref="H187:I187"/>
    <mergeCell ref="H188:I188"/>
    <mergeCell ref="H189:I189"/>
    <mergeCell ref="H190:I190"/>
    <mergeCell ref="H191:I191"/>
    <mergeCell ref="H182:I182"/>
    <mergeCell ref="H183:I183"/>
    <mergeCell ref="H184:I184"/>
    <mergeCell ref="H185:I185"/>
    <mergeCell ref="H186:I186"/>
    <mergeCell ref="H177:I177"/>
    <mergeCell ref="H178:I178"/>
    <mergeCell ref="H179:I179"/>
    <mergeCell ref="H180:I180"/>
    <mergeCell ref="H181:I181"/>
    <mergeCell ref="H172:I172"/>
    <mergeCell ref="H173:I173"/>
    <mergeCell ref="H174:I174"/>
    <mergeCell ref="H175:I175"/>
    <mergeCell ref="H176:I176"/>
    <mergeCell ref="H167:I167"/>
    <mergeCell ref="H168:I168"/>
    <mergeCell ref="H169:I169"/>
    <mergeCell ref="H170:I170"/>
    <mergeCell ref="H171:I171"/>
    <mergeCell ref="H162:I162"/>
    <mergeCell ref="H163:I163"/>
    <mergeCell ref="H164:I164"/>
    <mergeCell ref="H165:I165"/>
    <mergeCell ref="H166:I166"/>
    <mergeCell ref="H157:I157"/>
    <mergeCell ref="H158:I158"/>
    <mergeCell ref="H159:I159"/>
    <mergeCell ref="H160:I160"/>
    <mergeCell ref="H161:I161"/>
    <mergeCell ref="I63:I68"/>
    <mergeCell ref="I69:I74"/>
    <mergeCell ref="I28:I34"/>
    <mergeCell ref="I35:I37"/>
    <mergeCell ref="I38:I43"/>
    <mergeCell ref="I44:I48"/>
    <mergeCell ref="I49:I52"/>
    <mergeCell ref="I108:I111"/>
    <mergeCell ref="I112:I117"/>
    <mergeCell ref="I81:I86"/>
    <mergeCell ref="I87:I90"/>
    <mergeCell ref="I97:I103"/>
    <mergeCell ref="I104:I107"/>
    <mergeCell ref="I75:I80"/>
    <mergeCell ref="I15:I21"/>
    <mergeCell ref="I22:I26"/>
    <mergeCell ref="A112:A117"/>
    <mergeCell ref="H123:H126"/>
    <mergeCell ref="A104:A107"/>
    <mergeCell ref="B104:B107"/>
    <mergeCell ref="A123:A126"/>
    <mergeCell ref="H112:H117"/>
    <mergeCell ref="B112:B117"/>
    <mergeCell ref="B123:B126"/>
    <mergeCell ref="H104:H107"/>
    <mergeCell ref="B118:B122"/>
    <mergeCell ref="A118:A122"/>
    <mergeCell ref="H118:H122"/>
    <mergeCell ref="A108:A111"/>
    <mergeCell ref="B108:B111"/>
    <mergeCell ref="H108:H111"/>
    <mergeCell ref="H91:H96"/>
    <mergeCell ref="H35:H37"/>
    <mergeCell ref="H28:H34"/>
    <mergeCell ref="B28:B34"/>
    <mergeCell ref="I53:I55"/>
    <mergeCell ref="I56:I62"/>
    <mergeCell ref="I91:I96"/>
    <mergeCell ref="A156:H156"/>
    <mergeCell ref="D148:F148"/>
    <mergeCell ref="A38:A43"/>
    <mergeCell ref="C155:E155"/>
    <mergeCell ref="D150:F150"/>
    <mergeCell ref="D151:F151"/>
    <mergeCell ref="D152:F152"/>
    <mergeCell ref="D149:F149"/>
    <mergeCell ref="C154:E154"/>
    <mergeCell ref="D147:F147"/>
    <mergeCell ref="B133:B135"/>
    <mergeCell ref="H38:H43"/>
    <mergeCell ref="B44:B48"/>
    <mergeCell ref="B38:B43"/>
    <mergeCell ref="A44:A48"/>
    <mergeCell ref="H56:H62"/>
    <mergeCell ref="B56:B62"/>
    <mergeCell ref="H44:H48"/>
    <mergeCell ref="B63:B68"/>
    <mergeCell ref="A69:A74"/>
    <mergeCell ref="D146:H146"/>
    <mergeCell ref="D153:H153"/>
    <mergeCell ref="A146:C153"/>
    <mergeCell ref="H154:I154"/>
    <mergeCell ref="A49:A52"/>
    <mergeCell ref="A53:A55"/>
    <mergeCell ref="H53:H55"/>
    <mergeCell ref="B49:B52"/>
    <mergeCell ref="A81:A86"/>
    <mergeCell ref="A63:A68"/>
    <mergeCell ref="B81:B86"/>
    <mergeCell ref="H63:H68"/>
    <mergeCell ref="A154:B155"/>
    <mergeCell ref="H155:I155"/>
    <mergeCell ref="I133:I135"/>
    <mergeCell ref="I140:I145"/>
    <mergeCell ref="I118:I122"/>
    <mergeCell ref="I123:I126"/>
    <mergeCell ref="I127:I132"/>
    <mergeCell ref="H81:H86"/>
    <mergeCell ref="H75:H80"/>
    <mergeCell ref="B75:B80"/>
    <mergeCell ref="A75:A80"/>
    <mergeCell ref="A140:A145"/>
    <mergeCell ref="A127:A132"/>
    <mergeCell ref="H140:H145"/>
    <mergeCell ref="H97:H103"/>
    <mergeCell ref="H87:H90"/>
    <mergeCell ref="A1:B1"/>
    <mergeCell ref="B3:B8"/>
    <mergeCell ref="H9:H12"/>
    <mergeCell ref="A3:A8"/>
    <mergeCell ref="E1:I1"/>
    <mergeCell ref="I3:I8"/>
    <mergeCell ref="I9:I12"/>
    <mergeCell ref="H69:H74"/>
    <mergeCell ref="A56:A62"/>
    <mergeCell ref="B69:B74"/>
    <mergeCell ref="B15:B21"/>
    <mergeCell ref="A28:A34"/>
    <mergeCell ref="A35:A37"/>
    <mergeCell ref="B35:B37"/>
    <mergeCell ref="H3:H8"/>
    <mergeCell ref="B9:B12"/>
    <mergeCell ref="A9:A12"/>
    <mergeCell ref="H49:H52"/>
    <mergeCell ref="H22:H26"/>
    <mergeCell ref="B22:B26"/>
    <mergeCell ref="A22:A26"/>
    <mergeCell ref="A15:A21"/>
    <mergeCell ref="H15:H21"/>
    <mergeCell ref="B53:B55"/>
    <mergeCell ref="A97:A103"/>
    <mergeCell ref="B97:B103"/>
    <mergeCell ref="A87:A90"/>
    <mergeCell ref="B87:B90"/>
    <mergeCell ref="H127:H132"/>
    <mergeCell ref="B127:B132"/>
    <mergeCell ref="A133:A135"/>
    <mergeCell ref="H133:H135"/>
    <mergeCell ref="A91:A96"/>
    <mergeCell ref="B91:B96"/>
  </mergeCells>
  <phoneticPr fontId="3" type="noConversion"/>
  <pageMargins left="0.75" right="0.75" top="1" bottom="1" header="0.5" footer="0.5"/>
  <pageSetup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FE600-70F5-431D-957B-575183841DD2}">
  <dimension ref="A1:A17"/>
  <sheetViews>
    <sheetView workbookViewId="0">
      <selection activeCell="A3" sqref="A3"/>
    </sheetView>
  </sheetViews>
  <sheetFormatPr defaultRowHeight="12.75" x14ac:dyDescent="0.2"/>
  <sheetData>
    <row r="1" spans="1:1" x14ac:dyDescent="0.2">
      <c r="A1" s="2318" t="s">
        <v>3029</v>
      </c>
    </row>
    <row r="3" spans="1:1" x14ac:dyDescent="0.2">
      <c r="A3" t="s">
        <v>3031</v>
      </c>
    </row>
    <row r="5" spans="1:1" x14ac:dyDescent="0.2">
      <c r="A5" t="s">
        <v>3032</v>
      </c>
    </row>
    <row r="7" spans="1:1" x14ac:dyDescent="0.2">
      <c r="A7" t="s">
        <v>3033</v>
      </c>
    </row>
    <row r="9" spans="1:1" x14ac:dyDescent="0.2">
      <c r="A9" s="2318" t="s">
        <v>3026</v>
      </c>
    </row>
    <row r="11" spans="1:1" x14ac:dyDescent="0.2">
      <c r="A11" s="2318" t="s">
        <v>3030</v>
      </c>
    </row>
    <row r="13" spans="1:1" x14ac:dyDescent="0.2">
      <c r="A13" s="2318" t="s">
        <v>3027</v>
      </c>
    </row>
    <row r="15" spans="1:1" x14ac:dyDescent="0.2">
      <c r="A15" t="s">
        <v>3034</v>
      </c>
    </row>
    <row r="17" spans="1:1" x14ac:dyDescent="0.2">
      <c r="A17" t="s">
        <v>3028</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dimension ref="A1:BP876"/>
  <sheetViews>
    <sheetView zoomScaleNormal="100" workbookViewId="0">
      <selection sqref="A1:B1"/>
    </sheetView>
  </sheetViews>
  <sheetFormatPr defaultColWidth="9.33203125" defaultRowHeight="16.5" x14ac:dyDescent="0.2"/>
  <cols>
    <col min="1" max="1" width="5.83203125" style="6" customWidth="1"/>
    <col min="2" max="2" width="18.83203125" style="6" customWidth="1"/>
    <col min="3" max="3" width="75.83203125" style="6" customWidth="1"/>
    <col min="4" max="5" width="7.83203125" style="298" customWidth="1"/>
    <col min="6" max="6" width="7.83203125" style="662" customWidth="1"/>
    <col min="7" max="7" width="9.1640625" style="663" customWidth="1"/>
    <col min="8" max="8" width="64.83203125" style="478" customWidth="1"/>
    <col min="9" max="9" width="12.5" style="11" customWidth="1"/>
    <col min="10" max="10" width="9.33203125" style="14"/>
    <col min="11" max="11" width="9.33203125" style="128"/>
    <col min="12" max="67" width="9.33203125" style="14"/>
    <col min="68" max="16384" width="9.33203125" style="9"/>
  </cols>
  <sheetData>
    <row r="1" spans="1:67" s="2104" customFormat="1" ht="51" customHeight="1" thickBot="1" x14ac:dyDescent="0.25">
      <c r="A1" s="2627" t="s">
        <v>2213</v>
      </c>
      <c r="B1" s="2628"/>
      <c r="C1" s="2058" t="s">
        <v>1301</v>
      </c>
      <c r="D1" s="2102" t="s">
        <v>1072</v>
      </c>
      <c r="E1" s="2804"/>
      <c r="F1" s="2805"/>
      <c r="G1" s="2805"/>
      <c r="H1" s="2805"/>
      <c r="I1" s="2805"/>
      <c r="J1" s="2076"/>
      <c r="K1" s="2103"/>
      <c r="L1" s="2076"/>
      <c r="M1" s="2076"/>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c r="AL1" s="2076"/>
      <c r="AM1" s="2076"/>
      <c r="AN1" s="2076"/>
      <c r="AO1" s="2076"/>
      <c r="AP1" s="2076"/>
      <c r="AQ1" s="2076"/>
      <c r="AR1" s="2076"/>
      <c r="AS1" s="2076"/>
      <c r="AT1" s="2076"/>
      <c r="AU1" s="2076"/>
      <c r="AV1" s="2076"/>
      <c r="AW1" s="2076"/>
      <c r="AX1" s="2076"/>
      <c r="AY1" s="2076"/>
      <c r="AZ1" s="2076"/>
      <c r="BA1" s="2076"/>
      <c r="BB1" s="2076"/>
      <c r="BC1" s="2076"/>
      <c r="BD1" s="2076"/>
      <c r="BE1" s="2076"/>
      <c r="BF1" s="2076"/>
      <c r="BG1" s="2076"/>
      <c r="BH1" s="2076"/>
      <c r="BI1" s="2076"/>
      <c r="BJ1" s="2076"/>
      <c r="BK1" s="2076"/>
      <c r="BL1" s="2076"/>
      <c r="BM1" s="2076"/>
      <c r="BN1" s="2076"/>
      <c r="BO1" s="2076"/>
    </row>
    <row r="2" spans="1:67" s="106" customFormat="1" ht="36" customHeight="1" thickBot="1" x14ac:dyDescent="0.25">
      <c r="A2" s="1158" t="s">
        <v>88</v>
      </c>
      <c r="B2" s="1158" t="s">
        <v>1425</v>
      </c>
      <c r="C2" s="1196" t="s">
        <v>1165</v>
      </c>
      <c r="D2" s="1158" t="s">
        <v>45</v>
      </c>
      <c r="E2" s="1249" t="s">
        <v>1189</v>
      </c>
      <c r="F2" s="1250" t="s">
        <v>1190</v>
      </c>
      <c r="G2" s="1251" t="s">
        <v>2555</v>
      </c>
      <c r="H2" s="1158" t="s">
        <v>1118</v>
      </c>
      <c r="I2" s="1232" t="s">
        <v>2424</v>
      </c>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7"/>
      <c r="AR2" s="147"/>
      <c r="AS2" s="147"/>
      <c r="AT2" s="147"/>
      <c r="AU2" s="147"/>
      <c r="AV2" s="147"/>
      <c r="AW2" s="147"/>
      <c r="AX2" s="147"/>
      <c r="AY2" s="147"/>
      <c r="AZ2" s="147"/>
      <c r="BA2" s="147"/>
      <c r="BB2" s="147"/>
      <c r="BC2" s="147"/>
      <c r="BD2" s="147"/>
      <c r="BE2" s="147"/>
      <c r="BF2" s="147"/>
      <c r="BG2" s="147"/>
      <c r="BH2" s="147"/>
      <c r="BI2" s="147"/>
      <c r="BJ2" s="147"/>
      <c r="BK2" s="147"/>
      <c r="BL2" s="147"/>
      <c r="BM2" s="147"/>
      <c r="BN2" s="147"/>
      <c r="BO2" s="147"/>
    </row>
    <row r="3" spans="1:67" ht="30" customHeight="1" thickBot="1" x14ac:dyDescent="0.25">
      <c r="A3" s="2737" t="str">
        <f>OF!A23</f>
        <v>OF4</v>
      </c>
      <c r="B3" s="2404" t="str">
        <f>OF!B23</f>
        <v xml:space="preserve">Size of Largest Nearby Vegetated Tract or Corridor </v>
      </c>
      <c r="C3" s="575" t="str">
        <f>OF!C23</f>
        <v>The largest vegetated patch or corridor that includes the AA's vegetation plus all adjacent upland vegetation that is not lawn, row crops, heavily grazed lands, conifer plantation is:</v>
      </c>
      <c r="D3" s="1335"/>
      <c r="E3" s="299"/>
      <c r="F3" s="321"/>
      <c r="G3" s="434">
        <f>MAX(F4:F10)/MAX(E4:E10)</f>
        <v>0.625</v>
      </c>
      <c r="H3" s="2404" t="s">
        <v>1749</v>
      </c>
      <c r="I3" s="2574" t="s">
        <v>185</v>
      </c>
    </row>
    <row r="4" spans="1:67" ht="15" customHeight="1" x14ac:dyDescent="0.2">
      <c r="A4" s="2737"/>
      <c r="B4" s="2404"/>
      <c r="C4" s="27" t="str">
        <f>OF!C24</f>
        <v>&lt;0.01 hectare (about 10 m x 10 m).</v>
      </c>
      <c r="D4" s="213">
        <f>OF!D24</f>
        <v>0</v>
      </c>
      <c r="E4" s="556">
        <v>0</v>
      </c>
      <c r="F4" s="300">
        <f t="shared" ref="F4:F10" si="0">D4*E4</f>
        <v>0</v>
      </c>
      <c r="G4" s="429"/>
      <c r="H4" s="2404"/>
      <c r="I4" s="2575"/>
    </row>
    <row r="5" spans="1:67" ht="15" customHeight="1" x14ac:dyDescent="0.2">
      <c r="A5" s="2737"/>
      <c r="B5" s="2404"/>
      <c r="C5" s="27" t="str">
        <f>OF!C25</f>
        <v>0.01 - 0.1 hectare.</v>
      </c>
      <c r="D5" s="213">
        <f>OF!D25</f>
        <v>0</v>
      </c>
      <c r="E5" s="556">
        <v>2</v>
      </c>
      <c r="F5" s="300">
        <f t="shared" si="0"/>
        <v>0</v>
      </c>
      <c r="G5" s="430"/>
      <c r="H5" s="2404"/>
      <c r="I5" s="2575"/>
    </row>
    <row r="6" spans="1:67" ht="15" customHeight="1" x14ac:dyDescent="0.2">
      <c r="A6" s="2737"/>
      <c r="B6" s="2404"/>
      <c r="C6" s="27" t="str">
        <f>OF!C26</f>
        <v>0.1 - 1 hectare.</v>
      </c>
      <c r="D6" s="213">
        <f>OF!D26</f>
        <v>0</v>
      </c>
      <c r="E6" s="556">
        <v>3</v>
      </c>
      <c r="F6" s="300">
        <f t="shared" si="0"/>
        <v>0</v>
      </c>
      <c r="G6" s="430"/>
      <c r="H6" s="2404"/>
      <c r="I6" s="2575"/>
    </row>
    <row r="7" spans="1:67" ht="15" customHeight="1" x14ac:dyDescent="0.2">
      <c r="A7" s="2737"/>
      <c r="B7" s="2404"/>
      <c r="C7" s="27" t="str">
        <f>OF!C27</f>
        <v>1 to 10 hectares.</v>
      </c>
      <c r="D7" s="213">
        <f>OF!D27</f>
        <v>0</v>
      </c>
      <c r="E7" s="556">
        <v>4</v>
      </c>
      <c r="F7" s="300">
        <f t="shared" si="0"/>
        <v>0</v>
      </c>
      <c r="G7" s="430"/>
      <c r="H7" s="2404"/>
      <c r="I7" s="2575"/>
    </row>
    <row r="8" spans="1:67" ht="15" customHeight="1" x14ac:dyDescent="0.2">
      <c r="A8" s="2737"/>
      <c r="B8" s="2404"/>
      <c r="C8" s="27" t="str">
        <f>OF!C28</f>
        <v>10 to 100 hectares.</v>
      </c>
      <c r="D8" s="213">
        <f>OF!D28</f>
        <v>1</v>
      </c>
      <c r="E8" s="556">
        <v>5</v>
      </c>
      <c r="F8" s="300">
        <f t="shared" si="0"/>
        <v>5</v>
      </c>
      <c r="G8" s="430"/>
      <c r="H8" s="2404"/>
      <c r="I8" s="2575"/>
    </row>
    <row r="9" spans="1:67" ht="15" customHeight="1" x14ac:dyDescent="0.2">
      <c r="A9" s="2737"/>
      <c r="B9" s="2404"/>
      <c r="C9" s="27" t="str">
        <f>OF!C29</f>
        <v>100 to 1000 hectares.</v>
      </c>
      <c r="D9" s="213">
        <f>OF!D29</f>
        <v>0</v>
      </c>
      <c r="E9" s="557">
        <v>6</v>
      </c>
      <c r="F9" s="300">
        <f t="shared" si="0"/>
        <v>0</v>
      </c>
      <c r="G9" s="430"/>
      <c r="H9" s="2404"/>
      <c r="I9" s="2575"/>
    </row>
    <row r="10" spans="1:67" ht="15" customHeight="1" thickBot="1" x14ac:dyDescent="0.25">
      <c r="A10" s="2737"/>
      <c r="B10" s="2404"/>
      <c r="C10" s="27" t="str">
        <f>OF!C30</f>
        <v>&gt;1000 hectares. [This is nearly always the answer in relatively undeveloped landscapes.]</v>
      </c>
      <c r="D10" s="213">
        <f>OF!D30</f>
        <v>0</v>
      </c>
      <c r="E10" s="557">
        <v>8</v>
      </c>
      <c r="F10" s="303">
        <f t="shared" si="0"/>
        <v>0</v>
      </c>
      <c r="G10" s="439"/>
      <c r="H10" s="2404"/>
      <c r="I10" s="2576"/>
    </row>
    <row r="11" spans="1:67" ht="51" customHeight="1" thickBot="1" x14ac:dyDescent="0.25">
      <c r="A11" s="2489" t="str">
        <f>OF!A31</f>
        <v>OF5</v>
      </c>
      <c r="B11" s="2529" t="str">
        <f>OF!B31</f>
        <v>Distance to Large Vegetated Tract</v>
      </c>
      <c r="C11" s="365" t="str">
        <f>OF!C31</f>
        <v>The minimum distance from the edge of the AA to the edge of the closest vegetated land (but excluding row crops, lawn, conifer plantation) larger than 375 hectares (about 2 km on a side), is:</v>
      </c>
      <c r="D11" s="1335"/>
      <c r="E11" s="304"/>
      <c r="F11" s="322"/>
      <c r="G11" s="428">
        <f>MAX(F12:F18)/MAX(E12:E18)</f>
        <v>0.2857142857142857</v>
      </c>
      <c r="H11" s="2529" t="s">
        <v>1608</v>
      </c>
      <c r="I11" s="2574" t="s">
        <v>182</v>
      </c>
    </row>
    <row r="12" spans="1:67" ht="48" customHeight="1" x14ac:dyDescent="0.2">
      <c r="A12" s="2365"/>
      <c r="B12" s="2396"/>
      <c r="C12" s="27" t="str">
        <f>OF!C32</f>
        <v>&lt;50 m, and not separated from the 375-ha vegetated area by any width of paved roads, stretches of open water, row crops, bare ground, lawn, or impervious surface. Or the AA itself contains &gt;375 ha of vegetation. [This is often the answer in relatively undeveloped landscapes.]</v>
      </c>
      <c r="D12" s="213">
        <f>OF!D32</f>
        <v>0</v>
      </c>
      <c r="E12" s="556">
        <v>7</v>
      </c>
      <c r="F12" s="300">
        <f t="shared" ref="F12:F18" si="1">D12*E12</f>
        <v>0</v>
      </c>
      <c r="G12" s="429"/>
      <c r="H12" s="2404"/>
      <c r="I12" s="2575"/>
    </row>
    <row r="13" spans="1:67" ht="33" customHeight="1" x14ac:dyDescent="0.2">
      <c r="A13" s="2365"/>
      <c r="B13" s="2396"/>
      <c r="C13" s="27" t="str">
        <f>OF!C33</f>
        <v>&lt;50 m, but completely separated from the 375-ha vegetated area by those features, and AA does not contain &gt;375 ha of vegetation.</v>
      </c>
      <c r="D13" s="213">
        <f>OF!D33</f>
        <v>0</v>
      </c>
      <c r="E13" s="300">
        <v>6</v>
      </c>
      <c r="F13" s="300">
        <f t="shared" si="1"/>
        <v>0</v>
      </c>
      <c r="G13" s="430"/>
      <c r="H13" s="2404"/>
      <c r="I13" s="2575"/>
    </row>
    <row r="14" spans="1:67" ht="21" customHeight="1" x14ac:dyDescent="0.2">
      <c r="A14" s="2365"/>
      <c r="B14" s="2396"/>
      <c r="C14" s="27" t="str">
        <f>OF!C34</f>
        <v>50-500 m, and not separated.</v>
      </c>
      <c r="D14" s="213">
        <f>OF!D34</f>
        <v>0</v>
      </c>
      <c r="E14" s="300">
        <v>5</v>
      </c>
      <c r="F14" s="300">
        <f t="shared" si="1"/>
        <v>0</v>
      </c>
      <c r="G14" s="430"/>
      <c r="H14" s="2404"/>
      <c r="I14" s="2575"/>
    </row>
    <row r="15" spans="1:67" ht="21" customHeight="1" x14ac:dyDescent="0.2">
      <c r="A15" s="2365"/>
      <c r="B15" s="2396"/>
      <c r="C15" s="27" t="str">
        <f>OF!C35</f>
        <v>50-500 m, but separated by those features.</v>
      </c>
      <c r="D15" s="213">
        <f>OF!D35</f>
        <v>0</v>
      </c>
      <c r="E15" s="300">
        <v>4</v>
      </c>
      <c r="F15" s="300">
        <f t="shared" si="1"/>
        <v>0</v>
      </c>
      <c r="G15" s="430"/>
      <c r="H15" s="2404"/>
      <c r="I15" s="2575"/>
    </row>
    <row r="16" spans="1:67" ht="21" customHeight="1" x14ac:dyDescent="0.2">
      <c r="A16" s="2365"/>
      <c r="B16" s="2396"/>
      <c r="C16" s="27" t="str">
        <f>OF!C36</f>
        <v>0.5 - 5 km, and not separated.</v>
      </c>
      <c r="D16" s="213">
        <f>OF!D36</f>
        <v>0</v>
      </c>
      <c r="E16" s="300">
        <v>3</v>
      </c>
      <c r="F16" s="300">
        <f t="shared" si="1"/>
        <v>0</v>
      </c>
      <c r="G16" s="430"/>
      <c r="H16" s="2404"/>
      <c r="I16" s="2575"/>
    </row>
    <row r="17" spans="1:9" ht="21" customHeight="1" x14ac:dyDescent="0.2">
      <c r="A17" s="2365"/>
      <c r="B17" s="2396"/>
      <c r="C17" s="27" t="str">
        <f>OF!C37</f>
        <v>0.5 - 5 km, but separated by those features.</v>
      </c>
      <c r="D17" s="213">
        <f>OF!D37</f>
        <v>1</v>
      </c>
      <c r="E17" s="300">
        <v>2</v>
      </c>
      <c r="F17" s="300">
        <f t="shared" si="1"/>
        <v>2</v>
      </c>
      <c r="G17" s="430"/>
      <c r="H17" s="2404"/>
      <c r="I17" s="2575"/>
    </row>
    <row r="18" spans="1:9" ht="21" customHeight="1" thickBot="1" x14ac:dyDescent="0.25">
      <c r="A18" s="2367"/>
      <c r="B18" s="2408"/>
      <c r="C18" s="27" t="str">
        <f>OF!C38</f>
        <v>None of the above (the closest patches or corridors which are that large are &gt;5 km away).</v>
      </c>
      <c r="D18" s="213">
        <f>OF!D38</f>
        <v>0</v>
      </c>
      <c r="E18" s="301">
        <v>0</v>
      </c>
      <c r="F18" s="301">
        <f t="shared" si="1"/>
        <v>0</v>
      </c>
      <c r="G18" s="431"/>
      <c r="H18" s="2408"/>
      <c r="I18" s="2576"/>
    </row>
    <row r="19" spans="1:9" ht="45" customHeight="1" thickBot="1" x14ac:dyDescent="0.25">
      <c r="A19" s="2737" t="str">
        <f>OF!A41</f>
        <v>OF8</v>
      </c>
      <c r="B19" s="2404" t="str">
        <f>OF!B41</f>
        <v>Local Vegetated Cover Percentage</v>
      </c>
      <c r="C19" s="365" t="str">
        <f>OF!C41</f>
        <v>Draw a 5-km radius circle measured from the center of the AA.  Ignoring all permanent water in the circle, the percent of the remaining area that is wooded or unmanaged herbaceous vegetation (NOT lawn, row crops, bare or heavily grazed land, clearcuts, or conifer plantations) is:</v>
      </c>
      <c r="D19" s="1335"/>
      <c r="E19" s="560"/>
      <c r="F19" s="302"/>
      <c r="G19" s="434">
        <f>MAX(F20:F24)/MAX(E20:E24)</f>
        <v>0.6</v>
      </c>
      <c r="H19" s="2404" t="s">
        <v>87</v>
      </c>
      <c r="I19" s="2574" t="s">
        <v>183</v>
      </c>
    </row>
    <row r="20" spans="1:9" ht="15" customHeight="1" x14ac:dyDescent="0.2">
      <c r="A20" s="2737"/>
      <c r="B20" s="2404"/>
      <c r="C20" s="27" t="str">
        <f>OF!C42</f>
        <v xml:space="preserve">&lt;5% of the land. </v>
      </c>
      <c r="D20" s="213">
        <f>OF!D42</f>
        <v>0</v>
      </c>
      <c r="E20" s="556">
        <v>0</v>
      </c>
      <c r="F20" s="300">
        <f>D20*E20</f>
        <v>0</v>
      </c>
      <c r="G20" s="429"/>
      <c r="H20" s="2404"/>
      <c r="I20" s="2575"/>
    </row>
    <row r="21" spans="1:9" ht="15" customHeight="1" x14ac:dyDescent="0.2">
      <c r="A21" s="2737"/>
      <c r="B21" s="2404"/>
      <c r="C21" s="5" t="str">
        <f>OF!C43</f>
        <v>5 to 20% of the land.</v>
      </c>
      <c r="D21" s="205">
        <f>OF!D43</f>
        <v>0</v>
      </c>
      <c r="E21" s="556">
        <v>2</v>
      </c>
      <c r="F21" s="300">
        <f>D21*E21</f>
        <v>0</v>
      </c>
      <c r="G21" s="430"/>
      <c r="H21" s="2404"/>
      <c r="I21" s="2575"/>
    </row>
    <row r="22" spans="1:9" ht="15" customHeight="1" x14ac:dyDescent="0.2">
      <c r="A22" s="2737"/>
      <c r="B22" s="2404"/>
      <c r="C22" s="5" t="str">
        <f>OF!C44</f>
        <v>20 to 60% of the land.</v>
      </c>
      <c r="D22" s="205">
        <f>OF!D44</f>
        <v>1</v>
      </c>
      <c r="E22" s="556">
        <v>3</v>
      </c>
      <c r="F22" s="300">
        <f>D22*E22</f>
        <v>3</v>
      </c>
      <c r="G22" s="430"/>
      <c r="H22" s="2404"/>
      <c r="I22" s="2575"/>
    </row>
    <row r="23" spans="1:9" ht="15" customHeight="1" x14ac:dyDescent="0.2">
      <c r="A23" s="2737"/>
      <c r="B23" s="2404"/>
      <c r="C23" s="5" t="str">
        <f>OF!C45</f>
        <v>60 to 90% of the land.</v>
      </c>
      <c r="D23" s="205">
        <f>OF!D45</f>
        <v>0</v>
      </c>
      <c r="E23" s="556">
        <v>4</v>
      </c>
      <c r="F23" s="300">
        <f>D23*E23</f>
        <v>0</v>
      </c>
      <c r="G23" s="430"/>
      <c r="H23" s="2404"/>
      <c r="I23" s="2575"/>
    </row>
    <row r="24" spans="1:9" ht="15" customHeight="1" thickBot="1" x14ac:dyDescent="0.25">
      <c r="A24" s="2737"/>
      <c r="B24" s="2404"/>
      <c r="C24" s="366" t="str">
        <f>OF!C46</f>
        <v>&gt;90% of the land. SKIP to OF10.</v>
      </c>
      <c r="D24" s="211">
        <f>OF!D46</f>
        <v>0</v>
      </c>
      <c r="E24" s="557">
        <v>5</v>
      </c>
      <c r="F24" s="303">
        <f>D24*E24</f>
        <v>0</v>
      </c>
      <c r="G24" s="439"/>
      <c r="H24" s="2404"/>
      <c r="I24" s="2576"/>
    </row>
    <row r="25" spans="1:9" ht="30" customHeight="1" thickBot="1" x14ac:dyDescent="0.25">
      <c r="A25" s="2489" t="str">
        <f>OF!A47</f>
        <v>OF9</v>
      </c>
      <c r="B25" s="2529" t="str">
        <f>OF!B47</f>
        <v>Type of Land Cover Alteration</v>
      </c>
      <c r="C25" s="365" t="str">
        <f>OF!C47</f>
        <v>Within the 5-km radius circle, and ignoring all permanent water, the land area that is bare or non-perennial cover is mostly:</v>
      </c>
      <c r="D25" s="1335"/>
      <c r="E25" s="304"/>
      <c r="F25" s="305"/>
      <c r="G25" s="428">
        <f>IF((D24=1),"",MAX(F26:F27)/MAX(E26:E27))</f>
        <v>1</v>
      </c>
      <c r="H25" s="2529" t="s">
        <v>1632</v>
      </c>
      <c r="I25" s="2574" t="s">
        <v>184</v>
      </c>
    </row>
    <row r="26" spans="1:9" ht="15" customHeight="1" x14ac:dyDescent="0.2">
      <c r="A26" s="2371"/>
      <c r="B26" s="2404"/>
      <c r="C26" s="27" t="str">
        <f>OF!C48</f>
        <v>Impervious surface, e.g., paved road, parking lot, building, exposed rock.</v>
      </c>
      <c r="D26" s="213">
        <f>OF!D48</f>
        <v>0</v>
      </c>
      <c r="E26" s="556">
        <v>0</v>
      </c>
      <c r="F26" s="300">
        <f>D26*E26</f>
        <v>0</v>
      </c>
      <c r="G26" s="429"/>
      <c r="H26" s="2404"/>
      <c r="I26" s="2575"/>
    </row>
    <row r="27" spans="1:9" ht="27" customHeight="1" thickBot="1" x14ac:dyDescent="0.25">
      <c r="A27" s="2490"/>
      <c r="B27" s="2530"/>
      <c r="C27" s="153" t="str">
        <f>OF!C49</f>
        <v>Bare pervious surface, e.g., lawn, recent (&lt;5 yrs ago) clearcut, dirt or gravel road, cropland, landslide, conifer plantation.</v>
      </c>
      <c r="D27" s="206">
        <f>OF!D49</f>
        <v>1</v>
      </c>
      <c r="E27" s="559">
        <v>1</v>
      </c>
      <c r="F27" s="301">
        <f>D27*E27</f>
        <v>1</v>
      </c>
      <c r="G27" s="431"/>
      <c r="H27" s="2530"/>
      <c r="I27" s="2576"/>
    </row>
    <row r="28" spans="1:9" ht="24" customHeight="1" thickBot="1" x14ac:dyDescent="0.25">
      <c r="A28" s="2737" t="str">
        <f>OF!A56</f>
        <v>OF11</v>
      </c>
      <c r="B28" s="2404" t="str">
        <f>OF!B56</f>
        <v>Distance to Nearest Maintained Road</v>
      </c>
      <c r="C28" s="365" t="str">
        <f>OF!C56</f>
        <v>From the center of the AA, the distance to the nearest maintained public road (dirt or paved) is:</v>
      </c>
      <c r="D28" s="1335"/>
      <c r="E28" s="330"/>
      <c r="F28" s="302"/>
      <c r="G28" s="434">
        <f>MAX(F29:F34)/MAX(E29:E34)</f>
        <v>1</v>
      </c>
      <c r="H28" s="2404" t="s">
        <v>1464</v>
      </c>
      <c r="I28" s="2574" t="s">
        <v>181</v>
      </c>
    </row>
    <row r="29" spans="1:9" ht="15" customHeight="1" x14ac:dyDescent="0.2">
      <c r="A29" s="2670"/>
      <c r="B29" s="2396"/>
      <c r="C29" s="27" t="str">
        <f>OF!C57</f>
        <v>&lt;10 m.</v>
      </c>
      <c r="D29" s="213">
        <f>OF!D57</f>
        <v>0</v>
      </c>
      <c r="E29" s="324">
        <v>0</v>
      </c>
      <c r="F29" s="300">
        <f t="shared" ref="F29:F34" si="2">D29*E29</f>
        <v>0</v>
      </c>
      <c r="G29" s="429"/>
      <c r="H29" s="2404"/>
      <c r="I29" s="2575"/>
    </row>
    <row r="30" spans="1:9" ht="15" customHeight="1" x14ac:dyDescent="0.2">
      <c r="A30" s="2670"/>
      <c r="B30" s="2396"/>
      <c r="C30" s="5" t="str">
        <f>OF!C58</f>
        <v>10 - 25 m.</v>
      </c>
      <c r="D30" s="205">
        <f>OF!D58</f>
        <v>0</v>
      </c>
      <c r="E30" s="324">
        <v>2</v>
      </c>
      <c r="F30" s="300">
        <f t="shared" si="2"/>
        <v>0</v>
      </c>
      <c r="G30" s="430"/>
      <c r="H30" s="2404"/>
      <c r="I30" s="2575"/>
    </row>
    <row r="31" spans="1:9" ht="15" customHeight="1" x14ac:dyDescent="0.2">
      <c r="A31" s="2670"/>
      <c r="B31" s="2396"/>
      <c r="C31" s="5" t="str">
        <f>OF!C59</f>
        <v>25 - 50 m.</v>
      </c>
      <c r="D31" s="205">
        <f>OF!D59</f>
        <v>0</v>
      </c>
      <c r="E31" s="324">
        <v>3</v>
      </c>
      <c r="F31" s="300">
        <f t="shared" si="2"/>
        <v>0</v>
      </c>
      <c r="G31" s="430"/>
      <c r="H31" s="2404"/>
      <c r="I31" s="2575"/>
    </row>
    <row r="32" spans="1:9" ht="15" customHeight="1" x14ac:dyDescent="0.2">
      <c r="A32" s="2670"/>
      <c r="B32" s="2396"/>
      <c r="C32" s="5" t="str">
        <f>OF!C60</f>
        <v>50 - 100 m.</v>
      </c>
      <c r="D32" s="205">
        <f>OF!D60</f>
        <v>0</v>
      </c>
      <c r="E32" s="324">
        <v>4</v>
      </c>
      <c r="F32" s="300">
        <f t="shared" si="2"/>
        <v>0</v>
      </c>
      <c r="G32" s="430"/>
      <c r="H32" s="2404"/>
      <c r="I32" s="2575"/>
    </row>
    <row r="33" spans="1:9" ht="15" customHeight="1" x14ac:dyDescent="0.2">
      <c r="A33" s="2670"/>
      <c r="B33" s="2396"/>
      <c r="C33" s="5" t="str">
        <f>OF!C61</f>
        <v>100 - 500 m.</v>
      </c>
      <c r="D33" s="205">
        <f>OF!D61</f>
        <v>0</v>
      </c>
      <c r="E33" s="324">
        <v>5</v>
      </c>
      <c r="F33" s="300">
        <f t="shared" si="2"/>
        <v>0</v>
      </c>
      <c r="G33" s="430"/>
      <c r="H33" s="2404"/>
      <c r="I33" s="2575"/>
    </row>
    <row r="34" spans="1:9" ht="15" customHeight="1" thickBot="1" x14ac:dyDescent="0.25">
      <c r="A34" s="2670"/>
      <c r="B34" s="2396"/>
      <c r="C34" s="366" t="str">
        <f>OF!C62</f>
        <v>&gt;500 m.</v>
      </c>
      <c r="D34" s="211">
        <f>OF!D62</f>
        <v>1</v>
      </c>
      <c r="E34" s="326">
        <v>7</v>
      </c>
      <c r="F34" s="303">
        <f t="shared" si="2"/>
        <v>7</v>
      </c>
      <c r="G34" s="439"/>
      <c r="H34" s="2404"/>
      <c r="I34" s="2576"/>
    </row>
    <row r="35" spans="1:9" ht="114" customHeight="1" thickBot="1" x14ac:dyDescent="0.25">
      <c r="A35" s="157" t="str">
        <f>OF!A63</f>
        <v>OF12</v>
      </c>
      <c r="B35" s="4" t="str">
        <f>OF!B63</f>
        <v>Wildlife Access</v>
      </c>
      <c r="C35" s="162" t="str">
        <f>OF!C63</f>
        <v>Draw a circle of radius of 5 km from the center of the AA. If mammals and amphibians can move from the center of the AA to ALL other separate wetlands and ponds located within the circle without being forced to cross pavement (any width), lawns, bare ground, and/or marine waters, mark 1= yes can move to all, 0= no.  Change to blank if there are no other wetlands within 5 km.</v>
      </c>
      <c r="D35" s="664">
        <f>IF((OF!D63=""),"",OF!D63)</f>
        <v>0</v>
      </c>
      <c r="E35" s="333"/>
      <c r="F35" s="312"/>
      <c r="G35" s="428">
        <f>IF((D35=""),"",D35)</f>
        <v>0</v>
      </c>
      <c r="H35" s="4" t="s">
        <v>1633</v>
      </c>
      <c r="I35" s="1231" t="s">
        <v>180</v>
      </c>
    </row>
    <row r="36" spans="1:9" ht="30" customHeight="1" thickBot="1" x14ac:dyDescent="0.25">
      <c r="A36" s="2806" t="str">
        <f>OF!A64</f>
        <v>OF13</v>
      </c>
      <c r="B36" s="2529" t="str">
        <f>OF!B64</f>
        <v>Distance to Ponded Water</v>
      </c>
      <c r="C36" s="365" t="str">
        <f>OF!C64</f>
        <v>The distance from the AA center to the closest (but separate) ponded water body visible in GoogleEarth imagery is:</v>
      </c>
      <c r="D36" s="940"/>
      <c r="E36" s="304"/>
      <c r="F36" s="322"/>
      <c r="G36" s="428">
        <f>MAX(F37:F43)/MAX(E37:E43)</f>
        <v>0.2857142857142857</v>
      </c>
      <c r="H36" s="2529" t="s">
        <v>1628</v>
      </c>
      <c r="I36" s="2574" t="s">
        <v>186</v>
      </c>
    </row>
    <row r="37" spans="1:9" ht="27" customHeight="1" x14ac:dyDescent="0.2">
      <c r="A37" s="2365"/>
      <c r="B37" s="2396"/>
      <c r="C37" s="27" t="str">
        <f>OF!C65</f>
        <v xml:space="preserve">&lt;50 m, and not separated by any width of paved roads, stretches of open water, row crops, lawn, bare ground, or impervious surface. </v>
      </c>
      <c r="D37" s="205">
        <f>OF!D65</f>
        <v>0</v>
      </c>
      <c r="E37" s="300">
        <v>7</v>
      </c>
      <c r="F37" s="300">
        <f t="shared" ref="F37:F43" si="3">D37*E37</f>
        <v>0</v>
      </c>
      <c r="G37" s="429"/>
      <c r="H37" s="2404"/>
      <c r="I37" s="2575"/>
    </row>
    <row r="38" spans="1:9" ht="15" customHeight="1" x14ac:dyDescent="0.2">
      <c r="A38" s="2365"/>
      <c r="B38" s="2396"/>
      <c r="C38" s="27" t="str">
        <f>OF!C66</f>
        <v>&lt;50 m, but completely separated by those features.</v>
      </c>
      <c r="D38" s="213">
        <f>OF!D66</f>
        <v>0</v>
      </c>
      <c r="E38" s="300">
        <v>6</v>
      </c>
      <c r="F38" s="300">
        <f t="shared" si="3"/>
        <v>0</v>
      </c>
      <c r="G38" s="429"/>
      <c r="H38" s="2404"/>
      <c r="I38" s="2575"/>
    </row>
    <row r="39" spans="1:9" ht="15" customHeight="1" x14ac:dyDescent="0.2">
      <c r="A39" s="2365"/>
      <c r="B39" s="2396"/>
      <c r="C39" s="27" t="str">
        <f>OF!C67</f>
        <v>50-500 m, and not separated.</v>
      </c>
      <c r="D39" s="213">
        <f>OF!D67</f>
        <v>0</v>
      </c>
      <c r="E39" s="300">
        <v>5</v>
      </c>
      <c r="F39" s="300">
        <f t="shared" si="3"/>
        <v>0</v>
      </c>
      <c r="G39" s="429"/>
      <c r="H39" s="2404"/>
      <c r="I39" s="2575"/>
    </row>
    <row r="40" spans="1:9" ht="15" customHeight="1" x14ac:dyDescent="0.2">
      <c r="A40" s="2365"/>
      <c r="B40" s="2396"/>
      <c r="C40" s="27" t="str">
        <f>OF!C68</f>
        <v>50-500 m, but separated by those features.</v>
      </c>
      <c r="D40" s="213">
        <f>OF!D68</f>
        <v>0</v>
      </c>
      <c r="E40" s="300">
        <v>4</v>
      </c>
      <c r="F40" s="300">
        <f t="shared" si="3"/>
        <v>0</v>
      </c>
      <c r="G40" s="429"/>
      <c r="H40" s="2404"/>
      <c r="I40" s="2575"/>
    </row>
    <row r="41" spans="1:9" ht="15" customHeight="1" x14ac:dyDescent="0.2">
      <c r="A41" s="2365"/>
      <c r="B41" s="2396"/>
      <c r="C41" s="27" t="str">
        <f>OF!C69</f>
        <v>0.5 - 1 km, and not separated.</v>
      </c>
      <c r="D41" s="213">
        <f>OF!D69</f>
        <v>0</v>
      </c>
      <c r="E41" s="300">
        <v>3</v>
      </c>
      <c r="F41" s="300">
        <f t="shared" si="3"/>
        <v>0</v>
      </c>
      <c r="G41" s="429"/>
      <c r="H41" s="2404"/>
      <c r="I41" s="2575"/>
    </row>
    <row r="42" spans="1:9" ht="15" customHeight="1" x14ac:dyDescent="0.2">
      <c r="A42" s="2365"/>
      <c r="B42" s="2396"/>
      <c r="C42" s="27" t="str">
        <f>OF!C70</f>
        <v>0.5 - 1 km, but separated by those features.</v>
      </c>
      <c r="D42" s="213">
        <f>OF!D70</f>
        <v>1</v>
      </c>
      <c r="E42" s="300">
        <v>2</v>
      </c>
      <c r="F42" s="300">
        <f t="shared" si="3"/>
        <v>2</v>
      </c>
      <c r="G42" s="430"/>
      <c r="H42" s="2404"/>
      <c r="I42" s="2575"/>
    </row>
    <row r="43" spans="1:9" ht="15" customHeight="1" thickBot="1" x14ac:dyDescent="0.25">
      <c r="A43" s="2365"/>
      <c r="B43" s="2396"/>
      <c r="C43" s="27" t="str">
        <f>OF!C71</f>
        <v>None of the above (the closest patches or corridors that large are &gt;1 km away).</v>
      </c>
      <c r="D43" s="213">
        <f>OF!D71</f>
        <v>0</v>
      </c>
      <c r="E43" s="301">
        <v>0</v>
      </c>
      <c r="F43" s="300">
        <f t="shared" si="3"/>
        <v>0</v>
      </c>
      <c r="G43" s="430"/>
      <c r="H43" s="2404"/>
      <c r="I43" s="2576"/>
    </row>
    <row r="44" spans="1:9" ht="45" customHeight="1" thickBot="1" x14ac:dyDescent="0.25">
      <c r="A44" s="2394" t="str">
        <f>OF!A99</f>
        <v>OF20</v>
      </c>
      <c r="B44" s="2326" t="str">
        <f>OF!B99</f>
        <v xml:space="preserve">Degraded Water Upstream </v>
      </c>
      <c r="C44" s="371" t="str">
        <f>OF!C99</f>
        <v xml:space="preserve">Sampling indicates a problem with concentrations of metals, hydrocarbons, nutrients, or other substances (excluding bacteria, acidic water, high temperatures) being present at levels harmful to aquatic life or humans, and:  </v>
      </c>
      <c r="D44" s="333"/>
      <c r="E44" s="427"/>
      <c r="F44" s="305"/>
      <c r="G44" s="428" t="str">
        <f>IF((D48=1),"", IF((D47=1),1, IF((D46=1),0.2, 0)))</f>
        <v/>
      </c>
      <c r="H44" s="2323" t="s">
        <v>1881</v>
      </c>
      <c r="I44" s="2574" t="s">
        <v>188</v>
      </c>
    </row>
    <row r="45" spans="1:9" ht="15" customHeight="1" x14ac:dyDescent="0.2">
      <c r="A45" s="2396"/>
      <c r="B45" s="2327"/>
      <c r="C45" s="1883" t="str">
        <f>OF!C100</f>
        <v>The condition is present within the AA.</v>
      </c>
      <c r="D45" s="212">
        <f>OF!D100</f>
        <v>0</v>
      </c>
      <c r="E45" s="324"/>
      <c r="F45" s="300"/>
      <c r="G45" s="429"/>
      <c r="H45" s="2324"/>
      <c r="I45" s="2575"/>
    </row>
    <row r="46" spans="1:9" ht="27" customHeight="1" x14ac:dyDescent="0.2">
      <c r="A46" s="2396"/>
      <c r="B46" s="2327"/>
      <c r="C46" s="1883" t="str">
        <f>OF!C101</f>
        <v>The condition is present in waters within 1 km that flow into the AA, but has not been documented in the AA itself.</v>
      </c>
      <c r="D46" s="212">
        <f>OF!D101</f>
        <v>0</v>
      </c>
      <c r="E46" s="324"/>
      <c r="F46" s="300"/>
      <c r="G46" s="430"/>
      <c r="H46" s="2324"/>
      <c r="I46" s="2575"/>
    </row>
    <row r="47" spans="1:9" ht="27" customHeight="1" x14ac:dyDescent="0.2">
      <c r="A47" s="2396"/>
      <c r="B47" s="2327"/>
      <c r="C47" s="1883" t="str">
        <f>OF!C102</f>
        <v>Sampling during both low water periods and times with high runoff (storms, snowmelt) indicates no problems in either the AA or inflowing waters.</v>
      </c>
      <c r="D47" s="212">
        <f>OF!D102</f>
        <v>0</v>
      </c>
      <c r="E47" s="324"/>
      <c r="F47" s="300"/>
      <c r="G47" s="430"/>
      <c r="H47" s="2324"/>
      <c r="I47" s="2575"/>
    </row>
    <row r="48" spans="1:9" ht="27" customHeight="1" thickBot="1" x14ac:dyDescent="0.25">
      <c r="A48" s="2408"/>
      <c r="B48" s="2328"/>
      <c r="C48" s="1885" t="str">
        <f>OF!C103</f>
        <v>Data are insufficient (no or inadequate sampling within 1 km, or condition exists only at &gt;1 km upstream). This is the situation for nearly all wetlands in this region.</v>
      </c>
      <c r="D48" s="572">
        <f>OF!D103</f>
        <v>1</v>
      </c>
      <c r="E48" s="328"/>
      <c r="F48" s="301"/>
      <c r="G48" s="431"/>
      <c r="H48" s="2325"/>
      <c r="I48" s="2576"/>
    </row>
    <row r="49" spans="1:30" ht="27" customHeight="1" thickBot="1" x14ac:dyDescent="0.25">
      <c r="A49" s="2586" t="str">
        <f>OF!A122</f>
        <v>OF25</v>
      </c>
      <c r="B49" s="2323" t="str">
        <f>OF!B122</f>
        <v>Aspect</v>
      </c>
      <c r="C49" s="105" t="str">
        <f>OF!C122</f>
        <v>The overland flow direction of most surface water (in streams, rivers, or runoff) that enters the AA is:</v>
      </c>
      <c r="D49" s="1335"/>
      <c r="E49" s="427"/>
      <c r="F49" s="305"/>
      <c r="G49" s="428">
        <f>IF((NoCA=1),"", MAX(F50:F52)/MAX(E50:E52))</f>
        <v>0.66666666666666663</v>
      </c>
      <c r="H49" s="2323" t="s">
        <v>2236</v>
      </c>
      <c r="I49" s="2574" t="s">
        <v>190</v>
      </c>
    </row>
    <row r="50" spans="1:30" ht="15" customHeight="1" x14ac:dyDescent="0.2">
      <c r="A50" s="2399"/>
      <c r="B50" s="2324"/>
      <c r="C50" s="1894" t="str">
        <f>OF!C123</f>
        <v>Northward (N, NE). north-facing contributing area.</v>
      </c>
      <c r="D50" s="213">
        <f>OF!D123</f>
        <v>0</v>
      </c>
      <c r="E50" s="324">
        <v>1</v>
      </c>
      <c r="F50" s="300">
        <f>D50*E50</f>
        <v>0</v>
      </c>
      <c r="G50" s="429"/>
      <c r="H50" s="2324"/>
      <c r="I50" s="2575"/>
    </row>
    <row r="51" spans="1:30" ht="15" customHeight="1" x14ac:dyDescent="0.2">
      <c r="A51" s="2399"/>
      <c r="B51" s="2324"/>
      <c r="C51" s="1471" t="str">
        <f>OF!C124</f>
        <v>Southward (S, SW). south-facing contributing area.</v>
      </c>
      <c r="D51" s="205">
        <f>OF!D124</f>
        <v>0</v>
      </c>
      <c r="E51" s="324">
        <v>3</v>
      </c>
      <c r="F51" s="300">
        <f>D51*E51</f>
        <v>0</v>
      </c>
      <c r="G51" s="430"/>
      <c r="H51" s="2324"/>
      <c r="I51" s="2575"/>
    </row>
    <row r="52" spans="1:30" ht="15" customHeight="1" thickBot="1" x14ac:dyDescent="0.25">
      <c r="A52" s="2553"/>
      <c r="B52" s="2325"/>
      <c r="C52" s="1479" t="str">
        <f>OF!C125</f>
        <v>Other (E, SE, W, NW), or no detectable uphill slope or input channel (flat).</v>
      </c>
      <c r="D52" s="206">
        <f>OF!D125</f>
        <v>1</v>
      </c>
      <c r="E52" s="328">
        <v>2</v>
      </c>
      <c r="F52" s="301">
        <f>D52*E52</f>
        <v>2</v>
      </c>
      <c r="G52" s="431"/>
      <c r="H52" s="2325"/>
      <c r="I52" s="2576"/>
    </row>
    <row r="53" spans="1:30" ht="57.75" customHeight="1" thickBot="1" x14ac:dyDescent="0.25">
      <c r="A53" s="1580" t="str">
        <f>OF!A133</f>
        <v>OF27</v>
      </c>
      <c r="B53" s="1576" t="str">
        <f>OF!B133</f>
        <v>Growing Degree Days</v>
      </c>
      <c r="C53" s="1975" t="str">
        <f>OF!C133</f>
        <v>In Google Earth, open the KMZ file that accompanies this calculator, called NB-PEI_GrowingDegreeDays. Place your cursor over the AA and left-click. From the pop-up, enter the GRIDCODE in the next column.</v>
      </c>
      <c r="D53" s="2066">
        <f>OF!D133</f>
        <v>2135</v>
      </c>
      <c r="E53" s="195"/>
      <c r="F53" s="307"/>
      <c r="G53" s="508">
        <f>IF((GrowD&lt;1),"",(GrowD-1305)/1328)</f>
        <v>0.625</v>
      </c>
      <c r="H53" s="1568" t="s">
        <v>1465</v>
      </c>
      <c r="I53" s="1578" t="s">
        <v>2407</v>
      </c>
    </row>
    <row r="54" spans="1:30" s="902" customFormat="1" ht="21" customHeight="1" thickBot="1" x14ac:dyDescent="0.25">
      <c r="A54" s="2326" t="str">
        <f>OF!A134</f>
        <v>OF28</v>
      </c>
      <c r="B54" s="2326" t="str">
        <f>OF!B134</f>
        <v>Fish Access or Use</v>
      </c>
      <c r="C54" s="371" t="str">
        <f>OF!C134</f>
        <v>According to agency biologists and/or your own observations, the AA. [Mark just the first choice that is true.]:</v>
      </c>
      <c r="D54" s="1335"/>
      <c r="E54" s="654"/>
      <c r="F54" s="305"/>
      <c r="G54" s="428" t="str">
        <f>IF((D58=1),1,"")</f>
        <v/>
      </c>
      <c r="H54" s="2323" t="s">
        <v>1634</v>
      </c>
      <c r="I54" s="2574" t="s">
        <v>187</v>
      </c>
      <c r="J54" s="14"/>
      <c r="K54" s="128"/>
      <c r="L54" s="14"/>
      <c r="M54" s="14"/>
      <c r="N54" s="14"/>
      <c r="O54" s="14"/>
      <c r="P54" s="14"/>
      <c r="Q54" s="14"/>
      <c r="R54" s="14"/>
      <c r="S54" s="14"/>
      <c r="T54" s="14"/>
      <c r="U54" s="14"/>
      <c r="V54" s="14"/>
      <c r="W54" s="14"/>
      <c r="X54" s="14"/>
      <c r="Y54" s="14"/>
      <c r="Z54" s="14"/>
      <c r="AA54" s="14"/>
      <c r="AB54" s="14"/>
      <c r="AC54" s="14"/>
      <c r="AD54" s="14"/>
    </row>
    <row r="55" spans="1:30" s="14" customFormat="1" ht="42" customHeight="1" x14ac:dyDescent="0.2">
      <c r="A55" s="2327"/>
      <c r="B55" s="2327"/>
      <c r="C55" s="1883" t="str">
        <f>OF!C135</f>
        <v>Is known to support rearing and/or spawning by Atlantic salmon or other anadromous species or eels.  In NB, consult Figure A-2 in Appendix A of the Manual.  Contact local fishery biologists, review the ACCDC report, and visit these websites: http://www.salmonatlas.com/atlanticsalmon/canada-east/index.1.html    http://atlanticsalmonfederation.org/rivers/introduction.html</v>
      </c>
      <c r="D55" s="212">
        <f>OF!D135</f>
        <v>0</v>
      </c>
      <c r="E55" s="560">
        <v>0</v>
      </c>
      <c r="F55" s="303">
        <f>D55*E55</f>
        <v>0</v>
      </c>
      <c r="G55" s="429"/>
      <c r="H55" s="2324"/>
      <c r="I55" s="2575"/>
      <c r="K55" s="128"/>
    </row>
    <row r="56" spans="1:30" s="14" customFormat="1" ht="42" customHeight="1" x14ac:dyDescent="0.2">
      <c r="A56" s="2327"/>
      <c r="B56" s="2327"/>
      <c r="C56" s="1620" t="str">
        <f>OF!C136</f>
        <v>Has not been documented to support Atlantic salmon rearing and/or spawning, but is connected to nearby waters likely to contain Atlantic salmon or other anadromous species or eels and is probably accessed by those during some conditions.</v>
      </c>
      <c r="D56" s="70">
        <f>OF!D136</f>
        <v>0</v>
      </c>
      <c r="E56" s="560">
        <v>0</v>
      </c>
      <c r="F56" s="303">
        <f>D56*E56</f>
        <v>0</v>
      </c>
      <c r="G56" s="430"/>
      <c r="H56" s="2324"/>
      <c r="I56" s="2575"/>
      <c r="K56" s="128"/>
    </row>
    <row r="57" spans="1:30" s="14" customFormat="1" ht="27" customHeight="1" x14ac:dyDescent="0.2">
      <c r="A57" s="2327"/>
      <c r="B57" s="2327"/>
      <c r="C57" s="1620" t="str">
        <f>OF!C137</f>
        <v>Is probably is not accessed by any anadromous fish species but is known or likely to have other fish at least seasonally.</v>
      </c>
      <c r="D57" s="70">
        <f>OF!D137</f>
        <v>1</v>
      </c>
      <c r="E57" s="560">
        <v>0</v>
      </c>
      <c r="F57" s="303">
        <f>D57*E57</f>
        <v>0</v>
      </c>
      <c r="G57" s="430"/>
      <c r="H57" s="2324"/>
      <c r="I57" s="2575"/>
      <c r="K57" s="128"/>
    </row>
    <row r="58" spans="1:30" s="903" customFormat="1" ht="27" customHeight="1" thickBot="1" x14ac:dyDescent="0.25">
      <c r="A58" s="2328"/>
      <c r="B58" s="2328"/>
      <c r="C58" s="1893" t="str">
        <f>OF!C138</f>
        <v xml:space="preserve">Is known or likely to be fishless (e.g., too small, dry, and/or not accessible even temporarily, and not stocked). </v>
      </c>
      <c r="D58" s="152">
        <f>OF!D138</f>
        <v>0</v>
      </c>
      <c r="E58" s="655">
        <v>1</v>
      </c>
      <c r="F58" s="301">
        <f>D58*E58</f>
        <v>0</v>
      </c>
      <c r="G58" s="431"/>
      <c r="H58" s="2325"/>
      <c r="I58" s="2576"/>
      <c r="J58" s="14"/>
      <c r="K58" s="128"/>
      <c r="L58" s="14"/>
      <c r="M58" s="14"/>
      <c r="N58" s="14"/>
      <c r="O58" s="14"/>
      <c r="P58" s="14"/>
      <c r="Q58" s="14"/>
      <c r="R58" s="14"/>
      <c r="S58" s="14"/>
      <c r="T58" s="14"/>
      <c r="U58" s="14"/>
      <c r="V58" s="14"/>
      <c r="W58" s="14"/>
      <c r="X58" s="14"/>
      <c r="Y58" s="14"/>
      <c r="Z58" s="14"/>
      <c r="AA58" s="14"/>
      <c r="AB58" s="14"/>
      <c r="AC58" s="14"/>
      <c r="AD58" s="14"/>
    </row>
    <row r="59" spans="1:30" s="14" customFormat="1" ht="60" customHeight="1" thickBot="1" x14ac:dyDescent="0.25">
      <c r="A59" s="1922" t="str">
        <f>OF!A152</f>
        <v>OF37</v>
      </c>
      <c r="B59" s="1922" t="str">
        <f>OF!B152</f>
        <v>Calcareous Region</v>
      </c>
      <c r="C59" s="1967" t="str">
        <f>OF!C152</f>
        <v xml:space="preserve">The AA is in an area that is at least partly underlain by soil, sediment, or bedrock that is highly calcareous (enter 3 in next column), moderately calcareous (enter 2), or slightly calcareous (enter 1), none= 0. Limestone is typically a major component (karst geology) and water is not acidic (pH is usually &gt;8).See Figure A-6 in Appendix A of the Manual.  If no map coverage, change to blank.
</v>
      </c>
      <c r="D59" s="194">
        <f>OF!D152</f>
        <v>0</v>
      </c>
      <c r="E59" s="2106"/>
      <c r="F59" s="313"/>
      <c r="G59" s="428">
        <f>IF((D59=""),"",D59/3)</f>
        <v>0</v>
      </c>
      <c r="H59" s="73" t="s">
        <v>2576</v>
      </c>
      <c r="I59" s="1231" t="s">
        <v>2577</v>
      </c>
      <c r="K59" s="128"/>
    </row>
    <row r="60" spans="1:30" ht="21" customHeight="1" thickBot="1" x14ac:dyDescent="0.25">
      <c r="A60" s="2326" t="str">
        <f>F!A4</f>
        <v>F1</v>
      </c>
      <c r="B60" s="2326" t="str">
        <f>F!B4</f>
        <v>Wetland Type</v>
      </c>
      <c r="C60" s="368" t="str">
        <f>F!C4</f>
        <v>Follow the key below and mark the ONE row that best describes MOST of the vegetated part of the AA:</v>
      </c>
      <c r="D60" s="940"/>
      <c r="E60" s="427"/>
      <c r="F60" s="322"/>
      <c r="G60" s="428">
        <f>MAX(F61:F66)/MAX(E61:E66)</f>
        <v>1</v>
      </c>
      <c r="H60" s="2323" t="s">
        <v>2278</v>
      </c>
      <c r="I60" s="2574" t="s">
        <v>162</v>
      </c>
    </row>
    <row r="61" spans="1:30" ht="57" customHeight="1" thickBot="1" x14ac:dyDescent="0.25">
      <c r="A61" s="2327"/>
      <c r="B61" s="2327"/>
      <c r="C61" s="103"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61" s="324"/>
      <c r="E61" s="324"/>
      <c r="F61" s="324"/>
      <c r="G61" s="429"/>
      <c r="H61" s="2324"/>
      <c r="I61" s="2575"/>
    </row>
    <row r="62" spans="1:30" ht="72" customHeight="1" x14ac:dyDescent="0.2">
      <c r="A62" s="2327"/>
      <c r="B62" s="2327"/>
      <c r="C62" s="369"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62" s="567">
        <f>F!D6</f>
        <v>0</v>
      </c>
      <c r="E62" s="324">
        <v>1</v>
      </c>
      <c r="F62" s="300">
        <f>D62*E62</f>
        <v>0</v>
      </c>
      <c r="G62" s="430"/>
      <c r="H62" s="2324"/>
      <c r="I62" s="2575"/>
    </row>
    <row r="63" spans="1:30" ht="57" customHeight="1" thickBot="1" x14ac:dyDescent="0.25">
      <c r="A63" s="2327"/>
      <c r="B63" s="2327"/>
      <c r="C63" s="375"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63" s="567">
        <f>F!D7</f>
        <v>0</v>
      </c>
      <c r="E63" s="324">
        <v>2</v>
      </c>
      <c r="F63" s="300">
        <f>D63*E63</f>
        <v>0</v>
      </c>
      <c r="G63" s="430"/>
      <c r="H63" s="2324"/>
      <c r="I63" s="2575"/>
    </row>
    <row r="64" spans="1:30" ht="30" customHeight="1" thickBot="1" x14ac:dyDescent="0.25">
      <c r="A64" s="2327"/>
      <c r="B64" s="2327"/>
      <c r="C64" s="103" t="str">
        <f>F!C8</f>
        <v>B. Moss and/or lichen cover less than 25% of the ground. Soil is mineral or decomposed organic (muck). Choose between B1 and B2 and mark the choice with a 1 in their adjoining column:</v>
      </c>
      <c r="D64" s="932"/>
      <c r="E64" s="324"/>
      <c r="F64" s="300"/>
      <c r="G64" s="429"/>
      <c r="H64" s="2324"/>
      <c r="I64" s="2575"/>
    </row>
    <row r="65" spans="1:67" ht="27" customHeight="1" x14ac:dyDescent="0.2">
      <c r="A65" s="2327"/>
      <c r="B65" s="2327"/>
      <c r="C65" s="369" t="str">
        <f>F!C9</f>
        <v>B1. Trees and shrubs taller than 1 m comprise more than 25% of the vegetated cover. Surface water is mostly absent or inundates the vegetation only seasonally (e.g., vernal pools or floodplain).</v>
      </c>
      <c r="D65" s="567">
        <f>F!D9</f>
        <v>0</v>
      </c>
      <c r="E65" s="324">
        <v>2</v>
      </c>
      <c r="F65" s="300">
        <f>D65*E65</f>
        <v>0</v>
      </c>
      <c r="G65" s="429"/>
      <c r="H65" s="2324"/>
      <c r="I65" s="2575"/>
    </row>
    <row r="66" spans="1:67" ht="42" customHeight="1" thickBot="1" x14ac:dyDescent="0.25">
      <c r="A66" s="2328"/>
      <c r="B66" s="2328"/>
      <c r="C66" s="370"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66" s="904">
        <f>F!D10</f>
        <v>1</v>
      </c>
      <c r="E66" s="328">
        <v>3</v>
      </c>
      <c r="F66" s="301">
        <f>D66*E66</f>
        <v>3</v>
      </c>
      <c r="G66" s="431"/>
      <c r="H66" s="2325"/>
      <c r="I66" s="2576"/>
    </row>
    <row r="67" spans="1:67" ht="45" customHeight="1" thickBot="1" x14ac:dyDescent="0.25">
      <c r="A67" s="2812" t="str">
        <f>F!A12</f>
        <v>F2</v>
      </c>
      <c r="B67" s="2327" t="str">
        <f>F!B12</f>
        <v xml:space="preserve">Wetland Types - Adjoining or Subordinate </v>
      </c>
      <c r="C67" s="1468" t="str">
        <f>F!C12</f>
        <v>If the AA is smaller than 1 ha, mark all other types that occupy more than 1% of the vegetated AA.  If the AA is larger than 1 ha, mark all other types which are within or adjacent to the AA and occupy more than 1 ha, as visible from the AA or as interpreted from aerial imagery.  Do not mark again the type marked in F1.</v>
      </c>
      <c r="D67" s="618"/>
      <c r="E67" s="330"/>
      <c r="F67" s="299"/>
      <c r="G67" s="434">
        <f>SUM(D68:D71)/3</f>
        <v>0.33333333333333331</v>
      </c>
      <c r="H67" s="2324" t="s">
        <v>2373</v>
      </c>
      <c r="I67" s="2574" t="s">
        <v>1691</v>
      </c>
    </row>
    <row r="68" spans="1:67" ht="15" customHeight="1" x14ac:dyDescent="0.2">
      <c r="A68" s="2812"/>
      <c r="B68" s="2327"/>
      <c r="C68" s="369" t="str">
        <f>F!C13</f>
        <v>A1.</v>
      </c>
      <c r="D68" s="70">
        <f>F!D13</f>
        <v>0</v>
      </c>
      <c r="E68" s="324"/>
      <c r="F68" s="300"/>
      <c r="G68" s="430"/>
      <c r="H68" s="2324"/>
      <c r="I68" s="2575"/>
    </row>
    <row r="69" spans="1:67" ht="15" customHeight="1" x14ac:dyDescent="0.2">
      <c r="A69" s="2812"/>
      <c r="B69" s="2327"/>
      <c r="C69" s="872" t="str">
        <f>F!C14</f>
        <v>A2.</v>
      </c>
      <c r="D69" s="70">
        <f>F!D14</f>
        <v>0</v>
      </c>
      <c r="E69" s="324"/>
      <c r="F69" s="300"/>
      <c r="G69" s="430"/>
      <c r="H69" s="2324"/>
      <c r="I69" s="2575"/>
    </row>
    <row r="70" spans="1:67" ht="15" customHeight="1" x14ac:dyDescent="0.2">
      <c r="A70" s="2812"/>
      <c r="B70" s="2327"/>
      <c r="C70" s="872" t="str">
        <f>F!C15</f>
        <v>B1.</v>
      </c>
      <c r="D70" s="70">
        <f>F!D15</f>
        <v>1</v>
      </c>
      <c r="E70" s="324"/>
      <c r="F70" s="300"/>
      <c r="G70" s="430"/>
      <c r="H70" s="2324"/>
      <c r="I70" s="2575"/>
    </row>
    <row r="71" spans="1:67" ht="15" customHeight="1" thickBot="1" x14ac:dyDescent="0.25">
      <c r="A71" s="2813"/>
      <c r="B71" s="2328"/>
      <c r="C71" s="370" t="str">
        <f>F!C16</f>
        <v>B2.</v>
      </c>
      <c r="D71" s="152">
        <f>F!D16</f>
        <v>0</v>
      </c>
      <c r="E71" s="328"/>
      <c r="F71" s="301"/>
      <c r="G71" s="431"/>
      <c r="H71" s="2325"/>
      <c r="I71" s="2576"/>
    </row>
    <row r="72" spans="1:67" s="10" customFormat="1" ht="48" customHeight="1" thickBot="1" x14ac:dyDescent="0.25">
      <c r="A72" s="2489" t="str">
        <f>F!A28</f>
        <v>F5</v>
      </c>
      <c r="B72" s="2404" t="str">
        <f>F!B28</f>
        <v>Woody Diameter Classes</v>
      </c>
      <c r="C72" s="1081" t="str">
        <f>F!C28</f>
        <v>Mark ALL the types that comprise &gt;5% of the woody canopy cover in the AA or &gt;5% of the wooded areas (if any) along its upland edge (perimeter).  The edge should include only the trees whose canopies extend into the AA.</v>
      </c>
      <c r="D72" s="1335"/>
      <c r="E72" s="299"/>
      <c r="F72" s="321"/>
      <c r="G72" s="434" t="str">
        <f>IF((MAX(F!D18:D21)&lt;2),"", ((SUM(D73:D80)/8+ MAX(F73:F80)/MAX(E73:E80))/2))</f>
        <v/>
      </c>
      <c r="H72" s="2404" t="s">
        <v>1635</v>
      </c>
      <c r="I72" s="2574" t="s">
        <v>170</v>
      </c>
      <c r="J72" s="11"/>
      <c r="K72" s="110"/>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row>
    <row r="73" spans="1:67" s="10" customFormat="1" ht="15" customHeight="1" x14ac:dyDescent="0.2">
      <c r="A73" s="2365"/>
      <c r="B73" s="2396"/>
      <c r="C73" s="27" t="str">
        <f>F!C29</f>
        <v>coniferous, 1-9 cm diameter and &gt;1 m tall.</v>
      </c>
      <c r="D73" s="213">
        <f>F!D29</f>
        <v>0</v>
      </c>
      <c r="E73" s="300">
        <v>1</v>
      </c>
      <c r="F73" s="300">
        <f t="shared" ref="F73:F87" si="4">D73*E73</f>
        <v>0</v>
      </c>
      <c r="G73" s="429"/>
      <c r="H73" s="2404"/>
      <c r="I73" s="2575"/>
      <c r="J73" s="11"/>
      <c r="K73" s="110"/>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row>
    <row r="74" spans="1:67" s="10" customFormat="1" ht="15" customHeight="1" x14ac:dyDescent="0.2">
      <c r="A74" s="2365"/>
      <c r="B74" s="2396"/>
      <c r="C74" s="5" t="str">
        <f>F!C30</f>
        <v>broad-leaved deciduous 1-9 cm diameter and &gt;1 m tall.</v>
      </c>
      <c r="D74" s="205">
        <f>F!D30</f>
        <v>0</v>
      </c>
      <c r="E74" s="300">
        <v>1</v>
      </c>
      <c r="F74" s="300">
        <f t="shared" si="4"/>
        <v>0</v>
      </c>
      <c r="G74" s="430"/>
      <c r="H74" s="2404"/>
      <c r="I74" s="2575"/>
      <c r="J74" s="11"/>
      <c r="K74" s="110"/>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row>
    <row r="75" spans="1:67" s="10" customFormat="1" ht="15" customHeight="1" x14ac:dyDescent="0.2">
      <c r="A75" s="2365"/>
      <c r="B75" s="2396"/>
      <c r="C75" s="5" t="str">
        <f>F!C31</f>
        <v>coniferous, 10-19 cm diameter.</v>
      </c>
      <c r="D75" s="205">
        <f>F!D31</f>
        <v>0</v>
      </c>
      <c r="E75" s="300">
        <v>2</v>
      </c>
      <c r="F75" s="300">
        <f t="shared" si="4"/>
        <v>0</v>
      </c>
      <c r="G75" s="430"/>
      <c r="H75" s="2404"/>
      <c r="I75" s="2575"/>
      <c r="J75" s="11"/>
      <c r="K75" s="110"/>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row>
    <row r="76" spans="1:67" s="10" customFormat="1" ht="15" customHeight="1" x14ac:dyDescent="0.2">
      <c r="A76" s="2365"/>
      <c r="B76" s="2396"/>
      <c r="C76" s="5" t="str">
        <f>F!C32</f>
        <v>broad-leaved deciduous 10-19 cm diameter.</v>
      </c>
      <c r="D76" s="205">
        <f>F!D32</f>
        <v>0</v>
      </c>
      <c r="E76" s="300">
        <v>2</v>
      </c>
      <c r="F76" s="300">
        <f t="shared" si="4"/>
        <v>0</v>
      </c>
      <c r="G76" s="430"/>
      <c r="H76" s="2404"/>
      <c r="I76" s="2575"/>
      <c r="J76" s="11"/>
      <c r="K76" s="110"/>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row>
    <row r="77" spans="1:67" s="10" customFormat="1" ht="15" customHeight="1" x14ac:dyDescent="0.2">
      <c r="A77" s="2365"/>
      <c r="B77" s="2396"/>
      <c r="C77" s="5" t="str">
        <f>F!C33</f>
        <v>coniferous, 20-40 cm diameter.</v>
      </c>
      <c r="D77" s="205">
        <f>F!D33</f>
        <v>0</v>
      </c>
      <c r="E77" s="300">
        <v>3</v>
      </c>
      <c r="F77" s="300">
        <f t="shared" si="4"/>
        <v>0</v>
      </c>
      <c r="G77" s="430"/>
      <c r="H77" s="2404"/>
      <c r="I77" s="2575"/>
      <c r="J77" s="11"/>
      <c r="K77" s="110"/>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row>
    <row r="78" spans="1:67" s="10" customFormat="1" ht="15" customHeight="1" x14ac:dyDescent="0.2">
      <c r="A78" s="2365"/>
      <c r="B78" s="2396"/>
      <c r="C78" s="5" t="str">
        <f>F!C34</f>
        <v>broad-leaved deciduous 20-40 cm diameter.</v>
      </c>
      <c r="D78" s="205">
        <f>F!D34</f>
        <v>0</v>
      </c>
      <c r="E78" s="300">
        <v>3</v>
      </c>
      <c r="F78" s="300">
        <f t="shared" si="4"/>
        <v>0</v>
      </c>
      <c r="G78" s="430"/>
      <c r="H78" s="2404"/>
      <c r="I78" s="2575"/>
      <c r="J78" s="11"/>
      <c r="K78" s="110"/>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row>
    <row r="79" spans="1:67" s="10" customFormat="1" ht="15" customHeight="1" x14ac:dyDescent="0.2">
      <c r="A79" s="2365"/>
      <c r="B79" s="2396"/>
      <c r="C79" s="5" t="str">
        <f>F!C35</f>
        <v>coniferous, &gt;40 cm diameter.</v>
      </c>
      <c r="D79" s="205">
        <f>F!D35</f>
        <v>0</v>
      </c>
      <c r="E79" s="300">
        <v>4</v>
      </c>
      <c r="F79" s="300">
        <f t="shared" si="4"/>
        <v>0</v>
      </c>
      <c r="G79" s="430"/>
      <c r="H79" s="2404"/>
      <c r="I79" s="2575"/>
      <c r="J79" s="11"/>
      <c r="K79" s="110"/>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row>
    <row r="80" spans="1:67" s="10" customFormat="1" ht="15" customHeight="1" thickBot="1" x14ac:dyDescent="0.25">
      <c r="A80" s="2365"/>
      <c r="B80" s="2396"/>
      <c r="C80" s="366" t="str">
        <f>F!C36</f>
        <v>broad-leaved deciduous &gt;40 cm diameter.</v>
      </c>
      <c r="D80" s="211">
        <f>F!D36</f>
        <v>0</v>
      </c>
      <c r="E80" s="303">
        <v>4</v>
      </c>
      <c r="F80" s="303">
        <f t="shared" si="4"/>
        <v>0</v>
      </c>
      <c r="G80" s="439"/>
      <c r="H80" s="2404"/>
      <c r="I80" s="2576"/>
      <c r="J80" s="11"/>
      <c r="K80" s="110"/>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row>
    <row r="81" spans="1:67" s="10" customFormat="1" ht="21" customHeight="1" thickBot="1" x14ac:dyDescent="0.25">
      <c r="A81" s="2326" t="str">
        <f>F!A37</f>
        <v>F6</v>
      </c>
      <c r="B81" s="2326" t="str">
        <f>F!B37</f>
        <v>Height Class Interspersion</v>
      </c>
      <c r="C81" s="368" t="str">
        <f>F!C37</f>
        <v>Follow the key below and mark the ONE row that best describes MOST of the AA:</v>
      </c>
      <c r="D81" s="315"/>
      <c r="E81" s="304"/>
      <c r="F81" s="304"/>
      <c r="G81" s="425" t="str">
        <f>IF((MAX(F!D18:D21)&lt;2),"", MAX(F83:F87)/MAX(E83:E87))</f>
        <v/>
      </c>
      <c r="H81" s="2697" t="s">
        <v>1581</v>
      </c>
      <c r="I81" s="2574" t="s">
        <v>1582</v>
      </c>
      <c r="J81" s="11"/>
      <c r="K81" s="110"/>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row>
    <row r="82" spans="1:67" s="10" customFormat="1" ht="39" thickBot="1" x14ac:dyDescent="0.25">
      <c r="A82" s="2327"/>
      <c r="B82" s="2327"/>
      <c r="C82" s="368" t="str">
        <f>F!C38</f>
        <v xml:space="preserve">A. Neither the vegetation taller than 1 m nor the vegetation shorter than that comprise &gt;70% of the vegetated part of the AA.  They each comprise 30-70%.  Choose between A1 and A2 and mark the choice with a 1 in the adjoining column.  Otherwise go to B below. </v>
      </c>
      <c r="D82" s="318"/>
      <c r="E82" s="299"/>
      <c r="F82" s="299"/>
      <c r="G82" s="1063"/>
      <c r="H82" s="2723"/>
      <c r="I82" s="2575"/>
      <c r="J82" s="11"/>
      <c r="K82" s="110"/>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row>
    <row r="83" spans="1:67" s="10" customFormat="1" ht="15" customHeight="1" x14ac:dyDescent="0.2">
      <c r="A83" s="2327"/>
      <c r="B83" s="2327"/>
      <c r="C83" s="369" t="str">
        <f>F!C39</f>
        <v>A1. The two height classes are mostly scattered and intermixed throughout the AA.</v>
      </c>
      <c r="D83" s="567">
        <f>F!D39</f>
        <v>0</v>
      </c>
      <c r="E83" s="300">
        <v>3</v>
      </c>
      <c r="F83" s="300">
        <f t="shared" si="4"/>
        <v>0</v>
      </c>
      <c r="G83" s="1063"/>
      <c r="H83" s="2723"/>
      <c r="I83" s="2575"/>
      <c r="J83" s="11"/>
      <c r="K83" s="110"/>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row>
    <row r="84" spans="1:67" s="10" customFormat="1" ht="27" customHeight="1" thickBot="1" x14ac:dyDescent="0.25">
      <c r="A84" s="2327"/>
      <c r="B84" s="2327"/>
      <c r="C84" s="375" t="str">
        <f>F!C40</f>
        <v>A2. Not A1.  The two height classes are mostly in separate zones or bands, or in proportionately large clumps.</v>
      </c>
      <c r="D84" s="567">
        <f>F!D40</f>
        <v>0</v>
      </c>
      <c r="E84" s="300">
        <v>2</v>
      </c>
      <c r="F84" s="300">
        <f t="shared" si="4"/>
        <v>0</v>
      </c>
      <c r="G84" s="1063"/>
      <c r="H84" s="2723"/>
      <c r="I84" s="2575"/>
      <c r="J84" s="11"/>
      <c r="K84" s="110"/>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row>
    <row r="85" spans="1:67" s="10" customFormat="1" ht="39" thickBot="1" x14ac:dyDescent="0.25">
      <c r="A85" s="2327"/>
      <c r="B85" s="2327"/>
      <c r="C85" s="368" t="str">
        <f>F!C41</f>
        <v>B. Either the vegetation shorter than 1 m comprises &gt;70% of the vegetated part of the AA, or the vegetation taller than that does.  One size class might even be totally absent.  Choose between B1 and B2 and mark the choice with a 1 in the adjoining column:</v>
      </c>
      <c r="D85" s="316"/>
      <c r="E85" s="300"/>
      <c r="F85" s="300"/>
      <c r="G85" s="1063"/>
      <c r="H85" s="2723"/>
      <c r="I85" s="2575"/>
      <c r="J85" s="11"/>
      <c r="K85" s="110"/>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row>
    <row r="86" spans="1:67" s="10" customFormat="1" ht="15" customHeight="1" x14ac:dyDescent="0.2">
      <c r="A86" s="2327"/>
      <c r="B86" s="2327"/>
      <c r="C86" s="369" t="str">
        <f>F!C42</f>
        <v>B1. The less prevalent height class is mostly scattered and intermixed within the prevalent one.</v>
      </c>
      <c r="D86" s="567">
        <f>F!D42</f>
        <v>0</v>
      </c>
      <c r="E86" s="300">
        <v>1</v>
      </c>
      <c r="F86" s="300">
        <f t="shared" si="4"/>
        <v>0</v>
      </c>
      <c r="G86" s="1063"/>
      <c r="H86" s="2723"/>
      <c r="I86" s="2575"/>
      <c r="J86" s="11"/>
      <c r="K86" s="110"/>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row>
    <row r="87" spans="1:67" s="10" customFormat="1" ht="27" customHeight="1" thickBot="1" x14ac:dyDescent="0.25">
      <c r="A87" s="2328"/>
      <c r="B87" s="2328"/>
      <c r="C87" s="370" t="str">
        <f>F!C43</f>
        <v>B2. Not B1.  The less prevalent height class is mostly located apart from the prevalent one, in separate zones or clumps, or is completely absent.</v>
      </c>
      <c r="D87" s="904">
        <f>F!D43</f>
        <v>0</v>
      </c>
      <c r="E87" s="301">
        <v>0</v>
      </c>
      <c r="F87" s="301">
        <f t="shared" si="4"/>
        <v>0</v>
      </c>
      <c r="G87" s="1064"/>
      <c r="H87" s="2795"/>
      <c r="I87" s="2576"/>
      <c r="J87" s="11"/>
      <c r="K87" s="110"/>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row>
    <row r="88" spans="1:67" ht="36" customHeight="1" thickBot="1" x14ac:dyDescent="0.25">
      <c r="A88" s="2371" t="str">
        <f>F!A48</f>
        <v>F8</v>
      </c>
      <c r="B88" s="2404" t="str">
        <f>F!B48</f>
        <v>Downed Wood</v>
      </c>
      <c r="C88" s="895" t="str">
        <f>F!C48</f>
        <v>The number of downed wood pieces longer than 2 m and with diameter &gt;10 cm, and not persistently submerged, is:</v>
      </c>
      <c r="D88" s="1504"/>
      <c r="E88" s="299"/>
      <c r="F88" s="321"/>
      <c r="G88" s="434" t="str">
        <f>IF((MAX(F!D18:D21)&lt;2),"", IF((D89=1),1, ""))</f>
        <v/>
      </c>
      <c r="H88" s="2732" t="s">
        <v>1576</v>
      </c>
      <c r="I88" s="2574" t="s">
        <v>171</v>
      </c>
    </row>
    <row r="89" spans="1:67" ht="24" customHeight="1" x14ac:dyDescent="0.2">
      <c r="A89" s="2371"/>
      <c r="B89" s="2404"/>
      <c r="C89" s="27" t="str">
        <f>F!C49</f>
        <v>Few or none that meet these criteria.</v>
      </c>
      <c r="D89" s="213">
        <f>F!D49</f>
        <v>0</v>
      </c>
      <c r="E89" s="300">
        <v>0</v>
      </c>
      <c r="F89" s="300">
        <f>D89*E89</f>
        <v>0</v>
      </c>
      <c r="G89" s="429"/>
      <c r="H89" s="2730"/>
      <c r="I89" s="2575"/>
    </row>
    <row r="90" spans="1:67" ht="24" customHeight="1" thickBot="1" x14ac:dyDescent="0.25">
      <c r="A90" s="2490"/>
      <c r="B90" s="2530"/>
      <c r="C90" s="153" t="str">
        <f>F!C50</f>
        <v>Several (&gt;5 if AA is &gt;5 hectares, less for smaller AAs) meet these criteria.</v>
      </c>
      <c r="D90" s="206">
        <f>F!D50</f>
        <v>0</v>
      </c>
      <c r="E90" s="301">
        <v>1</v>
      </c>
      <c r="F90" s="301">
        <f>D90*E90</f>
        <v>0</v>
      </c>
      <c r="G90" s="431"/>
      <c r="H90" s="2731"/>
      <c r="I90" s="2576"/>
    </row>
    <row r="91" spans="1:67" s="10" customFormat="1" ht="30" customHeight="1" thickBot="1" x14ac:dyDescent="0.25">
      <c r="A91" s="2489" t="str">
        <f>F!A63</f>
        <v>F11</v>
      </c>
      <c r="B91" s="2529" t="str">
        <f>F!B63</f>
        <v>% Bare Ground &amp; Thatch</v>
      </c>
      <c r="C91" s="365" t="str">
        <f>F!C63</f>
        <v>Consider the parts of the AA that lack surface water at the driest time of the growing season. Viewed from directly above the ground layer, the predominant condition in those areas at that time is:</v>
      </c>
      <c r="D91" s="1335"/>
      <c r="E91" s="304"/>
      <c r="F91" s="322"/>
      <c r="G91" s="428">
        <f>MAX(F92:F95)/MAX(E92:E95)</f>
        <v>1</v>
      </c>
      <c r="H91" s="2529" t="s">
        <v>1466</v>
      </c>
      <c r="I91" s="2574" t="s">
        <v>172</v>
      </c>
      <c r="J91" s="11"/>
      <c r="K91" s="110"/>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row>
    <row r="92" spans="1:67" s="10" customFormat="1" ht="42" customHeight="1" x14ac:dyDescent="0.2">
      <c r="A92" s="2365"/>
      <c r="B92" s="2396"/>
      <c r="C92" s="27" t="str">
        <f>F!C64</f>
        <v>Little or no (&lt;5%) bare ground is visible between erect stems or under canopy anywhere in the vegetated AA. Ground is extensively blanketed by dense thatch, moss, lichens, graminoids with great stem densities, or plants with ground-hugging foliage. </v>
      </c>
      <c r="D92" s="213">
        <f>F!D64</f>
        <v>0</v>
      </c>
      <c r="E92" s="556">
        <v>2</v>
      </c>
      <c r="F92" s="300">
        <f>D92*E92</f>
        <v>0</v>
      </c>
      <c r="G92" s="429"/>
      <c r="H92" s="2404"/>
      <c r="I92" s="2575"/>
      <c r="J92" s="11"/>
      <c r="K92" s="110"/>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row>
    <row r="93" spans="1:67" s="10" customFormat="1" ht="27" customHeight="1" x14ac:dyDescent="0.2">
      <c r="A93" s="2365"/>
      <c r="B93" s="2396"/>
      <c r="C93" s="5" t="str">
        <f>F!C65</f>
        <v>Slightly bare ground (5-20% bare between plants) is visible in places, but those areas comprise less than 5% of the unflooded parts of the AA.</v>
      </c>
      <c r="D93" s="205">
        <f>F!D65</f>
        <v>1</v>
      </c>
      <c r="E93" s="556">
        <v>3</v>
      </c>
      <c r="F93" s="300">
        <f>D93*E93</f>
        <v>3</v>
      </c>
      <c r="G93" s="430"/>
      <c r="H93" s="2404"/>
      <c r="I93" s="2575"/>
      <c r="J93" s="11"/>
      <c r="K93" s="110"/>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row>
    <row r="94" spans="1:67" s="10" customFormat="1" ht="27" customHeight="1" x14ac:dyDescent="0.2">
      <c r="A94" s="2365"/>
      <c r="B94" s="2396"/>
      <c r="C94" s="5" t="str">
        <f>F!C66</f>
        <v>Much bare ground (20-50% bare between plants) is visible in places, and those areas comprise more than 5% of the unflooded parts of the AA. </v>
      </c>
      <c r="D94" s="205">
        <f>F!D66</f>
        <v>0</v>
      </c>
      <c r="E94" s="556">
        <v>1</v>
      </c>
      <c r="F94" s="300">
        <f>D94*E94</f>
        <v>0</v>
      </c>
      <c r="G94" s="430"/>
      <c r="H94" s="2404"/>
      <c r="I94" s="2575"/>
      <c r="J94" s="11"/>
      <c r="K94" s="110"/>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row>
    <row r="95" spans="1:67" s="10" customFormat="1" ht="15" customHeight="1" thickBot="1" x14ac:dyDescent="0.25">
      <c r="A95" s="2367"/>
      <c r="B95" s="2408"/>
      <c r="C95" s="153" t="str">
        <f>F!C67</f>
        <v>Other conditions.</v>
      </c>
      <c r="D95" s="206">
        <f>F!D67</f>
        <v>0</v>
      </c>
      <c r="E95" s="559">
        <v>0</v>
      </c>
      <c r="F95" s="301">
        <f>D95*E95</f>
        <v>0</v>
      </c>
      <c r="G95" s="431"/>
      <c r="H95" s="2530"/>
      <c r="I95" s="2576"/>
      <c r="J95" s="11"/>
      <c r="K95" s="110"/>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row>
    <row r="96" spans="1:67" s="18" customFormat="1" ht="60" customHeight="1" thickBot="1" x14ac:dyDescent="0.25">
      <c r="A96" s="2737" t="str">
        <f>F!A69</f>
        <v>F12</v>
      </c>
      <c r="B96" s="2404" t="str">
        <f>F!B69</f>
        <v xml:space="preserve">Ground Irregularity </v>
      </c>
      <c r="C96" s="575"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96" s="940"/>
      <c r="E96" s="299"/>
      <c r="F96" s="321"/>
      <c r="G96" s="434">
        <f>MAX(F97:F99)/MAX(E97:E99)</f>
        <v>0.5</v>
      </c>
      <c r="H96" s="2732" t="s">
        <v>449</v>
      </c>
      <c r="I96" s="2574" t="s">
        <v>173</v>
      </c>
      <c r="J96" s="11"/>
      <c r="K96" s="110"/>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24"/>
    </row>
    <row r="97" spans="1:67" s="18" customFormat="1" ht="27" customHeight="1" x14ac:dyDescent="0.2">
      <c r="A97" s="2670"/>
      <c r="B97" s="2396"/>
      <c r="C97" s="27" t="str">
        <f>F!C70</f>
        <v>Few or none (minimal microtopography; &lt;1% of the land has such features, or entire AA is always water-covered).</v>
      </c>
      <c r="D97" s="205">
        <f>F!D70</f>
        <v>0</v>
      </c>
      <c r="E97" s="556">
        <v>0</v>
      </c>
      <c r="F97" s="300">
        <f>D97*E97</f>
        <v>0</v>
      </c>
      <c r="G97" s="429"/>
      <c r="H97" s="2730"/>
      <c r="I97" s="2575"/>
      <c r="J97" s="11"/>
      <c r="K97" s="110"/>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24"/>
    </row>
    <row r="98" spans="1:67" s="18" customFormat="1" ht="15" customHeight="1" x14ac:dyDescent="0.2">
      <c r="A98" s="2670"/>
      <c r="B98" s="2396"/>
      <c r="C98" s="5" t="str">
        <f>F!C71</f>
        <v>Intermediate.</v>
      </c>
      <c r="D98" s="205">
        <f>F!D71</f>
        <v>1</v>
      </c>
      <c r="E98" s="300">
        <v>1</v>
      </c>
      <c r="F98" s="300">
        <f>D98*E98</f>
        <v>1</v>
      </c>
      <c r="G98" s="430"/>
      <c r="H98" s="2730"/>
      <c r="I98" s="2575"/>
      <c r="J98" s="11"/>
      <c r="K98" s="110"/>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24"/>
    </row>
    <row r="99" spans="1:67" s="18" customFormat="1" ht="15" customHeight="1" thickBot="1" x14ac:dyDescent="0.25">
      <c r="A99" s="2670"/>
      <c r="B99" s="2396"/>
      <c r="C99" s="366" t="str">
        <f>F!C72</f>
        <v>Several (extensive micro-topography).</v>
      </c>
      <c r="D99" s="211">
        <f>F!D72</f>
        <v>0</v>
      </c>
      <c r="E99" s="303">
        <v>2</v>
      </c>
      <c r="F99" s="303">
        <f>D99*E99</f>
        <v>0</v>
      </c>
      <c r="G99" s="439"/>
      <c r="H99" s="2733"/>
      <c r="I99" s="2576"/>
      <c r="J99" s="11"/>
      <c r="K99" s="110"/>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24"/>
    </row>
    <row r="100" spans="1:67" s="10" customFormat="1" ht="21" customHeight="1" thickBot="1" x14ac:dyDescent="0.25">
      <c r="A100" s="2586" t="str">
        <f>F!A73</f>
        <v>F13</v>
      </c>
      <c r="B100" s="2323" t="str">
        <f>F!B73</f>
        <v>Upland Inclusions</v>
      </c>
      <c r="C100" s="365" t="str">
        <f>F!C73</f>
        <v>Within the AA, inclusions of upland are:</v>
      </c>
      <c r="D100" s="1335"/>
      <c r="E100" s="304"/>
      <c r="F100" s="305"/>
      <c r="G100" s="428" t="str">
        <f>IF((D101=1),"", MAX(F101:F103)/MAX(E101:E103))</f>
        <v/>
      </c>
      <c r="H100" s="2529" t="s">
        <v>450</v>
      </c>
      <c r="I100" s="2574" t="s">
        <v>174</v>
      </c>
      <c r="J100" s="11"/>
      <c r="K100" s="110"/>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row>
    <row r="101" spans="1:67" s="10" customFormat="1" ht="15" customHeight="1" x14ac:dyDescent="0.2">
      <c r="A101" s="2399"/>
      <c r="B101" s="2324"/>
      <c r="C101" s="27" t="str">
        <f>F!C74</f>
        <v>Few or none.</v>
      </c>
      <c r="D101" s="213">
        <f>F!D74</f>
        <v>1</v>
      </c>
      <c r="E101" s="300">
        <v>1</v>
      </c>
      <c r="F101" s="300">
        <f>D101*E101</f>
        <v>1</v>
      </c>
      <c r="G101" s="429"/>
      <c r="H101" s="2404"/>
      <c r="I101" s="2575"/>
      <c r="J101" s="11"/>
      <c r="K101" s="110"/>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row>
    <row r="102" spans="1:67" s="10" customFormat="1" ht="15" customHeight="1" x14ac:dyDescent="0.2">
      <c r="A102" s="2399"/>
      <c r="B102" s="2324"/>
      <c r="C102" s="5" t="str">
        <f>F!C75</f>
        <v>Intermediate (1 - 10% of vegetated part of the AA).</v>
      </c>
      <c r="D102" s="205">
        <f>F!D75</f>
        <v>0</v>
      </c>
      <c r="E102" s="300">
        <v>2</v>
      </c>
      <c r="F102" s="300">
        <f>D102*E102</f>
        <v>0</v>
      </c>
      <c r="G102" s="429"/>
      <c r="H102" s="2404"/>
      <c r="I102" s="2575"/>
      <c r="J102" s="11"/>
      <c r="K102" s="110"/>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row>
    <row r="103" spans="1:67" s="10" customFormat="1" ht="15" customHeight="1" thickBot="1" x14ac:dyDescent="0.25">
      <c r="A103" s="2399"/>
      <c r="B103" s="2324"/>
      <c r="C103" s="366" t="str">
        <f>F!C76</f>
        <v>Many (e.g., wetland-upland "mosaic", &gt;10% of the vegetated AA).</v>
      </c>
      <c r="D103" s="211">
        <f>F!D76</f>
        <v>0</v>
      </c>
      <c r="E103" s="303">
        <v>3</v>
      </c>
      <c r="F103" s="303">
        <f>D103*E103</f>
        <v>0</v>
      </c>
      <c r="G103" s="439"/>
      <c r="H103" s="2404"/>
      <c r="I103" s="2576"/>
      <c r="J103" s="11"/>
      <c r="K103" s="110"/>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row>
    <row r="104" spans="1:67" s="10" customFormat="1" ht="30" customHeight="1" thickBot="1" x14ac:dyDescent="0.25">
      <c r="A104" s="2339" t="str">
        <f>F!A88</f>
        <v>F16</v>
      </c>
      <c r="B104" s="2339" t="str">
        <f>F!B88</f>
        <v>Herbaceous % of Vegetated Wetland</v>
      </c>
      <c r="C104" s="131" t="str">
        <f>F!C88</f>
        <v>In aerial ("ducks eye") view, the maximum annual cover of herbaceous vegetation (all non-woody plants except moss) is:</v>
      </c>
      <c r="D104" s="940"/>
      <c r="E104" s="427"/>
      <c r="F104" s="305"/>
      <c r="G104" s="428">
        <f>MAX(F105:F109)/MAX(E105:E109)</f>
        <v>1</v>
      </c>
      <c r="H104" s="2323" t="s">
        <v>1636</v>
      </c>
      <c r="I104" s="2574" t="s">
        <v>313</v>
      </c>
      <c r="J104" s="11"/>
      <c r="K104" s="110"/>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row>
    <row r="105" spans="1:67" s="10" customFormat="1" ht="27" customHeight="1" x14ac:dyDescent="0.2">
      <c r="A105" s="2340"/>
      <c r="B105" s="2340"/>
      <c r="C105" s="1328" t="str">
        <f>F!C89</f>
        <v>&lt;5% of the vegetated part of the AA or &lt;0.01 hectare (whichever is less). Mark "1" here and SKIP to F20 (Invasive Plant Cover).</v>
      </c>
      <c r="D105" s="216">
        <f>F!D89</f>
        <v>0</v>
      </c>
      <c r="E105" s="932">
        <v>1</v>
      </c>
      <c r="F105" s="300">
        <f>D105*E105</f>
        <v>0</v>
      </c>
      <c r="G105" s="429"/>
      <c r="H105" s="2324"/>
      <c r="I105" s="2575"/>
      <c r="J105" s="11"/>
      <c r="K105" s="110"/>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row>
    <row r="106" spans="1:67" s="10" customFormat="1" ht="15" customHeight="1" x14ac:dyDescent="0.2">
      <c r="A106" s="2340"/>
      <c r="B106" s="2340"/>
      <c r="C106" s="1327" t="str">
        <f>F!C90</f>
        <v>5-25% of the vegetated part of the AA.</v>
      </c>
      <c r="D106" s="216">
        <f>F!D90</f>
        <v>0</v>
      </c>
      <c r="E106" s="932">
        <v>2</v>
      </c>
      <c r="F106" s="300">
        <f>D106*E106</f>
        <v>0</v>
      </c>
      <c r="G106" s="430"/>
      <c r="H106" s="2324"/>
      <c r="I106" s="2575"/>
      <c r="J106" s="11"/>
      <c r="K106" s="110"/>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row>
    <row r="107" spans="1:67" s="10" customFormat="1" ht="15" customHeight="1" x14ac:dyDescent="0.2">
      <c r="A107" s="2340"/>
      <c r="B107" s="2340"/>
      <c r="C107" s="1327" t="str">
        <f>F!C91</f>
        <v>25-50% of the vegetated part of the AA.</v>
      </c>
      <c r="D107" s="216">
        <f>F!D91</f>
        <v>0</v>
      </c>
      <c r="E107" s="932">
        <v>3</v>
      </c>
      <c r="F107" s="300">
        <f>D107*E107</f>
        <v>0</v>
      </c>
      <c r="G107" s="430"/>
      <c r="H107" s="2324"/>
      <c r="I107" s="2575"/>
      <c r="J107" s="11"/>
      <c r="K107" s="110"/>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row>
    <row r="108" spans="1:67" s="10" customFormat="1" ht="15" customHeight="1" x14ac:dyDescent="0.2">
      <c r="A108" s="2340"/>
      <c r="B108" s="2340"/>
      <c r="C108" s="1327" t="str">
        <f>F!C92</f>
        <v>50-95% of the vegetated part of the AA.</v>
      </c>
      <c r="D108" s="216">
        <f>F!D92</f>
        <v>1</v>
      </c>
      <c r="E108" s="932">
        <v>4</v>
      </c>
      <c r="F108" s="300">
        <f>D108*E108</f>
        <v>4</v>
      </c>
      <c r="G108" s="430"/>
      <c r="H108" s="2324"/>
      <c r="I108" s="2575"/>
      <c r="J108" s="11"/>
      <c r="K108" s="110"/>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row>
    <row r="109" spans="1:67" s="10" customFormat="1" ht="15" customHeight="1" thickBot="1" x14ac:dyDescent="0.25">
      <c r="A109" s="2341"/>
      <c r="B109" s="2341"/>
      <c r="C109" s="939" t="str">
        <f>F!C93</f>
        <v>&gt;95% of the vegetated part of the AA.</v>
      </c>
      <c r="D109" s="240">
        <f>F!D93</f>
        <v>0</v>
      </c>
      <c r="E109" s="987">
        <v>3</v>
      </c>
      <c r="F109" s="301">
        <f>D109*E109</f>
        <v>0</v>
      </c>
      <c r="G109" s="431"/>
      <c r="H109" s="2325"/>
      <c r="I109" s="2576"/>
      <c r="J109" s="11"/>
      <c r="K109" s="110"/>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row>
    <row r="110" spans="1:67" s="2" customFormat="1" ht="30" customHeight="1" thickBot="1" x14ac:dyDescent="0.25">
      <c r="A110" s="2752" t="str">
        <f>F!A121</f>
        <v>F24</v>
      </c>
      <c r="B110" s="2324" t="str">
        <f>F!B121</f>
        <v>% of AA Without Surface Water</v>
      </c>
      <c r="C110" s="575" t="str">
        <f>F!C121</f>
        <v>The percentage of the AA that never contains surface water during an average year (that is, except perhaps for a few hours after snowmelt or rainstorms), but which is still a wetland, is:</v>
      </c>
      <c r="D110" s="1335"/>
      <c r="E110" s="318"/>
      <c r="F110" s="319"/>
      <c r="G110" s="434">
        <f>MAX(F111:F116)/MAX(E111:E116)</f>
        <v>0.83333333333333337</v>
      </c>
      <c r="H110" s="2324" t="s">
        <v>1637</v>
      </c>
      <c r="I110" s="2323" t="s">
        <v>657</v>
      </c>
      <c r="K110" s="151"/>
    </row>
    <row r="111" spans="1:67" s="2" customFormat="1" ht="15" customHeight="1" x14ac:dyDescent="0.2">
      <c r="A111" s="2752"/>
      <c r="B111" s="2324"/>
      <c r="C111" s="545" t="str">
        <f>F!C122</f>
        <v xml:space="preserve">&lt;1% . In other words, all or nearly all of the AA is covered by water permanently or at least seasonally.  </v>
      </c>
      <c r="D111" s="236">
        <f>F!D122</f>
        <v>1</v>
      </c>
      <c r="E111" s="300">
        <v>5</v>
      </c>
      <c r="F111" s="300">
        <f t="shared" ref="F111:F116" si="5">D111*E111</f>
        <v>5</v>
      </c>
      <c r="G111" s="549"/>
      <c r="H111" s="2324"/>
      <c r="I111" s="2324"/>
      <c r="K111" s="151"/>
    </row>
    <row r="112" spans="1:67" s="2" customFormat="1" ht="15" customHeight="1" x14ac:dyDescent="0.2">
      <c r="A112" s="2752"/>
      <c r="B112" s="2324"/>
      <c r="C112" s="545" t="str">
        <f>F!C123</f>
        <v>1-25% of the AA,  or &lt;1% but &gt;0.01 ha never contains surface water.</v>
      </c>
      <c r="D112" s="236">
        <f>F!D123</f>
        <v>0</v>
      </c>
      <c r="E112" s="300">
        <v>6</v>
      </c>
      <c r="F112" s="300">
        <f t="shared" si="5"/>
        <v>0</v>
      </c>
      <c r="G112" s="549"/>
      <c r="H112" s="2324"/>
      <c r="I112" s="2324"/>
      <c r="K112" s="151"/>
    </row>
    <row r="113" spans="1:11" s="2" customFormat="1" ht="15" customHeight="1" x14ac:dyDescent="0.2">
      <c r="A113" s="2752"/>
      <c r="B113" s="2324"/>
      <c r="C113" s="545" t="str">
        <f>F!C124</f>
        <v>25-50% of the AA never contains surface water.</v>
      </c>
      <c r="D113" s="236">
        <f>F!D124</f>
        <v>0</v>
      </c>
      <c r="E113" s="300">
        <v>4</v>
      </c>
      <c r="F113" s="300">
        <f t="shared" si="5"/>
        <v>0</v>
      </c>
      <c r="G113" s="549"/>
      <c r="H113" s="2324"/>
      <c r="I113" s="2324"/>
      <c r="K113" s="151"/>
    </row>
    <row r="114" spans="1:11" s="2" customFormat="1" ht="15" customHeight="1" x14ac:dyDescent="0.2">
      <c r="A114" s="2752"/>
      <c r="B114" s="2324"/>
      <c r="C114" s="545" t="str">
        <f>F!C125</f>
        <v>50-75% of the AA never contains surface water.</v>
      </c>
      <c r="D114" s="236">
        <f>F!D125</f>
        <v>0</v>
      </c>
      <c r="E114" s="300">
        <v>3</v>
      </c>
      <c r="F114" s="300">
        <f t="shared" si="5"/>
        <v>0</v>
      </c>
      <c r="G114" s="549"/>
      <c r="H114" s="2324"/>
      <c r="I114" s="2324"/>
      <c r="K114" s="151"/>
    </row>
    <row r="115" spans="1:11" s="2" customFormat="1" ht="27" customHeight="1" x14ac:dyDescent="0.2">
      <c r="A115" s="2752"/>
      <c r="B115" s="2324"/>
      <c r="C115" s="545" t="str">
        <f>F!C126</f>
        <v>75-99% of the AA never contains surface water, OR &gt;99% and there is at least one persistently ponded water body larger than 1 ha in the AA.</v>
      </c>
      <c r="D115" s="236">
        <f>F!D126</f>
        <v>0</v>
      </c>
      <c r="E115" s="300">
        <v>2</v>
      </c>
      <c r="F115" s="300">
        <f t="shared" si="5"/>
        <v>0</v>
      </c>
      <c r="G115" s="549"/>
      <c r="H115" s="2324"/>
      <c r="I115" s="2324"/>
      <c r="K115" s="151"/>
    </row>
    <row r="116" spans="1:11" s="2" customFormat="1" ht="27" customHeight="1" thickBot="1" x14ac:dyDescent="0.25">
      <c r="A116" s="2752"/>
      <c r="B116" s="2324"/>
      <c r="C116" s="545" t="str">
        <f>F!C127</f>
        <v>99-100%. AND there is no persistently ponded water body larger than 1 ha within the AA. Enter "1" and SKIP to F42 (Channel Connection).</v>
      </c>
      <c r="D116" s="236">
        <f>F!D127</f>
        <v>0</v>
      </c>
      <c r="E116" s="303">
        <v>1</v>
      </c>
      <c r="F116" s="303">
        <f t="shared" si="5"/>
        <v>0</v>
      </c>
      <c r="G116" s="558"/>
      <c r="H116" s="2324"/>
      <c r="I116" s="2325"/>
      <c r="K116" s="151"/>
    </row>
    <row r="117" spans="1:11" ht="45" customHeight="1" thickBot="1" x14ac:dyDescent="0.25">
      <c r="A117" s="2586" t="str">
        <f>F!A128</f>
        <v>F25</v>
      </c>
      <c r="B117" s="2323" t="str">
        <f>F!B128</f>
        <v>% of AA with Persistent Surface Water</v>
      </c>
      <c r="C117" s="365"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117" s="940"/>
      <c r="E117" s="304"/>
      <c r="F117" s="305"/>
      <c r="G117" s="428">
        <f>IF((AllSat1=1),"", MAX(F119:F122)/MAX(E119:E122))</f>
        <v>1</v>
      </c>
      <c r="H117" s="2529" t="s">
        <v>1639</v>
      </c>
      <c r="I117" s="2574" t="s">
        <v>164</v>
      </c>
    </row>
    <row r="118" spans="1:11" ht="27" customHeight="1" x14ac:dyDescent="0.2">
      <c r="A118" s="2399"/>
      <c r="B118" s="2324"/>
      <c r="C118" s="366" t="str">
        <f>F!C129</f>
        <v>None. The AA dries up completely (no water in channels either) or never has surface water during most years.  SKIP to F27.</v>
      </c>
      <c r="D118" s="205">
        <f>F!D129</f>
        <v>0</v>
      </c>
      <c r="E118" s="299">
        <v>1</v>
      </c>
      <c r="F118" s="300">
        <f>D118*E118</f>
        <v>0</v>
      </c>
      <c r="G118" s="430"/>
      <c r="H118" s="2404"/>
      <c r="I118" s="2575"/>
    </row>
    <row r="119" spans="1:11" ht="15" customHeight="1" x14ac:dyDescent="0.2">
      <c r="A119" s="2399"/>
      <c r="B119" s="2324"/>
      <c r="C119" s="366" t="str">
        <f>F!C130</f>
        <v>1-20% of the AA.</v>
      </c>
      <c r="D119" s="211">
        <f>F!D130</f>
        <v>0</v>
      </c>
      <c r="E119" s="300">
        <v>2</v>
      </c>
      <c r="F119" s="300">
        <f>D119*E119</f>
        <v>0</v>
      </c>
      <c r="G119" s="430"/>
      <c r="H119" s="2404"/>
      <c r="I119" s="2575"/>
    </row>
    <row r="120" spans="1:11" ht="15" customHeight="1" x14ac:dyDescent="0.2">
      <c r="A120" s="2399"/>
      <c r="B120" s="2324"/>
      <c r="C120" s="366" t="str">
        <f>F!C131</f>
        <v>20-50% of the AA.</v>
      </c>
      <c r="D120" s="211">
        <f>F!D131</f>
        <v>1</v>
      </c>
      <c r="E120" s="300">
        <v>3</v>
      </c>
      <c r="F120" s="300">
        <f>D120*E120</f>
        <v>3</v>
      </c>
      <c r="G120" s="430"/>
      <c r="H120" s="2404"/>
      <c r="I120" s="2575"/>
    </row>
    <row r="121" spans="1:11" ht="15" customHeight="1" x14ac:dyDescent="0.2">
      <c r="A121" s="2399"/>
      <c r="B121" s="2324"/>
      <c r="C121" s="366" t="str">
        <f>F!C132</f>
        <v>50-95% of the AA.</v>
      </c>
      <c r="D121" s="211">
        <f>F!D132</f>
        <v>0</v>
      </c>
      <c r="E121" s="300">
        <v>3</v>
      </c>
      <c r="F121" s="300">
        <f>D121*E121</f>
        <v>0</v>
      </c>
      <c r="G121" s="430"/>
      <c r="H121" s="2404"/>
      <c r="I121" s="2575"/>
    </row>
    <row r="122" spans="1:11" ht="15" customHeight="1" thickBot="1" x14ac:dyDescent="0.25">
      <c r="A122" s="2553"/>
      <c r="B122" s="2325"/>
      <c r="C122" s="153" t="str">
        <f>F!C133</f>
        <v>&gt;95% of the AA. True for many fringe wetlands.</v>
      </c>
      <c r="D122" s="206">
        <f>F!D133</f>
        <v>0</v>
      </c>
      <c r="E122" s="301">
        <v>3</v>
      </c>
      <c r="F122" s="301">
        <f>D122*E122</f>
        <v>0</v>
      </c>
      <c r="G122" s="431"/>
      <c r="H122" s="2530"/>
      <c r="I122" s="2576"/>
    </row>
    <row r="123" spans="1:11" ht="30" customHeight="1" thickBot="1" x14ac:dyDescent="0.25">
      <c r="A123" s="2737" t="str">
        <f>F!A146</f>
        <v>F28</v>
      </c>
      <c r="B123" s="2404" t="str">
        <f>F!B146</f>
        <v>Annual Water Fluctuation Range</v>
      </c>
      <c r="C123" s="4" t="str">
        <f>F!C146</f>
        <v>The annual fluctuation in surface water level within most of the parts of the AA that contain surface water at least temporarily is:</v>
      </c>
      <c r="D123" s="1335"/>
      <c r="E123" s="304"/>
      <c r="F123" s="322"/>
      <c r="G123" s="425">
        <f>IF((AllSat1&gt;0),"",IF((NoSeasonal=1),"",MAX(F124:F128)/MAX(E124:E128)))</f>
        <v>0</v>
      </c>
      <c r="H123" s="2404" t="s">
        <v>1640</v>
      </c>
      <c r="I123" s="2574" t="s">
        <v>163</v>
      </c>
    </row>
    <row r="124" spans="1:11" ht="15" customHeight="1" x14ac:dyDescent="0.2">
      <c r="A124" s="2670"/>
      <c r="B124" s="2396"/>
      <c r="C124" s="936" t="str">
        <f>F!C147</f>
        <v>&lt;10 cm change (stable or nearly so).</v>
      </c>
      <c r="D124" s="213">
        <f>F!D147</f>
        <v>0</v>
      </c>
      <c r="E124" s="300">
        <v>5</v>
      </c>
      <c r="F124" s="300">
        <f>D124*E124</f>
        <v>0</v>
      </c>
      <c r="G124" s="1062"/>
      <c r="H124" s="2404"/>
      <c r="I124" s="2575"/>
    </row>
    <row r="125" spans="1:11" ht="15" customHeight="1" x14ac:dyDescent="0.2">
      <c r="A125" s="2670"/>
      <c r="B125" s="2396"/>
      <c r="C125" s="868" t="str">
        <f>F!C148</f>
        <v>10 cm - 50 cm change.</v>
      </c>
      <c r="D125" s="205">
        <f>F!D148</f>
        <v>0</v>
      </c>
      <c r="E125" s="300">
        <v>4</v>
      </c>
      <c r="F125" s="300">
        <f>D125*E125</f>
        <v>0</v>
      </c>
      <c r="G125" s="1063"/>
      <c r="H125" s="2404"/>
      <c r="I125" s="2575"/>
    </row>
    <row r="126" spans="1:11" ht="15" customHeight="1" x14ac:dyDescent="0.2">
      <c r="A126" s="2670"/>
      <c r="B126" s="2396"/>
      <c r="C126" s="868" t="str">
        <f>F!C149</f>
        <v>0.5 - 1 m change.</v>
      </c>
      <c r="D126" s="205">
        <f>F!D149</f>
        <v>0</v>
      </c>
      <c r="E126" s="300">
        <v>3</v>
      </c>
      <c r="F126" s="300">
        <f>D126*E126</f>
        <v>0</v>
      </c>
      <c r="G126" s="1063"/>
      <c r="H126" s="2404"/>
      <c r="I126" s="2575"/>
    </row>
    <row r="127" spans="1:11" ht="15" customHeight="1" x14ac:dyDescent="0.2">
      <c r="A127" s="2670"/>
      <c r="B127" s="2396"/>
      <c r="C127" s="868" t="str">
        <f>F!C150</f>
        <v>1-2 m change.</v>
      </c>
      <c r="D127" s="205">
        <f>F!D150</f>
        <v>0</v>
      </c>
      <c r="E127" s="303">
        <v>1</v>
      </c>
      <c r="F127" s="303">
        <f>D127*E127</f>
        <v>0</v>
      </c>
      <c r="G127" s="1076"/>
      <c r="H127" s="2404"/>
      <c r="I127" s="2575"/>
    </row>
    <row r="128" spans="1:11" ht="15" customHeight="1" thickBot="1" x14ac:dyDescent="0.25">
      <c r="A128" s="2670"/>
      <c r="B128" s="2396"/>
      <c r="C128" s="868" t="str">
        <f>F!C151</f>
        <v>&gt;2 m change.</v>
      </c>
      <c r="D128" s="205">
        <f>F!D151</f>
        <v>1</v>
      </c>
      <c r="E128" s="301">
        <v>0</v>
      </c>
      <c r="F128" s="301">
        <f>D128*E128</f>
        <v>0</v>
      </c>
      <c r="G128" s="1064"/>
      <c r="H128" s="2404"/>
      <c r="I128" s="2576"/>
    </row>
    <row r="129" spans="1:67" s="2" customFormat="1" ht="45" customHeight="1" thickBot="1" x14ac:dyDescent="0.25">
      <c r="A129" s="2806" t="str">
        <f>F!A163</f>
        <v>F31</v>
      </c>
      <c r="B129" s="2814" t="str">
        <f>F!B163</f>
        <v>% of Water That Is Ponded (not Flowing)</v>
      </c>
      <c r="C129" s="365" t="str">
        <f>F!C163</f>
        <v>During most times when surface water is present, the percentage that is (1) ponded (stagnant, or flows so slowly that fine sediment is not held in suspension) AND (2) is likely to be deeper than 0.5 m in some places, is:</v>
      </c>
      <c r="D129" s="304"/>
      <c r="E129" s="304"/>
      <c r="F129" s="305"/>
      <c r="G129" s="465">
        <f>IF((AllSat1&gt;0),"", MAX(F130:F134)/MAX(E130:E134))</f>
        <v>0</v>
      </c>
      <c r="H129" s="2529" t="s">
        <v>1638</v>
      </c>
      <c r="I129" s="2323" t="s">
        <v>167</v>
      </c>
      <c r="K129" s="151"/>
    </row>
    <row r="130" spans="1:67" s="2" customFormat="1" ht="15" customHeight="1" x14ac:dyDescent="0.2">
      <c r="A130" s="2371"/>
      <c r="B130" s="2404"/>
      <c r="C130" s="27" t="str">
        <f>F!C164</f>
        <v>&lt;5% of the water, or it occupies &lt;100 sq.m cumulatively. Nearly all the surface water is flowing. SKIP to F34.</v>
      </c>
      <c r="D130" s="237">
        <f>F!D164</f>
        <v>1</v>
      </c>
      <c r="E130" s="300">
        <v>0</v>
      </c>
      <c r="F130" s="300">
        <f>D130*E130</f>
        <v>0</v>
      </c>
      <c r="G130" s="549"/>
      <c r="H130" s="2404"/>
      <c r="I130" s="2324"/>
      <c r="K130" s="151"/>
    </row>
    <row r="131" spans="1:67" s="2" customFormat="1" ht="15" customHeight="1" x14ac:dyDescent="0.2">
      <c r="A131" s="2371"/>
      <c r="B131" s="2404"/>
      <c r="C131" s="5" t="str">
        <f>F!C165</f>
        <v>5-30% of the water.</v>
      </c>
      <c r="D131" s="238">
        <f>F!D165</f>
        <v>0</v>
      </c>
      <c r="E131" s="300">
        <v>3</v>
      </c>
      <c r="F131" s="300">
        <f>D131*E131</f>
        <v>0</v>
      </c>
      <c r="G131" s="549"/>
      <c r="H131" s="2404"/>
      <c r="I131" s="2324"/>
      <c r="K131" s="151"/>
    </row>
    <row r="132" spans="1:67" s="2" customFormat="1" ht="15" customHeight="1" x14ac:dyDescent="0.2">
      <c r="A132" s="2371"/>
      <c r="B132" s="2404"/>
      <c r="C132" s="5" t="str">
        <f>F!C166</f>
        <v>30-70% of the water.</v>
      </c>
      <c r="D132" s="238">
        <f>F!D166</f>
        <v>0</v>
      </c>
      <c r="E132" s="300">
        <v>4</v>
      </c>
      <c r="F132" s="300">
        <f>D132*E132</f>
        <v>0</v>
      </c>
      <c r="G132" s="558"/>
      <c r="H132" s="2404"/>
      <c r="I132" s="2324"/>
      <c r="K132" s="151"/>
    </row>
    <row r="133" spans="1:67" s="2" customFormat="1" ht="15" customHeight="1" x14ac:dyDescent="0.2">
      <c r="A133" s="2371"/>
      <c r="B133" s="2404"/>
      <c r="C133" s="5" t="str">
        <f>F!C167</f>
        <v>70-95% of the water.</v>
      </c>
      <c r="D133" s="238">
        <f>F!D167</f>
        <v>0</v>
      </c>
      <c r="E133" s="300">
        <v>5</v>
      </c>
      <c r="F133" s="300">
        <f>D133*E133</f>
        <v>0</v>
      </c>
      <c r="G133" s="558"/>
      <c r="H133" s="2404"/>
      <c r="I133" s="2324"/>
      <c r="K133" s="151"/>
    </row>
    <row r="134" spans="1:67" s="2" customFormat="1" ht="15" customHeight="1" thickBot="1" x14ac:dyDescent="0.25">
      <c r="A134" s="2490"/>
      <c r="B134" s="2530"/>
      <c r="C134" s="153" t="str">
        <f>F!C168</f>
        <v>&gt;95% of the water.</v>
      </c>
      <c r="D134" s="239">
        <f>F!D168</f>
        <v>0</v>
      </c>
      <c r="E134" s="301">
        <v>5</v>
      </c>
      <c r="F134" s="301">
        <f>D134*E134</f>
        <v>0</v>
      </c>
      <c r="G134" s="550"/>
      <c r="H134" s="2530"/>
      <c r="I134" s="2325"/>
      <c r="K134" s="151"/>
    </row>
    <row r="135" spans="1:67" ht="30" customHeight="1" thickBot="1" x14ac:dyDescent="0.25">
      <c r="A135" s="2809" t="str">
        <f>F!A170</f>
        <v>F33</v>
      </c>
      <c r="B135" s="2323" t="str">
        <f>F!B170</f>
        <v xml:space="preserve">% of Ponded Water that is Open </v>
      </c>
      <c r="C135" s="993" t="str">
        <f>F!C170</f>
        <v>In ducks-eye aerial view, the percentage of the ponded water that is open (lacking emergent vegetation during most of the growing season, and unhidden by a forest or shrub canopy) is:</v>
      </c>
      <c r="D135" s="332"/>
      <c r="E135" s="299"/>
      <c r="F135" s="321"/>
      <c r="G135" s="434" t="str">
        <f>IF((AllSat1&gt;0),"",IF((TooSmall=1),"",IF((NoPonded=1),"",MAX(F136:F141)/MAX(E136:E141))))</f>
        <v/>
      </c>
      <c r="H135" s="2529" t="s">
        <v>1641</v>
      </c>
      <c r="I135" s="2574" t="s">
        <v>166</v>
      </c>
    </row>
    <row r="136" spans="1:67" ht="27" customHeight="1" x14ac:dyDescent="0.2">
      <c r="A136" s="2745"/>
      <c r="B136" s="2324"/>
      <c r="C136" s="366" t="str">
        <f>F!C171</f>
        <v>None, or &lt;1% of the AA and largest pool occupies &lt;0.01 hectares. Enter "1" and SKIP to F41 (Floating Algae &amp; Duckweed).</v>
      </c>
      <c r="D136" s="205">
        <f>F!D171</f>
        <v>0</v>
      </c>
      <c r="E136" s="556">
        <v>1</v>
      </c>
      <c r="F136" s="300">
        <f t="shared" ref="F136:F141" si="6">D136*E136</f>
        <v>0</v>
      </c>
      <c r="G136" s="429"/>
      <c r="H136" s="2404"/>
      <c r="I136" s="2575"/>
    </row>
    <row r="137" spans="1:67" ht="15" customHeight="1" x14ac:dyDescent="0.2">
      <c r="A137" s="2745"/>
      <c r="B137" s="2324"/>
      <c r="C137" s="970" t="str">
        <f>F!C172</f>
        <v>1-4% of the ponded water. Enter "1" and SKIP to F41 (Floating Algae &amp; Duckweed).</v>
      </c>
      <c r="D137" s="205">
        <f>F!D172</f>
        <v>0</v>
      </c>
      <c r="E137" s="556">
        <v>2</v>
      </c>
      <c r="F137" s="300">
        <f t="shared" si="6"/>
        <v>0</v>
      </c>
      <c r="G137" s="430"/>
      <c r="H137" s="2404"/>
      <c r="I137" s="2575"/>
    </row>
    <row r="138" spans="1:67" ht="15" customHeight="1" x14ac:dyDescent="0.2">
      <c r="A138" s="2745"/>
      <c r="B138" s="2324"/>
      <c r="C138" s="970" t="str">
        <f>F!C173</f>
        <v>5-30% of the ponded water.</v>
      </c>
      <c r="D138" s="205">
        <f>F!D173</f>
        <v>0</v>
      </c>
      <c r="E138" s="556">
        <v>3</v>
      </c>
      <c r="F138" s="300">
        <f t="shared" si="6"/>
        <v>0</v>
      </c>
      <c r="G138" s="430"/>
      <c r="H138" s="2404"/>
      <c r="I138" s="2575"/>
    </row>
    <row r="139" spans="1:67" ht="15" customHeight="1" x14ac:dyDescent="0.2">
      <c r="A139" s="2745"/>
      <c r="B139" s="2324"/>
      <c r="C139" s="970" t="str">
        <f>F!C174</f>
        <v>30-70% of the ponded water.</v>
      </c>
      <c r="D139" s="205">
        <f>F!D174</f>
        <v>0</v>
      </c>
      <c r="E139" s="556">
        <v>3</v>
      </c>
      <c r="F139" s="300">
        <f t="shared" si="6"/>
        <v>0</v>
      </c>
      <c r="G139" s="430"/>
      <c r="H139" s="2404"/>
      <c r="I139" s="2575"/>
    </row>
    <row r="140" spans="1:67" ht="15" customHeight="1" x14ac:dyDescent="0.2">
      <c r="A140" s="2745"/>
      <c r="B140" s="2324"/>
      <c r="C140" s="970" t="str">
        <f>F!C175</f>
        <v>70-99% of the ponded water.</v>
      </c>
      <c r="D140" s="205">
        <f>F!D175</f>
        <v>0</v>
      </c>
      <c r="E140" s="556">
        <v>1</v>
      </c>
      <c r="F140" s="300">
        <f t="shared" si="6"/>
        <v>0</v>
      </c>
      <c r="G140" s="439"/>
      <c r="H140" s="2404"/>
      <c r="I140" s="2575"/>
    </row>
    <row r="141" spans="1:67" ht="15" customHeight="1" thickBot="1" x14ac:dyDescent="0.25">
      <c r="A141" s="2772"/>
      <c r="B141" s="2325"/>
      <c r="C141" s="938" t="str">
        <f>F!C176</f>
        <v xml:space="preserve">100% of the ponded water. </v>
      </c>
      <c r="D141" s="244">
        <f>F!D176</f>
        <v>0</v>
      </c>
      <c r="E141" s="557">
        <v>0</v>
      </c>
      <c r="F141" s="303">
        <f t="shared" si="6"/>
        <v>0</v>
      </c>
      <c r="G141" s="439"/>
      <c r="H141" s="2530"/>
      <c r="I141" s="2576"/>
    </row>
    <row r="142" spans="1:67" s="10" customFormat="1" ht="30" customHeight="1" thickBot="1" x14ac:dyDescent="0.25">
      <c r="A142" s="2806" t="str">
        <f>F!A177</f>
        <v>F34</v>
      </c>
      <c r="B142" s="2339" t="str">
        <f>F!B177</f>
        <v>Width of Vegetated Zone within Wetland</v>
      </c>
      <c r="C142" s="460" t="str">
        <f>F!C177</f>
        <v>At the time during the growing season when the AA's water level is lowest, the average width of vegetated area in the AA that separates adjoining uplands from open water within the AA is:</v>
      </c>
      <c r="D142" s="940"/>
      <c r="E142" s="609"/>
      <c r="F142" s="657"/>
      <c r="G142" s="428">
        <f>IF((AllSat1&gt;0),"",IF((TooSmall=1),"",IF((NoOpenPonded=1),"",MAX(F143:F148)/MAX(E143:E148))))</f>
        <v>1</v>
      </c>
      <c r="H142" s="2323" t="s">
        <v>1205</v>
      </c>
      <c r="I142" s="2574" t="s">
        <v>169</v>
      </c>
      <c r="J142" s="11"/>
      <c r="K142" s="110"/>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row>
    <row r="143" spans="1:67" s="10" customFormat="1" ht="15" customHeight="1" x14ac:dyDescent="0.2">
      <c r="A143" s="2807"/>
      <c r="B143" s="2340"/>
      <c r="C143" s="586" t="str">
        <f>F!C178</f>
        <v>&lt;1 m.</v>
      </c>
      <c r="D143" s="216">
        <f>F!D178</f>
        <v>0</v>
      </c>
      <c r="E143" s="330">
        <v>0</v>
      </c>
      <c r="F143" s="300">
        <f t="shared" ref="F143:F148" si="7">D143*E143</f>
        <v>0</v>
      </c>
      <c r="G143" s="429"/>
      <c r="H143" s="2810"/>
      <c r="I143" s="2575"/>
      <c r="J143" s="11"/>
      <c r="K143" s="110"/>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row>
    <row r="144" spans="1:67" s="10" customFormat="1" ht="15" customHeight="1" x14ac:dyDescent="0.2">
      <c r="A144" s="2807"/>
      <c r="B144" s="2340"/>
      <c r="C144" s="463" t="str">
        <f>F!C179</f>
        <v>1 - 9 m.</v>
      </c>
      <c r="D144" s="217">
        <f>F!D179</f>
        <v>0</v>
      </c>
      <c r="E144" s="330">
        <v>1</v>
      </c>
      <c r="F144" s="300">
        <f t="shared" si="7"/>
        <v>0</v>
      </c>
      <c r="G144" s="430"/>
      <c r="H144" s="2810"/>
      <c r="I144" s="2575"/>
      <c r="J144" s="11"/>
      <c r="K144" s="110"/>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row>
    <row r="145" spans="1:67" s="10" customFormat="1" ht="15" customHeight="1" x14ac:dyDescent="0.2">
      <c r="A145" s="2807"/>
      <c r="B145" s="2340"/>
      <c r="C145" s="463" t="str">
        <f>F!C180</f>
        <v>10 - 29 m.</v>
      </c>
      <c r="D145" s="217">
        <f>F!D180</f>
        <v>0</v>
      </c>
      <c r="E145" s="330">
        <v>2</v>
      </c>
      <c r="F145" s="300">
        <f t="shared" si="7"/>
        <v>0</v>
      </c>
      <c r="G145" s="430"/>
      <c r="H145" s="2810"/>
      <c r="I145" s="2575"/>
      <c r="J145" s="11"/>
      <c r="K145" s="110"/>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row>
    <row r="146" spans="1:67" s="10" customFormat="1" ht="15" customHeight="1" x14ac:dyDescent="0.2">
      <c r="A146" s="2807"/>
      <c r="B146" s="2340"/>
      <c r="C146" s="463" t="str">
        <f>F!C181</f>
        <v>30 - 49 m.</v>
      </c>
      <c r="D146" s="217">
        <f>F!D181</f>
        <v>0</v>
      </c>
      <c r="E146" s="330">
        <v>3</v>
      </c>
      <c r="F146" s="300">
        <f t="shared" si="7"/>
        <v>0</v>
      </c>
      <c r="G146" s="430"/>
      <c r="H146" s="2810"/>
      <c r="I146" s="2575"/>
      <c r="J146" s="11"/>
      <c r="K146" s="110"/>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row>
    <row r="147" spans="1:67" s="10" customFormat="1" ht="15" customHeight="1" x14ac:dyDescent="0.2">
      <c r="A147" s="2807"/>
      <c r="B147" s="2340"/>
      <c r="C147" s="463" t="str">
        <f>F!C182</f>
        <v>50 - 100 m.</v>
      </c>
      <c r="D147" s="217">
        <f>F!D182</f>
        <v>0</v>
      </c>
      <c r="E147" s="330">
        <v>4</v>
      </c>
      <c r="F147" s="300">
        <f t="shared" si="7"/>
        <v>0</v>
      </c>
      <c r="G147" s="439"/>
      <c r="H147" s="2810"/>
      <c r="I147" s="2575"/>
      <c r="J147" s="11"/>
      <c r="K147" s="110"/>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row>
    <row r="148" spans="1:67" s="10" customFormat="1" ht="15" customHeight="1" thickBot="1" x14ac:dyDescent="0.25">
      <c r="A148" s="2808"/>
      <c r="B148" s="2341"/>
      <c r="C148" s="876" t="str">
        <f>F!C183</f>
        <v>&gt; 100 m, or open water is absent at that time.</v>
      </c>
      <c r="D148" s="217">
        <f>F!D183</f>
        <v>1</v>
      </c>
      <c r="E148" s="656">
        <v>6</v>
      </c>
      <c r="F148" s="301">
        <f t="shared" si="7"/>
        <v>6</v>
      </c>
      <c r="G148" s="431"/>
      <c r="H148" s="2811"/>
      <c r="I148" s="2576"/>
      <c r="J148" s="11"/>
      <c r="K148" s="110"/>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row>
    <row r="149" spans="1:67" s="10" customFormat="1" ht="30" customHeight="1" thickBot="1" x14ac:dyDescent="0.25">
      <c r="A149" s="2684" t="str">
        <f>F!A195</f>
        <v>F37</v>
      </c>
      <c r="B149" s="2339" t="str">
        <f>F!B195</f>
        <v>Interspersion of Emergents &amp; Open Water</v>
      </c>
      <c r="C149" s="365" t="str">
        <f>F!C195</f>
        <v>During most of the part of the growing season when water is present, the spatial pattern of emergent vegetation within the water is mostly:</v>
      </c>
      <c r="D149" s="1335"/>
      <c r="E149" s="609"/>
      <c r="F149" s="657"/>
      <c r="G149" s="428" t="str">
        <f>IF((AllSat1&gt;0),"",IF((TooSmall=1),"",IF((NoPonded=1),"",IF((NoOpenPonded+NoOpenPonded1&gt;0),"",IF((AllOpenPond=1),"",IF((NoRobustEm=1),"",MAX(F150:F152)/MAX(E150:E152)))))))</f>
        <v/>
      </c>
      <c r="H149" s="2323" t="s">
        <v>2237</v>
      </c>
      <c r="I149" s="2574" t="s">
        <v>168</v>
      </c>
      <c r="J149" s="11"/>
      <c r="K149" s="110"/>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row>
    <row r="150" spans="1:67" s="10" customFormat="1" ht="15" customHeight="1" x14ac:dyDescent="0.2">
      <c r="A150" s="2399"/>
      <c r="B150" s="2324"/>
      <c r="C150" s="27" t="str">
        <f>F!C196</f>
        <v>Scattered. More than 30% of such vegetation forms small islands or corridors surrounded by water.</v>
      </c>
      <c r="D150" s="213">
        <f>F!D196</f>
        <v>0</v>
      </c>
      <c r="E150" s="330">
        <v>3</v>
      </c>
      <c r="F150" s="303">
        <f>D150*E150</f>
        <v>0</v>
      </c>
      <c r="G150" s="429"/>
      <c r="H150" s="2324"/>
      <c r="I150" s="2575"/>
      <c r="J150" s="11"/>
      <c r="K150" s="110"/>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row>
    <row r="151" spans="1:67" s="10" customFormat="1" ht="15" customHeight="1" x14ac:dyDescent="0.2">
      <c r="A151" s="2399"/>
      <c r="B151" s="2324"/>
      <c r="C151" s="5" t="str">
        <f>F!C197</f>
        <v>Intermediate.</v>
      </c>
      <c r="D151" s="205">
        <f>F!D197</f>
        <v>0</v>
      </c>
      <c r="E151" s="330">
        <v>2</v>
      </c>
      <c r="F151" s="303">
        <f>D151*E151</f>
        <v>0</v>
      </c>
      <c r="G151" s="429"/>
      <c r="H151" s="2324"/>
      <c r="I151" s="2575"/>
      <c r="J151" s="11"/>
      <c r="K151" s="110"/>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row>
    <row r="152" spans="1:67" s="10" customFormat="1" ht="27" customHeight="1" thickBot="1" x14ac:dyDescent="0.25">
      <c r="A152" s="2553"/>
      <c r="B152" s="2325"/>
      <c r="C152" s="153" t="str">
        <f>F!C198</f>
        <v>Clumped. More than 70% of such vegetation is in bands along the wetland perimeter or is clumped at one or a few sides of the surface water area.</v>
      </c>
      <c r="D152" s="206">
        <f>F!D198</f>
        <v>1</v>
      </c>
      <c r="E152" s="656">
        <v>1</v>
      </c>
      <c r="F152" s="301">
        <f>D152*E152</f>
        <v>1</v>
      </c>
      <c r="G152" s="658"/>
      <c r="H152" s="2325"/>
      <c r="I152" s="2576"/>
      <c r="J152" s="11"/>
      <c r="K152" s="110"/>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row>
    <row r="153" spans="1:67" ht="45" customHeight="1" thickBot="1" x14ac:dyDescent="0.25">
      <c r="A153" s="2737" t="str">
        <f>F!A200</f>
        <v>F39</v>
      </c>
      <c r="B153" s="2404" t="str">
        <f>F!B200</f>
        <v>Non-vegetated Aquatic Cover</v>
      </c>
      <c r="C153" s="575" t="str">
        <f>F!C200</f>
        <v>During most of the growing season and in waters deeper than 0.5 m, the cover for fish, aquatic invertebrates, and/or amphibians that is provided NOT by living vegetation, but by accumulations of dead wood and undercut banks is:</v>
      </c>
      <c r="D153" s="940"/>
      <c r="E153" s="299"/>
      <c r="F153" s="321"/>
      <c r="G153" s="434" t="str">
        <f>IF((AllSat1&gt;0),"",IF((TooSmall=1),"",IF((OpenW=0),"",IF((DeepPersis=0),"", MAX(F154:F156)/MAX(E154:E156)))))</f>
        <v/>
      </c>
      <c r="H153" s="2404" t="s">
        <v>1206</v>
      </c>
      <c r="I153" s="2574" t="s">
        <v>165</v>
      </c>
    </row>
    <row r="154" spans="1:67" ht="15" customHeight="1" x14ac:dyDescent="0.2">
      <c r="A154" s="2670"/>
      <c r="B154" s="2396"/>
      <c r="C154" s="27" t="str">
        <f>F!C201</f>
        <v>Little or none.</v>
      </c>
      <c r="D154" s="205">
        <f>F!D201</f>
        <v>1</v>
      </c>
      <c r="E154" s="300">
        <v>0</v>
      </c>
      <c r="F154" s="300">
        <f>D154*E154</f>
        <v>0</v>
      </c>
      <c r="G154" s="429"/>
      <c r="H154" s="2404"/>
      <c r="I154" s="2575"/>
    </row>
    <row r="155" spans="1:67" ht="15" customHeight="1" x14ac:dyDescent="0.2">
      <c r="A155" s="2670"/>
      <c r="B155" s="2396"/>
      <c r="C155" s="5" t="str">
        <f>F!C202</f>
        <v>Intermediate.</v>
      </c>
      <c r="D155" s="205">
        <f>F!D202</f>
        <v>0</v>
      </c>
      <c r="E155" s="300">
        <v>1</v>
      </c>
      <c r="F155" s="300">
        <f>D155*E155</f>
        <v>0</v>
      </c>
      <c r="G155" s="607"/>
      <c r="H155" s="2404"/>
      <c r="I155" s="2575"/>
    </row>
    <row r="156" spans="1:67" ht="15" customHeight="1" thickBot="1" x14ac:dyDescent="0.25">
      <c r="A156" s="2670"/>
      <c r="B156" s="2396"/>
      <c r="C156" s="366" t="str">
        <f>F!C203</f>
        <v>Extensive.</v>
      </c>
      <c r="D156" s="211">
        <f>F!D203</f>
        <v>0</v>
      </c>
      <c r="E156" s="303">
        <v>2</v>
      </c>
      <c r="F156" s="303">
        <f>D156*E156</f>
        <v>0</v>
      </c>
      <c r="G156" s="439"/>
      <c r="H156" s="2404"/>
      <c r="I156" s="2576"/>
    </row>
    <row r="157" spans="1:67" s="10" customFormat="1" ht="27" customHeight="1" thickBot="1" x14ac:dyDescent="0.25">
      <c r="A157" s="2323" t="str">
        <f>F!A224</f>
        <v>F47</v>
      </c>
      <c r="B157" s="2323" t="str">
        <f>F!B224</f>
        <v>pH Measurement</v>
      </c>
      <c r="C157" s="73" t="str">
        <f>F!C224</f>
        <v>The pH in most of the AA's surface water:</v>
      </c>
      <c r="D157" s="1050"/>
      <c r="E157" s="304"/>
      <c r="F157" s="305"/>
      <c r="G157" s="1061" t="str">
        <f>IF((D160=1),"",IF((D159=1),0.5, IF((D158&gt;0&lt;4),0, IF((D158&gt;=4&lt;=5),0.5,1))))</f>
        <v/>
      </c>
      <c r="H157" s="2323" t="s">
        <v>2596</v>
      </c>
      <c r="I157" s="2574" t="s">
        <v>1673</v>
      </c>
      <c r="J157" s="11"/>
      <c r="K157" s="110"/>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row>
    <row r="158" spans="1:67" s="10" customFormat="1" ht="21" customHeight="1" x14ac:dyDescent="0.2">
      <c r="A158" s="2324"/>
      <c r="B158" s="2324"/>
      <c r="C158" s="100" t="str">
        <f>F!C225</f>
        <v>Was measured, and is:  [enter the reading in the column to the right.]</v>
      </c>
      <c r="D158" s="1621" t="str">
        <f>IF((F!D225=""),"",F!D225)</f>
        <v/>
      </c>
      <c r="E158" s="316"/>
      <c r="F158" s="300"/>
      <c r="G158" s="610"/>
      <c r="H158" s="2723"/>
      <c r="I158" s="2575"/>
      <c r="J158" s="11"/>
      <c r="K158" s="110"/>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row>
    <row r="159" spans="1:67" s="10" customFormat="1" ht="30" customHeight="1" x14ac:dyDescent="0.2">
      <c r="A159" s="2324"/>
      <c r="B159" s="2324"/>
      <c r="C159" s="1950" t="str">
        <f>F!C226</f>
        <v xml:space="preserve">Was not measured but surface water is present and is darkly tea-coloured.  Or if no surface water, then mosses and plants that indicate peatland (e.g., Labrador tea) are prevalent. Enter "1". </v>
      </c>
      <c r="D159" s="205">
        <f>F!D226</f>
        <v>0</v>
      </c>
      <c r="E159" s="316"/>
      <c r="F159" s="300"/>
      <c r="G159" s="941"/>
      <c r="H159" s="2723"/>
      <c r="I159" s="2575"/>
      <c r="J159" s="11"/>
      <c r="K159" s="110"/>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row>
    <row r="160" spans="1:67" s="10" customFormat="1" ht="21" customHeight="1" thickBot="1" x14ac:dyDescent="0.25">
      <c r="A160" s="2325"/>
      <c r="B160" s="2325"/>
      <c r="C160" s="1989" t="str">
        <f>F!C227</f>
        <v>Neither of above. Enter "1".</v>
      </c>
      <c r="D160" s="206">
        <f>F!D227</f>
        <v>1</v>
      </c>
      <c r="E160" s="317"/>
      <c r="F160" s="301"/>
      <c r="G160" s="966"/>
      <c r="H160" s="2325"/>
      <c r="I160" s="2576"/>
      <c r="J160" s="11"/>
      <c r="K160" s="110"/>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row>
    <row r="161" spans="1:68" s="15" customFormat="1" ht="21" customHeight="1" thickBot="1" x14ac:dyDescent="0.25">
      <c r="A161" s="2586" t="str">
        <f>F!A237</f>
        <v>F50</v>
      </c>
      <c r="B161" s="2324" t="str">
        <f>F!B237</f>
        <v>Groundwater Strength of Evidence</v>
      </c>
      <c r="C161" s="1982" t="str">
        <f>F!C237</f>
        <v>Select first applicable choice:</v>
      </c>
      <c r="D161" s="608"/>
      <c r="E161" s="330"/>
      <c r="F161" s="302"/>
      <c r="G161" s="434" t="str">
        <f>IF((D164=1),"",MAX(F161:F164)/MAX(E162:E164))</f>
        <v/>
      </c>
      <c r="H161" s="2404" t="s">
        <v>2238</v>
      </c>
      <c r="I161" s="2574" t="s">
        <v>175</v>
      </c>
      <c r="J161" s="14"/>
      <c r="K161" s="128"/>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9"/>
    </row>
    <row r="162" spans="1:68" s="15" customFormat="1" ht="42" customHeight="1" x14ac:dyDescent="0.2">
      <c r="A162" s="2399"/>
      <c r="B162" s="2324"/>
      <c r="C162" s="573"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62" s="205">
        <f>F!D238</f>
        <v>0</v>
      </c>
      <c r="E162" s="324">
        <v>3</v>
      </c>
      <c r="F162" s="300">
        <f>D162*E162</f>
        <v>0</v>
      </c>
      <c r="G162" s="429"/>
      <c r="H162" s="2404"/>
      <c r="I162" s="2575"/>
      <c r="J162" s="14"/>
      <c r="K162" s="128"/>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9"/>
    </row>
    <row r="163" spans="1:68" s="15" customFormat="1" ht="27" customHeight="1" x14ac:dyDescent="0.2">
      <c r="A163" s="2399"/>
      <c r="B163" s="2324"/>
      <c r="C163" s="366" t="str">
        <f>F!C239</f>
        <v>Most of the AA has a slope of &gt;5%, or is very close to the base of a natural slope longer than 100 and much steeper than the slope of the AA,  AND the pH of surface water, if known, is &gt;5.5.</v>
      </c>
      <c r="D163" s="211">
        <f>F!D239</f>
        <v>0</v>
      </c>
      <c r="E163" s="324">
        <v>2</v>
      </c>
      <c r="F163" s="300">
        <f>D163*E163</f>
        <v>0</v>
      </c>
      <c r="G163" s="430"/>
      <c r="H163" s="2404"/>
      <c r="I163" s="2575"/>
      <c r="J163" s="14"/>
      <c r="K163" s="128"/>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9"/>
    </row>
    <row r="164" spans="1:68" s="15" customFormat="1" ht="27" customHeight="1" thickBot="1" x14ac:dyDescent="0.25">
      <c r="A164" s="2553"/>
      <c r="B164" s="2325"/>
      <c r="C164" s="153" t="str">
        <f>F!C240</f>
        <v>Neither of above is true, although some groundwater may discharge to or flow through the AA. Or groundwater influx is unknown.</v>
      </c>
      <c r="D164" s="206">
        <f>F!D240</f>
        <v>1</v>
      </c>
      <c r="E164" s="328">
        <v>0</v>
      </c>
      <c r="F164" s="301">
        <f>D164*E164</f>
        <v>0</v>
      </c>
      <c r="G164" s="431"/>
      <c r="H164" s="2530"/>
      <c r="I164" s="2576"/>
      <c r="J164" s="14"/>
      <c r="K164" s="128"/>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9"/>
    </row>
    <row r="165" spans="1:68" ht="45" customHeight="1" thickBot="1" x14ac:dyDescent="0.25">
      <c r="A165" s="2404" t="str">
        <f>F!A247</f>
        <v>F52</v>
      </c>
      <c r="B165" s="2529" t="str">
        <f>F!B247</f>
        <v>Vegetated Buffer as % of Perimeter</v>
      </c>
      <c r="C165" s="4" t="str">
        <f>F!C247</f>
        <v>Within a zone extending 30 m laterally from the AA's edge with upland and/or other wetlands, the percentage that contains perennial vegetation cover (except lawns, row crops, heavily grazed land, conifer plantations) is:</v>
      </c>
      <c r="D165" s="608"/>
      <c r="E165" s="299"/>
      <c r="F165" s="321"/>
      <c r="G165" s="434">
        <f>MAX(F166:F170)/MAX(E166:E170)</f>
        <v>0</v>
      </c>
      <c r="H165" s="2404" t="s">
        <v>1642</v>
      </c>
      <c r="I165" s="2574" t="s">
        <v>178</v>
      </c>
    </row>
    <row r="166" spans="1:68" ht="15" customHeight="1" x14ac:dyDescent="0.2">
      <c r="A166" s="2404"/>
      <c r="B166" s="2404"/>
      <c r="C166" s="545" t="str">
        <f>F!C248</f>
        <v>&lt;5%.</v>
      </c>
      <c r="D166" s="205">
        <f>F!D248</f>
        <v>1</v>
      </c>
      <c r="E166" s="1078">
        <v>0</v>
      </c>
      <c r="F166" s="300">
        <f>D166*E166</f>
        <v>0</v>
      </c>
      <c r="G166" s="429"/>
      <c r="H166" s="2404"/>
      <c r="I166" s="2575"/>
    </row>
    <row r="167" spans="1:68" ht="15" customHeight="1" x14ac:dyDescent="0.2">
      <c r="A167" s="2404"/>
      <c r="B167" s="2404"/>
      <c r="C167" s="1298" t="str">
        <f>F!C249</f>
        <v>5 to 30%.</v>
      </c>
      <c r="D167" s="205">
        <f>F!D249</f>
        <v>0</v>
      </c>
      <c r="E167" s="1078">
        <v>2</v>
      </c>
      <c r="F167" s="300">
        <f>D167*E167</f>
        <v>0</v>
      </c>
      <c r="G167" s="430"/>
      <c r="H167" s="2404"/>
      <c r="I167" s="2575"/>
    </row>
    <row r="168" spans="1:68" ht="15" customHeight="1" x14ac:dyDescent="0.2">
      <c r="A168" s="2404"/>
      <c r="B168" s="2404"/>
      <c r="C168" s="1298" t="str">
        <f>F!C250</f>
        <v>30 to 60%.</v>
      </c>
      <c r="D168" s="205">
        <f>F!D250</f>
        <v>0</v>
      </c>
      <c r="E168" s="1078">
        <v>3</v>
      </c>
      <c r="F168" s="300">
        <f>D168*E168</f>
        <v>0</v>
      </c>
      <c r="G168" s="430"/>
      <c r="H168" s="2404"/>
      <c r="I168" s="2575"/>
    </row>
    <row r="169" spans="1:68" ht="15" customHeight="1" x14ac:dyDescent="0.2">
      <c r="A169" s="2404"/>
      <c r="B169" s="2404"/>
      <c r="C169" s="1298" t="str">
        <f>F!C251</f>
        <v>60 to 90%.</v>
      </c>
      <c r="D169" s="205">
        <f>F!D251</f>
        <v>0</v>
      </c>
      <c r="E169" s="1078">
        <v>4</v>
      </c>
      <c r="F169" s="300">
        <f>D169*E169</f>
        <v>0</v>
      </c>
      <c r="G169" s="430"/>
      <c r="H169" s="2404"/>
      <c r="I169" s="2575"/>
    </row>
    <row r="170" spans="1:68" ht="15" customHeight="1" thickBot="1" x14ac:dyDescent="0.25">
      <c r="A170" s="2404"/>
      <c r="B170" s="2404"/>
      <c r="C170" s="478" t="str">
        <f>F!C252</f>
        <v>&gt;90%, or all the area within 30 m of the AA edge is other wetlands. SKIP to F55.</v>
      </c>
      <c r="D170" s="211">
        <f>F!D252</f>
        <v>0</v>
      </c>
      <c r="E170" s="1079">
        <v>5</v>
      </c>
      <c r="F170" s="303">
        <f>D170*E170</f>
        <v>0</v>
      </c>
      <c r="G170" s="439"/>
      <c r="H170" s="2404"/>
      <c r="I170" s="2575"/>
    </row>
    <row r="171" spans="1:68" ht="30" customHeight="1" thickBot="1" x14ac:dyDescent="0.25">
      <c r="A171" s="2529" t="str">
        <f>F!A253</f>
        <v>F53</v>
      </c>
      <c r="B171" s="2529" t="str">
        <f>F!B253</f>
        <v>Type of Cover in Buffer</v>
      </c>
      <c r="C171" s="365" t="str">
        <f>F!C253</f>
        <v>Within 30 m upslope of where the wetland transitions to upland, the upland land cover that is NOT perennial vegetation is mostly (mark ONE):</v>
      </c>
      <c r="D171" s="940"/>
      <c r="E171" s="304"/>
      <c r="F171" s="322"/>
      <c r="G171" s="428">
        <f>IF((BuffAllNat=1),"", MAX(F172:F173)/MAX(E172:E173))</f>
        <v>0</v>
      </c>
      <c r="H171" s="2529" t="s">
        <v>2606</v>
      </c>
      <c r="I171" s="2574" t="s">
        <v>179</v>
      </c>
    </row>
    <row r="172" spans="1:68" ht="15" customHeight="1" x14ac:dyDescent="0.2">
      <c r="A172" s="2404"/>
      <c r="B172" s="2404"/>
      <c r="C172" s="478" t="str">
        <f>F!C254</f>
        <v>Impervious surface, e.g., paved road, parking lot, building, exposed rock.</v>
      </c>
      <c r="D172" s="205">
        <f>F!D254</f>
        <v>0</v>
      </c>
      <c r="E172" s="556">
        <v>0</v>
      </c>
      <c r="F172" s="300">
        <f>D172*E172</f>
        <v>0</v>
      </c>
      <c r="G172" s="429"/>
      <c r="H172" s="2404"/>
      <c r="I172" s="2575"/>
    </row>
    <row r="173" spans="1:68" ht="27" customHeight="1" thickBot="1" x14ac:dyDescent="0.25">
      <c r="A173" s="2530"/>
      <c r="B173" s="2530"/>
      <c r="C173" s="580" t="str">
        <f>F!C255</f>
        <v>Bare or nearly bare pervious surface or managed vegetation, e.g., lawn, row crops, unpaved road, dike, landslide.</v>
      </c>
      <c r="D173" s="206">
        <f>F!D255</f>
        <v>0</v>
      </c>
      <c r="E173" s="559">
        <v>1</v>
      </c>
      <c r="F173" s="301">
        <f>D173*E173</f>
        <v>0</v>
      </c>
      <c r="G173" s="431"/>
      <c r="H173" s="2530"/>
      <c r="I173" s="2576"/>
    </row>
    <row r="174" spans="1:68" ht="67.5" customHeight="1" thickBot="1" x14ac:dyDescent="0.25">
      <c r="A174" s="2404" t="str">
        <f>F!A282</f>
        <v>F60</v>
      </c>
      <c r="B174" s="2529" t="str">
        <f>F!B282</f>
        <v xml:space="preserve">Unvisited Core Area </v>
      </c>
      <c r="C174" s="365"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174" s="940"/>
      <c r="E174" s="330"/>
      <c r="F174" s="321"/>
      <c r="G174" s="434">
        <f>MAX(F175:F180)/MAX(E175:E180)</f>
        <v>1</v>
      </c>
      <c r="H174" s="2404" t="s">
        <v>41</v>
      </c>
      <c r="I174" s="2574" t="s">
        <v>176</v>
      </c>
    </row>
    <row r="175" spans="1:68" ht="15" customHeight="1" x14ac:dyDescent="0.2">
      <c r="A175" s="2404"/>
      <c r="B175" s="2404"/>
      <c r="C175" s="27" t="str">
        <f>F!C283</f>
        <v>&lt;5% and no inhabited building is within 100 m of the AA.</v>
      </c>
      <c r="D175" s="205">
        <f>F!D283</f>
        <v>0</v>
      </c>
      <c r="E175" s="932">
        <v>1</v>
      </c>
      <c r="F175" s="300">
        <f t="shared" ref="F175:F180" si="8">D175*E175</f>
        <v>0</v>
      </c>
      <c r="G175" s="429"/>
      <c r="H175" s="2404"/>
      <c r="I175" s="2575"/>
    </row>
    <row r="176" spans="1:68" ht="15" customHeight="1" x14ac:dyDescent="0.2">
      <c r="A176" s="2404"/>
      <c r="B176" s="2404"/>
      <c r="C176" s="1299" t="str">
        <f>F!C284</f>
        <v>&lt;5% and inhabited building is within 100 m of the AA.</v>
      </c>
      <c r="D176" s="205">
        <f>F!D284</f>
        <v>0</v>
      </c>
      <c r="E176" s="932">
        <v>0</v>
      </c>
      <c r="F176" s="300">
        <f t="shared" si="8"/>
        <v>0</v>
      </c>
      <c r="G176" s="430"/>
      <c r="H176" s="2404"/>
      <c r="I176" s="2575"/>
    </row>
    <row r="177" spans="1:68" ht="15" customHeight="1" x14ac:dyDescent="0.2">
      <c r="A177" s="2404"/>
      <c r="B177" s="2404"/>
      <c r="C177" s="1299" t="str">
        <f>F!C285</f>
        <v>5-50% and no inhabited building is within 100 m of the AA.</v>
      </c>
      <c r="D177" s="205">
        <f>F!D285</f>
        <v>0</v>
      </c>
      <c r="E177" s="932">
        <v>3</v>
      </c>
      <c r="F177" s="300">
        <f t="shared" si="8"/>
        <v>0</v>
      </c>
      <c r="G177" s="430"/>
      <c r="H177" s="2404"/>
      <c r="I177" s="2575"/>
    </row>
    <row r="178" spans="1:68" ht="15" customHeight="1" x14ac:dyDescent="0.2">
      <c r="A178" s="2404"/>
      <c r="B178" s="2404"/>
      <c r="C178" s="1299" t="str">
        <f>F!C286</f>
        <v>5-50% and inhabited building is within 100 m of the AA.</v>
      </c>
      <c r="D178" s="205">
        <f>F!D286</f>
        <v>0</v>
      </c>
      <c r="E178" s="932">
        <v>2</v>
      </c>
      <c r="F178" s="300">
        <f t="shared" si="8"/>
        <v>0</v>
      </c>
      <c r="G178" s="430"/>
      <c r="H178" s="2404"/>
      <c r="I178" s="2575"/>
    </row>
    <row r="179" spans="1:68" ht="15" customHeight="1" x14ac:dyDescent="0.2">
      <c r="A179" s="2404"/>
      <c r="B179" s="2404"/>
      <c r="C179" s="1299" t="str">
        <f>F!C287</f>
        <v>50-95%, with or without inhabited building nearby.</v>
      </c>
      <c r="D179" s="205">
        <f>F!D287</f>
        <v>0</v>
      </c>
      <c r="E179" s="932">
        <v>4</v>
      </c>
      <c r="F179" s="300">
        <f t="shared" si="8"/>
        <v>0</v>
      </c>
      <c r="G179" s="430"/>
      <c r="H179" s="2404"/>
      <c r="I179" s="2575"/>
    </row>
    <row r="180" spans="1:68" ht="15.6" customHeight="1" thickBot="1" x14ac:dyDescent="0.25">
      <c r="A180" s="2404"/>
      <c r="B180" s="2404"/>
      <c r="C180" s="366" t="str">
        <f>F!C288</f>
        <v>&gt;95% of the AA with or without inhabited building nearby.</v>
      </c>
      <c r="D180" s="211">
        <f>F!D288</f>
        <v>1</v>
      </c>
      <c r="E180" s="1003">
        <v>5</v>
      </c>
      <c r="F180" s="303">
        <f t="shared" si="8"/>
        <v>5</v>
      </c>
      <c r="G180" s="439"/>
      <c r="H180" s="2404"/>
      <c r="I180" s="2575"/>
    </row>
    <row r="181" spans="1:68" ht="31.9" customHeight="1" thickBot="1" x14ac:dyDescent="0.25">
      <c r="A181" s="2529" t="str">
        <f>F!A289</f>
        <v>F61</v>
      </c>
      <c r="B181" s="2529" t="str">
        <f>F!B289</f>
        <v>Frequently Visited Area</v>
      </c>
      <c r="C181" s="365" t="str">
        <f>F!C289</f>
        <v>The part of the AA visited by humans almost daily for several weeks during an average growing season probably comprises:  [See note above.]</v>
      </c>
      <c r="D181" s="1335"/>
      <c r="E181" s="427"/>
      <c r="F181" s="322"/>
      <c r="G181" s="428">
        <f>MAX(F182:F185)/MAX(E182:E185)</f>
        <v>1</v>
      </c>
      <c r="H181" s="2529" t="s">
        <v>87</v>
      </c>
      <c r="I181" s="2574" t="s">
        <v>177</v>
      </c>
    </row>
    <row r="182" spans="1:68" ht="15" customHeight="1" x14ac:dyDescent="0.2">
      <c r="A182" s="2404"/>
      <c r="B182" s="2404"/>
      <c r="C182" s="1133" t="str">
        <f>F!C290</f>
        <v>&lt;5%. If F60 was answered "&gt;95%" (mostly never visited), SKIP to F64.</v>
      </c>
      <c r="D182" s="205">
        <f>F!D290</f>
        <v>1</v>
      </c>
      <c r="E182" s="932">
        <v>2</v>
      </c>
      <c r="F182" s="300">
        <f>D182*E182</f>
        <v>2</v>
      </c>
      <c r="G182" s="429"/>
      <c r="H182" s="2404"/>
      <c r="I182" s="2575"/>
    </row>
    <row r="183" spans="1:68" ht="15" customHeight="1" x14ac:dyDescent="0.2">
      <c r="A183" s="2404"/>
      <c r="B183" s="2404"/>
      <c r="C183" s="1131" t="str">
        <f>F!C291</f>
        <v>5-50%.</v>
      </c>
      <c r="D183" s="205">
        <f>F!D291</f>
        <v>0</v>
      </c>
      <c r="E183" s="932">
        <v>1</v>
      </c>
      <c r="F183" s="300">
        <f>D183*E183</f>
        <v>0</v>
      </c>
      <c r="G183" s="430"/>
      <c r="H183" s="2404"/>
      <c r="I183" s="2575"/>
    </row>
    <row r="184" spans="1:68" ht="15" customHeight="1" x14ac:dyDescent="0.2">
      <c r="A184" s="2404"/>
      <c r="B184" s="2404"/>
      <c r="C184" s="868" t="str">
        <f>F!C292</f>
        <v>50-95%.</v>
      </c>
      <c r="D184" s="213">
        <f>F!D292</f>
        <v>0</v>
      </c>
      <c r="E184" s="932">
        <v>0</v>
      </c>
      <c r="F184" s="300">
        <f>D184*E184</f>
        <v>0</v>
      </c>
      <c r="G184" s="430"/>
      <c r="H184" s="2404"/>
      <c r="I184" s="2575"/>
    </row>
    <row r="185" spans="1:68" ht="15" customHeight="1" thickBot="1" x14ac:dyDescent="0.25">
      <c r="A185" s="2530"/>
      <c r="B185" s="2530"/>
      <c r="C185" s="937" t="str">
        <f>F!C293</f>
        <v>&gt;95% of the AA.</v>
      </c>
      <c r="D185" s="244">
        <f>F!D293</f>
        <v>0</v>
      </c>
      <c r="E185" s="987">
        <v>0</v>
      </c>
      <c r="F185" s="301">
        <f>D185*E185</f>
        <v>0</v>
      </c>
      <c r="G185" s="431"/>
      <c r="H185" s="2530"/>
      <c r="I185" s="2576"/>
    </row>
    <row r="186" spans="1:68" ht="60" customHeight="1" thickBot="1" x14ac:dyDescent="0.25">
      <c r="A186" s="4" t="str">
        <f>F!A295</f>
        <v>F63</v>
      </c>
      <c r="B186" s="365" t="str">
        <f>F!B295</f>
        <v>BMP - Wildlife Protection</v>
      </c>
      <c r="C186" s="965" t="str">
        <f>F!C295</f>
        <v xml:space="preserve">Fences, observation blinds, platforms, paved trails, exclusion periods, and/or well-enforced prohibitions on motorised boats, off-leash pets, and off road vehicles appear to effectively exclude or divert visitors and their pets from the AA at critical times in order to minimize disturbance of wildlife (except during hunting seasons). Enter "1" if true. </v>
      </c>
      <c r="D186" s="1307">
        <f>F!D295</f>
        <v>0</v>
      </c>
      <c r="E186" s="333"/>
      <c r="F186" s="323"/>
      <c r="G186" s="428" t="str">
        <f>IF((D180+D182&gt;1),"",D186)</f>
        <v/>
      </c>
      <c r="H186" s="4" t="s">
        <v>1102</v>
      </c>
      <c r="I186" s="1231" t="s">
        <v>1041</v>
      </c>
    </row>
    <row r="187" spans="1:68" ht="45" customHeight="1" thickBot="1" x14ac:dyDescent="0.25">
      <c r="A187" s="1301" t="str">
        <f>S!A25</f>
        <v>S2</v>
      </c>
      <c r="B187" s="1301" t="str">
        <f>S!B25</f>
        <v>Accelerated Inputs of Contaminants and/or Salts</v>
      </c>
      <c r="C187" s="1326" t="s">
        <v>2585</v>
      </c>
      <c r="D187" s="1952">
        <f>S!F37</f>
        <v>0.33333333333333331</v>
      </c>
      <c r="E187" s="608"/>
      <c r="F187" s="1052"/>
      <c r="G187" s="1286">
        <f>1-D187</f>
        <v>0.66666666666666674</v>
      </c>
      <c r="H187" s="995" t="s">
        <v>1467</v>
      </c>
      <c r="I187" s="1194" t="s">
        <v>2178</v>
      </c>
    </row>
    <row r="188" spans="1:68" s="126" customFormat="1" ht="36" customHeight="1" thickBot="1" x14ac:dyDescent="0.25">
      <c r="A188" s="1336" t="s">
        <v>88</v>
      </c>
      <c r="B188" s="1337" t="s">
        <v>2858</v>
      </c>
      <c r="C188" s="1338" t="s">
        <v>1165</v>
      </c>
      <c r="D188" s="1185" t="s">
        <v>45</v>
      </c>
      <c r="E188" s="1283" t="s">
        <v>1189</v>
      </c>
      <c r="F188" s="1284" t="s">
        <v>1190</v>
      </c>
      <c r="G188" s="2105" t="s">
        <v>2555</v>
      </c>
      <c r="H188" s="1184" t="s">
        <v>1118</v>
      </c>
      <c r="I188" s="1361" t="s">
        <v>2424</v>
      </c>
      <c r="J188" s="110"/>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c r="AR188" s="128"/>
      <c r="AS188" s="128"/>
      <c r="AT188" s="128"/>
      <c r="AU188" s="128"/>
      <c r="AV188" s="128"/>
      <c r="AW188" s="128"/>
      <c r="AX188" s="128"/>
      <c r="AY188" s="128"/>
      <c r="AZ188" s="128"/>
      <c r="BA188" s="128"/>
      <c r="BB188" s="128"/>
      <c r="BC188" s="128"/>
      <c r="BD188" s="128"/>
      <c r="BE188" s="128"/>
      <c r="BF188" s="128"/>
      <c r="BG188" s="128"/>
      <c r="BH188" s="128"/>
      <c r="BI188" s="128"/>
      <c r="BJ188" s="128"/>
      <c r="BK188" s="128"/>
      <c r="BL188" s="128"/>
      <c r="BM188" s="128"/>
      <c r="BN188" s="128"/>
      <c r="BO188" s="128"/>
    </row>
    <row r="189" spans="1:68" s="14" customFormat="1" ht="117" customHeight="1" thickBot="1" x14ac:dyDescent="0.25">
      <c r="A189" s="103" t="str">
        <f>OF!A39</f>
        <v>OF6</v>
      </c>
      <c r="B189" s="103" t="str">
        <f>OF!B39</f>
        <v>Herbaceous Uniqueness</v>
      </c>
      <c r="C189" s="859" t="str">
        <f>OF!C39</f>
        <v xml:space="preserve">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 NOTE: Exclude lawns, row crops, heavily grazed lands, forest, shrublands. Include moss as well as grasslike plants in this use of "herbaceous vegetation"]
</v>
      </c>
      <c r="D189" s="869">
        <f>OF!D39</f>
        <v>3</v>
      </c>
      <c r="E189" s="333"/>
      <c r="F189" s="323"/>
      <c r="G189" s="447">
        <f>D189/3</f>
        <v>1</v>
      </c>
      <c r="H189" s="103" t="s">
        <v>2228</v>
      </c>
      <c r="I189" s="1287" t="s">
        <v>1305</v>
      </c>
      <c r="J189" s="11"/>
      <c r="K189" s="128"/>
      <c r="BP189" s="9"/>
    </row>
    <row r="190" spans="1:68" s="14" customFormat="1" ht="99" customHeight="1" thickBot="1" x14ac:dyDescent="0.25">
      <c r="A190" s="1296" t="str">
        <f>OF!A40</f>
        <v>OF7</v>
      </c>
      <c r="B190" s="1296" t="str">
        <f>OF!B40</f>
        <v>Woody Uniqueness</v>
      </c>
      <c r="C190" s="1130" t="str">
        <f>OF!C40</f>
        <v xml:space="preserve">The AA's vegetation cover is &gt;10% woody* but uplands within 5 km have &lt;10% woody cover. If so, enter "3" and continue to OF8.  If not, consider: 
The AA's vegetation is &gt;10% woody* but uplands within 1 km have &lt;10% woody cover. If so enter "2" and continue to OF8.  If not, consider: 
The AA's vegetation is &gt;10%  woody* but uplands within 100 m of the wetland edge have &lt;10% woody cover.  If so, enter "1"  
 [* NOTE: woody cover = trees &amp; shrubs taller than 1 m.]
</v>
      </c>
      <c r="D190" s="1300">
        <f>OF!D40</f>
        <v>0</v>
      </c>
      <c r="E190" s="608"/>
      <c r="F190" s="319">
        <f>D190*E190</f>
        <v>0</v>
      </c>
      <c r="G190" s="1329">
        <f>D190/3</f>
        <v>0</v>
      </c>
      <c r="H190" s="1976" t="s">
        <v>87</v>
      </c>
      <c r="I190" s="1141" t="s">
        <v>1306</v>
      </c>
      <c r="J190" s="11"/>
      <c r="K190" s="128"/>
      <c r="BP190" s="9"/>
    </row>
    <row r="191" spans="1:68" s="14" customFormat="1" ht="30" customHeight="1" thickBot="1" x14ac:dyDescent="0.25">
      <c r="A191" s="2326" t="str">
        <f>OF!A64</f>
        <v>OF13</v>
      </c>
      <c r="B191" s="2326" t="str">
        <f>OF!B64</f>
        <v>Distance to Ponded Water</v>
      </c>
      <c r="C191" s="368" t="str">
        <f>OF!C64</f>
        <v>The distance from the AA center to the closest (but separate) ponded water body visible in GoogleEarth imagery is:</v>
      </c>
      <c r="D191" s="331"/>
      <c r="E191" s="427"/>
      <c r="F191" s="304"/>
      <c r="G191" s="447">
        <f>MAX(F192:F198)/MAX(E192:E198)</f>
        <v>0.5</v>
      </c>
      <c r="H191" s="2326" t="s">
        <v>2361</v>
      </c>
      <c r="I191" s="1527" t="s">
        <v>2362</v>
      </c>
      <c r="J191" s="11"/>
      <c r="K191" s="128"/>
      <c r="BP191" s="9"/>
    </row>
    <row r="192" spans="1:68" s="14" customFormat="1" ht="25.5" x14ac:dyDescent="0.2">
      <c r="A192" s="2327"/>
      <c r="B192" s="2327"/>
      <c r="C192" s="369" t="str">
        <f>OF!C65</f>
        <v xml:space="preserve">&lt;50 m, and not separated by any width of paved roads, stretches of open water, row crops, lawn, bare ground, or impervious surface. </v>
      </c>
      <c r="D192" s="70">
        <f>OF!D65</f>
        <v>0</v>
      </c>
      <c r="E192" s="324">
        <v>0</v>
      </c>
      <c r="F192" s="300">
        <f t="shared" ref="F192:F198" si="9">D192*E192</f>
        <v>0</v>
      </c>
      <c r="G192" s="302"/>
      <c r="H192" s="2327"/>
      <c r="I192" s="1141"/>
      <c r="J192" s="11"/>
      <c r="K192" s="128"/>
      <c r="BP192" s="9"/>
    </row>
    <row r="193" spans="1:68" s="14" customFormat="1" x14ac:dyDescent="0.2">
      <c r="A193" s="2327"/>
      <c r="B193" s="2327"/>
      <c r="C193" s="872" t="str">
        <f>OF!C66</f>
        <v>&lt;50 m, but completely separated by those features.</v>
      </c>
      <c r="D193" s="70">
        <f>OF!D66</f>
        <v>0</v>
      </c>
      <c r="E193" s="324">
        <v>0</v>
      </c>
      <c r="F193" s="300">
        <f t="shared" si="9"/>
        <v>0</v>
      </c>
      <c r="G193" s="325"/>
      <c r="H193" s="2327"/>
      <c r="I193" s="1141"/>
      <c r="J193" s="11"/>
      <c r="K193" s="128"/>
      <c r="BP193" s="9"/>
    </row>
    <row r="194" spans="1:68" s="14" customFormat="1" x14ac:dyDescent="0.2">
      <c r="A194" s="2327"/>
      <c r="B194" s="2327"/>
      <c r="C194" s="872" t="str">
        <f>OF!C67</f>
        <v>50-500 m, and not separated.</v>
      </c>
      <c r="D194" s="70">
        <f>OF!D67</f>
        <v>0</v>
      </c>
      <c r="E194" s="324">
        <v>1</v>
      </c>
      <c r="F194" s="300">
        <f t="shared" si="9"/>
        <v>0</v>
      </c>
      <c r="G194" s="325"/>
      <c r="H194" s="2327"/>
      <c r="I194" s="1141"/>
      <c r="J194" s="11"/>
      <c r="K194" s="128"/>
      <c r="BP194" s="9"/>
    </row>
    <row r="195" spans="1:68" s="14" customFormat="1" x14ac:dyDescent="0.2">
      <c r="A195" s="2327"/>
      <c r="B195" s="2327"/>
      <c r="C195" s="872" t="str">
        <f>OF!C68</f>
        <v>50-500 m, but separated by those features.</v>
      </c>
      <c r="D195" s="70">
        <f>OF!D68</f>
        <v>0</v>
      </c>
      <c r="E195" s="324">
        <v>1</v>
      </c>
      <c r="F195" s="300">
        <f t="shared" si="9"/>
        <v>0</v>
      </c>
      <c r="G195" s="325"/>
      <c r="H195" s="2327"/>
      <c r="I195" s="1141"/>
      <c r="J195" s="11"/>
      <c r="K195" s="128"/>
      <c r="BP195" s="9"/>
    </row>
    <row r="196" spans="1:68" s="14" customFormat="1" x14ac:dyDescent="0.2">
      <c r="A196" s="2327"/>
      <c r="B196" s="2327"/>
      <c r="C196" s="872" t="str">
        <f>OF!C69</f>
        <v>0.5 - 1 km, and not separated.</v>
      </c>
      <c r="D196" s="70">
        <f>OF!D69</f>
        <v>0</v>
      </c>
      <c r="E196" s="324">
        <v>2</v>
      </c>
      <c r="F196" s="300">
        <f t="shared" si="9"/>
        <v>0</v>
      </c>
      <c r="G196" s="325"/>
      <c r="H196" s="2327"/>
      <c r="I196" s="1141"/>
      <c r="J196" s="11"/>
      <c r="K196" s="128"/>
      <c r="BP196" s="9"/>
    </row>
    <row r="197" spans="1:68" s="14" customFormat="1" x14ac:dyDescent="0.2">
      <c r="A197" s="2327"/>
      <c r="B197" s="2327"/>
      <c r="C197" s="872" t="str">
        <f>OF!C70</f>
        <v>0.5 - 1 km, but separated by those features.</v>
      </c>
      <c r="D197" s="70">
        <f>OF!D70</f>
        <v>1</v>
      </c>
      <c r="E197" s="324">
        <v>2</v>
      </c>
      <c r="F197" s="300">
        <f t="shared" si="9"/>
        <v>2</v>
      </c>
      <c r="G197" s="325"/>
      <c r="H197" s="2327"/>
      <c r="I197" s="1141"/>
      <c r="J197" s="11"/>
      <c r="K197" s="128"/>
      <c r="BP197" s="9"/>
    </row>
    <row r="198" spans="1:68" s="14" customFormat="1" ht="17.25" thickBot="1" x14ac:dyDescent="0.25">
      <c r="A198" s="2328"/>
      <c r="B198" s="2328"/>
      <c r="C198" s="375" t="str">
        <f>OF!C71</f>
        <v>None of the above (the closest patches or corridors that large are &gt;1 km away).</v>
      </c>
      <c r="D198" s="474">
        <f>OF!D71</f>
        <v>0</v>
      </c>
      <c r="E198" s="326">
        <v>4</v>
      </c>
      <c r="F198" s="303">
        <f t="shared" si="9"/>
        <v>0</v>
      </c>
      <c r="G198" s="327"/>
      <c r="H198" s="2328"/>
      <c r="I198" s="1526"/>
      <c r="J198" s="11"/>
      <c r="K198" s="128"/>
      <c r="BP198" s="9"/>
    </row>
    <row r="199" spans="1:68" s="14" customFormat="1" ht="45.75" customHeight="1" thickBot="1" x14ac:dyDescent="0.25">
      <c r="A199" s="1521" t="str">
        <f>OF!A139</f>
        <v>OF29</v>
      </c>
      <c r="B199" s="1521" t="str">
        <f>OF!B139</f>
        <v>Species of Conservation Concern</v>
      </c>
      <c r="C199" s="613" t="str">
        <f>OF!C141</f>
        <v>Presence of one or more of the amphibian or reptile species (AM) of conservation concern as listed in the Wildlife_Rare worksheet of the accompanying SuppInfo file.</v>
      </c>
      <c r="D199" s="249">
        <f>OF!D141</f>
        <v>0</v>
      </c>
      <c r="E199" s="333"/>
      <c r="F199" s="312"/>
      <c r="G199" s="426">
        <f>D199</f>
        <v>0</v>
      </c>
      <c r="H199" s="1963" t="s">
        <v>1629</v>
      </c>
      <c r="I199" s="1526" t="s">
        <v>1312</v>
      </c>
      <c r="J199" s="11"/>
      <c r="K199" s="128"/>
      <c r="BP199" s="9"/>
    </row>
    <row r="200" spans="1:68" s="14" customFormat="1" ht="42.6" customHeight="1" thickBot="1" x14ac:dyDescent="0.25">
      <c r="A200" s="4"/>
      <c r="B200" s="1330" t="str">
        <f>WBF!C171</f>
        <v>Function Score for Feeding Waterbird Habitat</v>
      </c>
      <c r="C200" s="1331"/>
      <c r="D200" s="459"/>
      <c r="E200" s="459"/>
      <c r="F200" s="1332"/>
      <c r="G200" s="447">
        <f>WBF!G171/10</f>
        <v>0.74398148148148135</v>
      </c>
      <c r="H200" s="4" t="s">
        <v>474</v>
      </c>
      <c r="I200" s="1287" t="s">
        <v>576</v>
      </c>
      <c r="J200" s="11"/>
      <c r="K200" s="128"/>
      <c r="BP200" s="9"/>
    </row>
    <row r="201" spans="1:68" s="14" customFormat="1" ht="45" customHeight="1" thickBot="1" x14ac:dyDescent="0.25">
      <c r="A201" s="4"/>
      <c r="B201" s="1330" t="str">
        <f>SBM!C182</f>
        <v>Function Score for Songbird, Raptor, &amp; Mammal Habitat</v>
      </c>
      <c r="C201" s="1331"/>
      <c r="D201" s="459"/>
      <c r="E201" s="1333"/>
      <c r="F201" s="1334"/>
      <c r="G201" s="426">
        <f>SBM!G182/10</f>
        <v>0.5769982993197279</v>
      </c>
      <c r="H201" s="4"/>
      <c r="I201" s="1287" t="s">
        <v>577</v>
      </c>
      <c r="J201" s="11"/>
      <c r="K201" s="128"/>
      <c r="BP201" s="9"/>
    </row>
    <row r="202" spans="1:68" ht="21" customHeight="1" thickBot="1" x14ac:dyDescent="0.25">
      <c r="A202" s="1115"/>
      <c r="B202" s="1115"/>
      <c r="C202" s="1115"/>
      <c r="D202" s="2784"/>
      <c r="E202" s="2784"/>
      <c r="F202" s="2784"/>
      <c r="G202" s="2784"/>
      <c r="H202" s="2784"/>
    </row>
    <row r="203" spans="1:68" ht="21" customHeight="1" x14ac:dyDescent="0.2">
      <c r="A203" s="8"/>
      <c r="B203" s="8"/>
      <c r="C203" s="8"/>
      <c r="D203" s="2677" t="s">
        <v>613</v>
      </c>
      <c r="E203" s="2678"/>
      <c r="F203" s="2678"/>
      <c r="G203" s="1289">
        <f>IFERROR(AVERAGE(Fluctu11, SatPct11,PermWpct11, ISOwet11),"")</f>
        <v>0.45833333333333337</v>
      </c>
      <c r="H203" s="1422" t="s">
        <v>2406</v>
      </c>
      <c r="I203" s="1423" t="s">
        <v>2139</v>
      </c>
    </row>
    <row r="204" spans="1:68" ht="21" customHeight="1" x14ac:dyDescent="0.2">
      <c r="A204" s="8"/>
      <c r="B204" s="8"/>
      <c r="C204" s="8"/>
      <c r="D204" s="2679" t="s">
        <v>314</v>
      </c>
      <c r="E204" s="2680"/>
      <c r="F204" s="2680"/>
      <c r="G204" s="1290" t="str">
        <f>IF((AllSat1)&gt;0,"", IF((NoPonded=1),"", AVERAGE(ABpct11,WoodAbove11, Interspers11, Vwidth11)))</f>
        <v/>
      </c>
      <c r="H204" s="1543" t="s">
        <v>2060</v>
      </c>
      <c r="I204" s="1424" t="s">
        <v>2140</v>
      </c>
    </row>
    <row r="205" spans="1:68" ht="21" customHeight="1" x14ac:dyDescent="0.2">
      <c r="A205" s="8"/>
      <c r="B205" s="8"/>
      <c r="C205" s="8"/>
      <c r="D205" s="2679" t="s">
        <v>315</v>
      </c>
      <c r="E205" s="2680"/>
      <c r="F205" s="2680"/>
      <c r="G205" s="1290">
        <f>AVERAGE(WoodDown11, WoodHerbMix11,ShrubSun11, Gcover11, Girreg11,Inclus11a,WetTypeDiv11)</f>
        <v>0.70833333333333337</v>
      </c>
      <c r="H205" s="1543" t="s">
        <v>2332</v>
      </c>
      <c r="I205" s="1424" t="s">
        <v>2141</v>
      </c>
    </row>
    <row r="206" spans="1:68" ht="21" customHeight="1" x14ac:dyDescent="0.2">
      <c r="A206" s="8"/>
      <c r="B206" s="8"/>
      <c r="C206" s="8"/>
      <c r="D206" s="2679" t="s">
        <v>149</v>
      </c>
      <c r="E206" s="2680"/>
      <c r="F206" s="2680"/>
      <c r="G206" s="1290">
        <f>AVERAGE(Aspect11, _GDD11,TreeVar11,GroundW11,Karst11)</f>
        <v>0.43055555555555552</v>
      </c>
      <c r="H206" s="1543" t="s">
        <v>2578</v>
      </c>
      <c r="I206" s="1424" t="s">
        <v>2142</v>
      </c>
    </row>
    <row r="207" spans="1:68" ht="27" customHeight="1" x14ac:dyDescent="0.2">
      <c r="A207" s="8"/>
      <c r="B207" s="8"/>
      <c r="C207" s="8"/>
      <c r="D207" s="2679" t="s">
        <v>118</v>
      </c>
      <c r="E207" s="2680"/>
      <c r="F207" s="2680"/>
      <c r="G207" s="1290">
        <f>AVERAGE(RoadCirc11,AVERAGE(NatVegPct11, BuffLU11, NatVegProx11, NatCov2mi11, ScapeLU11, NatVegSize11))</f>
        <v>0.20922619047619048</v>
      </c>
      <c r="H207" s="1543" t="s">
        <v>2061</v>
      </c>
      <c r="I207" s="1424" t="s">
        <v>2143</v>
      </c>
    </row>
    <row r="208" spans="1:68" ht="30" customHeight="1" x14ac:dyDescent="0.2">
      <c r="A208" s="8"/>
      <c r="B208" s="8"/>
      <c r="C208" s="8"/>
      <c r="D208" s="2638" t="s">
        <v>192</v>
      </c>
      <c r="E208" s="2639"/>
      <c r="F208" s="2639"/>
      <c r="G208" s="1290">
        <f>PondProx11</f>
        <v>0.2857142857142857</v>
      </c>
      <c r="H208" s="1543" t="s">
        <v>1310</v>
      </c>
      <c r="I208" s="1424" t="s">
        <v>2860</v>
      </c>
    </row>
    <row r="209" spans="1:9" ht="21" customHeight="1" thickBot="1" x14ac:dyDescent="0.25">
      <c r="A209" s="8"/>
      <c r="B209" s="8"/>
      <c r="C209" s="8"/>
      <c r="D209" s="2681" t="s">
        <v>1142</v>
      </c>
      <c r="E209" s="2682"/>
      <c r="F209" s="2682"/>
      <c r="G209" s="1291">
        <f>AVERAGE(FishAcc11, AVERAGE(RdDis11, Acidic11,Toxic11, ToxicIn11,Core1_11,Core2_11,_BMP11))</f>
        <v>0.91666666666666674</v>
      </c>
      <c r="H209" s="1425" t="s">
        <v>1311</v>
      </c>
      <c r="I209" s="1426" t="s">
        <v>2145</v>
      </c>
    </row>
    <row r="210" spans="1:9" ht="21" customHeight="1" thickBot="1" x14ac:dyDescent="0.25">
      <c r="A210" s="8"/>
      <c r="B210" s="8"/>
      <c r="C210" s="8"/>
      <c r="D210" s="2816"/>
      <c r="E210" s="2816"/>
      <c r="F210" s="2816"/>
      <c r="G210" s="2816"/>
      <c r="H210" s="2785"/>
    </row>
    <row r="211" spans="1:9" ht="30" customHeight="1" thickBot="1" x14ac:dyDescent="0.25">
      <c r="A211" s="2785"/>
      <c r="B211" s="2815"/>
      <c r="C211" s="2557" t="s">
        <v>910</v>
      </c>
      <c r="D211" s="2558"/>
      <c r="E211" s="2559"/>
      <c r="F211" s="1453" t="s">
        <v>52</v>
      </c>
      <c r="G211" s="1278">
        <f>10*AVERAGE(Wettype11, Hydro11,(AVERAGE(AqStruc11,TerrStruc11,Produc11,Lscape11,Waterscape11,Stress11)))</f>
        <v>6.5614417989417992</v>
      </c>
      <c r="H211" s="2525" t="s">
        <v>2408</v>
      </c>
      <c r="I211" s="2526"/>
    </row>
    <row r="212" spans="1:9" ht="30" customHeight="1" thickBot="1" x14ac:dyDescent="0.25">
      <c r="A212" s="2785"/>
      <c r="B212" s="2815"/>
      <c r="C212" s="2557" t="s">
        <v>2144</v>
      </c>
      <c r="D212" s="2558"/>
      <c r="E212" s="2559"/>
      <c r="F212" s="1453" t="s">
        <v>2219</v>
      </c>
      <c r="G212" s="1279">
        <f>10*(IF((RareHerp=1),1, AVERAGE(WBFscore10, MAX(HerbUniq,WoodyUniq,DistPond10),SBMscore10)))</f>
        <v>7.736599269337364</v>
      </c>
      <c r="H212" s="2525" t="s">
        <v>2363</v>
      </c>
      <c r="I212" s="2526"/>
    </row>
    <row r="213" spans="1:9" ht="21" customHeight="1" thickBot="1" x14ac:dyDescent="0.25">
      <c r="A213" s="8"/>
      <c r="B213" s="8"/>
      <c r="C213" s="8"/>
      <c r="D213" s="8"/>
      <c r="E213" s="8"/>
      <c r="F213" s="8"/>
      <c r="G213" s="8"/>
      <c r="H213" s="8"/>
    </row>
    <row r="214" spans="1:9" ht="21" customHeight="1" thickBot="1" x14ac:dyDescent="0.25">
      <c r="A214" s="8"/>
      <c r="B214" s="8"/>
      <c r="C214" s="8"/>
      <c r="D214" s="8"/>
      <c r="E214" s="8"/>
      <c r="F214" s="8"/>
      <c r="G214" s="8"/>
      <c r="H214" s="2755" t="s">
        <v>669</v>
      </c>
      <c r="I214" s="2756"/>
    </row>
    <row r="215" spans="1:9" ht="42" customHeight="1" x14ac:dyDescent="0.2">
      <c r="A215" s="8"/>
      <c r="B215" s="8"/>
      <c r="C215" s="8"/>
      <c r="D215" s="8"/>
      <c r="E215" s="8"/>
      <c r="F215" s="8"/>
      <c r="G215" s="8"/>
      <c r="H215" s="2709" t="s">
        <v>850</v>
      </c>
      <c r="I215" s="2710"/>
    </row>
    <row r="216" spans="1:9" ht="42" customHeight="1" x14ac:dyDescent="0.2">
      <c r="A216" s="8"/>
      <c r="B216" s="8"/>
      <c r="C216" s="8"/>
      <c r="D216" s="8"/>
      <c r="E216" s="8"/>
      <c r="F216" s="8"/>
      <c r="G216" s="8"/>
      <c r="H216" s="2537" t="s">
        <v>1370</v>
      </c>
      <c r="I216" s="2538"/>
    </row>
    <row r="217" spans="1:9" ht="42" customHeight="1" x14ac:dyDescent="0.2">
      <c r="A217" s="8"/>
      <c r="B217" s="8"/>
      <c r="C217" s="8"/>
      <c r="D217" s="8"/>
      <c r="E217" s="8"/>
      <c r="F217" s="8"/>
      <c r="G217" s="8"/>
      <c r="H217" s="2537" t="s">
        <v>1748</v>
      </c>
      <c r="I217" s="2538"/>
    </row>
    <row r="218" spans="1:9" ht="42" customHeight="1" x14ac:dyDescent="0.2">
      <c r="A218" s="8"/>
      <c r="B218" s="8"/>
      <c r="C218" s="8"/>
      <c r="D218" s="8"/>
      <c r="E218" s="8"/>
      <c r="F218" s="8"/>
      <c r="G218" s="8"/>
      <c r="H218" s="2531" t="s">
        <v>1520</v>
      </c>
      <c r="I218" s="2532"/>
    </row>
    <row r="219" spans="1:9" ht="27" customHeight="1" x14ac:dyDescent="0.2">
      <c r="A219" s="8"/>
      <c r="B219" s="8"/>
      <c r="C219" s="8"/>
      <c r="D219" s="8"/>
      <c r="E219" s="8"/>
      <c r="F219" s="8"/>
      <c r="G219" s="8"/>
      <c r="H219" s="2531" t="s">
        <v>851</v>
      </c>
      <c r="I219" s="2532"/>
    </row>
    <row r="220" spans="1:9" ht="27" customHeight="1" x14ac:dyDescent="0.2">
      <c r="A220" s="8"/>
      <c r="B220" s="8"/>
      <c r="C220" s="8"/>
      <c r="D220" s="8"/>
      <c r="E220" s="8"/>
      <c r="F220" s="8"/>
      <c r="G220" s="8"/>
      <c r="H220" s="2535" t="s">
        <v>1371</v>
      </c>
      <c r="I220" s="2536"/>
    </row>
    <row r="221" spans="1:9" ht="27" customHeight="1" x14ac:dyDescent="0.2">
      <c r="A221" s="8"/>
      <c r="B221" s="8"/>
      <c r="C221" s="8"/>
      <c r="D221" s="8"/>
      <c r="E221" s="8"/>
      <c r="F221" s="8"/>
      <c r="G221" s="8"/>
      <c r="H221" s="2531" t="s">
        <v>852</v>
      </c>
      <c r="I221" s="2532"/>
    </row>
    <row r="222" spans="1:9" ht="27" customHeight="1" x14ac:dyDescent="0.2">
      <c r="A222" s="8"/>
      <c r="B222" s="8"/>
      <c r="C222" s="8"/>
      <c r="D222" s="8"/>
      <c r="E222" s="8"/>
      <c r="F222" s="8"/>
      <c r="G222" s="8"/>
      <c r="H222" s="2531" t="s">
        <v>853</v>
      </c>
      <c r="I222" s="2532"/>
    </row>
    <row r="223" spans="1:9" ht="27" customHeight="1" x14ac:dyDescent="0.2">
      <c r="A223" s="8"/>
      <c r="B223" s="8"/>
      <c r="C223" s="8"/>
      <c r="D223" s="8"/>
      <c r="E223" s="8"/>
      <c r="F223" s="8"/>
      <c r="G223" s="8"/>
      <c r="H223" s="2531" t="s">
        <v>854</v>
      </c>
      <c r="I223" s="2532"/>
    </row>
    <row r="224" spans="1:9" ht="27" customHeight="1" x14ac:dyDescent="0.2">
      <c r="A224" s="8"/>
      <c r="B224" s="8"/>
      <c r="C224" s="8"/>
      <c r="D224" s="8"/>
      <c r="E224" s="8"/>
      <c r="F224" s="8"/>
      <c r="G224" s="8"/>
      <c r="H224" s="2531" t="s">
        <v>1741</v>
      </c>
      <c r="I224" s="2532"/>
    </row>
    <row r="225" spans="1:9" ht="42" customHeight="1" x14ac:dyDescent="0.2">
      <c r="A225" s="8"/>
      <c r="B225" s="8"/>
      <c r="C225" s="8"/>
      <c r="D225" s="8"/>
      <c r="E225" s="8"/>
      <c r="F225" s="8"/>
      <c r="G225" s="8"/>
      <c r="H225" s="2531" t="s">
        <v>1420</v>
      </c>
      <c r="I225" s="2532"/>
    </row>
    <row r="226" spans="1:9" ht="27" customHeight="1" x14ac:dyDescent="0.2">
      <c r="A226" s="8"/>
      <c r="B226" s="8"/>
      <c r="C226" s="8"/>
      <c r="D226" s="8"/>
      <c r="E226" s="8"/>
      <c r="F226" s="8"/>
      <c r="G226" s="8"/>
      <c r="H226" s="2531" t="s">
        <v>1742</v>
      </c>
      <c r="I226" s="2532"/>
    </row>
    <row r="227" spans="1:9" ht="27" customHeight="1" x14ac:dyDescent="0.2">
      <c r="A227" s="8"/>
      <c r="B227" s="8"/>
      <c r="C227" s="8"/>
      <c r="D227" s="8"/>
      <c r="E227" s="8"/>
      <c r="F227" s="8"/>
      <c r="G227" s="8"/>
      <c r="H227" s="2535" t="s">
        <v>1372</v>
      </c>
      <c r="I227" s="2536"/>
    </row>
    <row r="228" spans="1:9" ht="42" customHeight="1" x14ac:dyDescent="0.2">
      <c r="A228" s="8"/>
      <c r="B228" s="8"/>
      <c r="C228" s="8"/>
      <c r="D228" s="8"/>
      <c r="E228" s="8"/>
      <c r="F228" s="8"/>
      <c r="G228" s="8"/>
      <c r="H228" s="2537" t="s">
        <v>855</v>
      </c>
      <c r="I228" s="2538"/>
    </row>
    <row r="229" spans="1:9" ht="42" customHeight="1" x14ac:dyDescent="0.2">
      <c r="A229" s="8"/>
      <c r="B229" s="8"/>
      <c r="C229" s="8"/>
      <c r="D229" s="8"/>
      <c r="E229" s="8"/>
      <c r="F229" s="8"/>
      <c r="G229" s="8"/>
      <c r="H229" s="2537" t="s">
        <v>1743</v>
      </c>
      <c r="I229" s="2538"/>
    </row>
    <row r="230" spans="1:9" ht="42" customHeight="1" x14ac:dyDescent="0.2">
      <c r="A230" s="8"/>
      <c r="B230" s="8"/>
      <c r="C230" s="8"/>
      <c r="D230" s="8"/>
      <c r="E230" s="8"/>
      <c r="F230" s="8"/>
      <c r="G230" s="8"/>
      <c r="H230" s="2537" t="s">
        <v>1521</v>
      </c>
      <c r="I230" s="2538"/>
    </row>
    <row r="231" spans="1:9" ht="27" customHeight="1" x14ac:dyDescent="0.2">
      <c r="A231" s="8"/>
      <c r="B231" s="8"/>
      <c r="C231" s="8"/>
      <c r="D231" s="8"/>
      <c r="E231" s="8"/>
      <c r="F231" s="8"/>
      <c r="G231" s="8"/>
      <c r="H231" s="2537" t="s">
        <v>1397</v>
      </c>
      <c r="I231" s="2538"/>
    </row>
    <row r="232" spans="1:9" ht="27" customHeight="1" x14ac:dyDescent="0.2">
      <c r="A232" s="8"/>
      <c r="B232" s="8"/>
      <c r="C232" s="8"/>
      <c r="D232" s="8"/>
      <c r="E232" s="8"/>
      <c r="F232" s="8"/>
      <c r="G232" s="8"/>
      <c r="H232" s="2531" t="s">
        <v>856</v>
      </c>
      <c r="I232" s="2532"/>
    </row>
    <row r="233" spans="1:9" ht="27" customHeight="1" x14ac:dyDescent="0.2">
      <c r="A233" s="8"/>
      <c r="B233" s="8"/>
      <c r="C233" s="8"/>
      <c r="D233" s="8"/>
      <c r="E233" s="8"/>
      <c r="F233" s="8"/>
      <c r="G233" s="8"/>
      <c r="H233" s="2535" t="s">
        <v>1394</v>
      </c>
      <c r="I233" s="2536"/>
    </row>
    <row r="234" spans="1:9" ht="27" customHeight="1" x14ac:dyDescent="0.2">
      <c r="A234" s="8"/>
      <c r="B234" s="3"/>
      <c r="C234" s="12"/>
      <c r="D234" s="659"/>
      <c r="E234" s="589"/>
      <c r="F234" s="660"/>
      <c r="G234" s="661"/>
      <c r="H234" s="2535" t="s">
        <v>1395</v>
      </c>
      <c r="I234" s="2536"/>
    </row>
    <row r="235" spans="1:9" ht="27" customHeight="1" x14ac:dyDescent="0.2">
      <c r="A235" s="8"/>
      <c r="B235" s="3"/>
      <c r="C235" s="12"/>
      <c r="D235" s="659"/>
      <c r="E235" s="589"/>
      <c r="F235" s="660"/>
      <c r="G235" s="661"/>
      <c r="H235" s="2535" t="s">
        <v>1396</v>
      </c>
      <c r="I235" s="2536"/>
    </row>
    <row r="236" spans="1:9" ht="27" customHeight="1" x14ac:dyDescent="0.2">
      <c r="A236" s="8"/>
      <c r="B236" s="3"/>
      <c r="C236" s="12"/>
      <c r="D236" s="659"/>
      <c r="E236" s="589"/>
      <c r="F236" s="660"/>
      <c r="G236" s="661"/>
      <c r="H236" s="2535" t="s">
        <v>1744</v>
      </c>
      <c r="I236" s="2536"/>
    </row>
    <row r="237" spans="1:9" ht="27" customHeight="1" x14ac:dyDescent="0.2">
      <c r="A237" s="8"/>
      <c r="B237" s="3"/>
      <c r="C237" s="12"/>
      <c r="D237" s="659"/>
      <c r="E237" s="8"/>
      <c r="F237" s="8"/>
      <c r="G237" s="8"/>
      <c r="H237" s="2535" t="s">
        <v>1745</v>
      </c>
      <c r="I237" s="2536"/>
    </row>
    <row r="238" spans="1:9" ht="27" customHeight="1" x14ac:dyDescent="0.2">
      <c r="A238" s="8"/>
      <c r="B238" s="3"/>
      <c r="C238" s="12"/>
      <c r="D238" s="659"/>
      <c r="E238" s="659"/>
      <c r="F238" s="1093"/>
      <c r="G238" s="660"/>
      <c r="H238" s="2535" t="s">
        <v>1373</v>
      </c>
      <c r="I238" s="2536"/>
    </row>
    <row r="239" spans="1:9" ht="27" customHeight="1" x14ac:dyDescent="0.2">
      <c r="A239" s="8"/>
      <c r="B239" s="3"/>
      <c r="C239" s="12"/>
      <c r="D239" s="659"/>
      <c r="E239" s="659"/>
      <c r="F239" s="1093"/>
      <c r="G239" s="660"/>
      <c r="H239" s="2537" t="s">
        <v>1204</v>
      </c>
      <c r="I239" s="2538"/>
    </row>
    <row r="240" spans="1:9" ht="27" customHeight="1" x14ac:dyDescent="0.2">
      <c r="A240" s="8"/>
      <c r="B240" s="3"/>
      <c r="C240" s="12"/>
      <c r="D240" s="659"/>
      <c r="E240" s="589"/>
      <c r="F240" s="660"/>
      <c r="G240" s="661"/>
      <c r="H240" s="2535" t="s">
        <v>1374</v>
      </c>
      <c r="I240" s="2536"/>
    </row>
    <row r="241" spans="1:9" ht="27" customHeight="1" x14ac:dyDescent="0.2">
      <c r="A241" s="8"/>
      <c r="B241" s="3"/>
      <c r="C241" s="12"/>
      <c r="D241" s="659"/>
      <c r="E241" s="589"/>
      <c r="F241" s="660"/>
      <c r="G241" s="661"/>
      <c r="H241" s="2701" t="s">
        <v>1522</v>
      </c>
      <c r="I241" s="2702"/>
    </row>
    <row r="242" spans="1:9" ht="27" customHeight="1" x14ac:dyDescent="0.2">
      <c r="A242" s="8"/>
      <c r="B242" s="3"/>
      <c r="C242" s="12"/>
      <c r="D242" s="659"/>
      <c r="E242" s="589"/>
      <c r="F242" s="660"/>
      <c r="G242" s="661"/>
      <c r="H242" s="2701" t="s">
        <v>1375</v>
      </c>
      <c r="I242" s="2702"/>
    </row>
    <row r="243" spans="1:9" ht="42" customHeight="1" x14ac:dyDescent="0.2">
      <c r="A243" s="8"/>
      <c r="B243" s="3"/>
      <c r="C243" s="12"/>
      <c r="D243" s="659"/>
      <c r="E243" s="589"/>
      <c r="F243" s="660"/>
      <c r="G243" s="661"/>
      <c r="H243" s="2531" t="s">
        <v>1630</v>
      </c>
      <c r="I243" s="2532"/>
    </row>
    <row r="244" spans="1:9" ht="42" customHeight="1" x14ac:dyDescent="0.2">
      <c r="A244" s="8"/>
      <c r="B244" s="3"/>
      <c r="C244" s="12"/>
      <c r="D244" s="659"/>
      <c r="E244" s="589"/>
      <c r="F244" s="660"/>
      <c r="G244" s="661"/>
      <c r="H244" s="2531" t="s">
        <v>1410</v>
      </c>
      <c r="I244" s="2532"/>
    </row>
    <row r="245" spans="1:9" ht="27" customHeight="1" x14ac:dyDescent="0.2">
      <c r="A245" s="8"/>
      <c r="B245" s="3"/>
      <c r="C245" s="12"/>
      <c r="D245" s="659"/>
      <c r="E245" s="589"/>
      <c r="F245" s="660"/>
      <c r="G245" s="661"/>
      <c r="H245" s="2531" t="s">
        <v>1746</v>
      </c>
      <c r="I245" s="2532"/>
    </row>
    <row r="246" spans="1:9" ht="27" customHeight="1" x14ac:dyDescent="0.2">
      <c r="A246" s="8"/>
      <c r="B246" s="3"/>
      <c r="C246" s="12"/>
      <c r="D246" s="659"/>
      <c r="E246" s="972"/>
      <c r="F246" s="660"/>
      <c r="G246" s="661"/>
      <c r="H246" s="2531" t="s">
        <v>1747</v>
      </c>
      <c r="I246" s="2532"/>
    </row>
    <row r="247" spans="1:9" ht="27" customHeight="1" x14ac:dyDescent="0.2">
      <c r="A247" s="8"/>
      <c r="B247" s="3"/>
      <c r="C247" s="12"/>
      <c r="D247" s="659"/>
      <c r="E247" s="589"/>
      <c r="F247" s="660"/>
      <c r="G247" s="661"/>
      <c r="H247" s="2531" t="s">
        <v>1351</v>
      </c>
      <c r="I247" s="2532"/>
    </row>
    <row r="248" spans="1:9" ht="42" customHeight="1" x14ac:dyDescent="0.2">
      <c r="A248" s="8"/>
      <c r="B248" s="3"/>
      <c r="C248" s="12"/>
      <c r="D248" s="659"/>
      <c r="E248" s="589"/>
      <c r="F248" s="660"/>
      <c r="G248" s="661"/>
      <c r="H248" s="2531" t="s">
        <v>857</v>
      </c>
      <c r="I248" s="2532"/>
    </row>
    <row r="249" spans="1:9" ht="27" customHeight="1" x14ac:dyDescent="0.2">
      <c r="A249" s="8"/>
      <c r="B249" s="3"/>
      <c r="C249" s="12"/>
      <c r="D249" s="659"/>
      <c r="E249" s="589"/>
      <c r="F249" s="660"/>
      <c r="G249" s="661"/>
      <c r="H249" s="2535" t="s">
        <v>1631</v>
      </c>
      <c r="I249" s="2536"/>
    </row>
    <row r="250" spans="1:9" ht="27" customHeight="1" x14ac:dyDescent="0.2">
      <c r="A250" s="8"/>
      <c r="B250" s="3"/>
      <c r="C250" s="12"/>
      <c r="D250" s="659"/>
      <c r="E250" s="972"/>
      <c r="F250" s="660"/>
      <c r="G250" s="661"/>
      <c r="H250" s="2535" t="s">
        <v>1523</v>
      </c>
      <c r="I250" s="2536"/>
    </row>
    <row r="251" spans="1:9" ht="42" customHeight="1" thickBot="1" x14ac:dyDescent="0.25">
      <c r="A251" s="8"/>
      <c r="B251" s="3"/>
      <c r="C251" s="12"/>
      <c r="D251" s="659"/>
      <c r="E251" s="589"/>
      <c r="F251" s="660"/>
      <c r="G251" s="661"/>
      <c r="H251" s="2802" t="s">
        <v>1376</v>
      </c>
      <c r="I251" s="2803"/>
    </row>
    <row r="252" spans="1:9" x14ac:dyDescent="0.2">
      <c r="F252" s="660"/>
      <c r="G252" s="661"/>
    </row>
    <row r="253" spans="1:9" x14ac:dyDescent="0.2">
      <c r="F253" s="660"/>
      <c r="G253" s="661"/>
    </row>
    <row r="254" spans="1:9" x14ac:dyDescent="0.2">
      <c r="F254" s="660"/>
      <c r="G254" s="661"/>
    </row>
    <row r="255" spans="1:9" x14ac:dyDescent="0.2">
      <c r="F255" s="660"/>
      <c r="G255" s="661"/>
    </row>
    <row r="256" spans="1:9" x14ac:dyDescent="0.2">
      <c r="F256" s="660"/>
      <c r="G256" s="661"/>
    </row>
    <row r="257" spans="1:7" x14ac:dyDescent="0.2">
      <c r="F257" s="660"/>
      <c r="G257" s="661"/>
    </row>
    <row r="258" spans="1:7" x14ac:dyDescent="0.2">
      <c r="A258" s="8"/>
      <c r="B258" s="3"/>
      <c r="C258" s="12"/>
      <c r="D258" s="659"/>
      <c r="E258" s="659"/>
      <c r="F258" s="660"/>
      <c r="G258" s="661"/>
    </row>
    <row r="259" spans="1:7" x14ac:dyDescent="0.2">
      <c r="A259" s="8"/>
      <c r="B259" s="3"/>
      <c r="C259" s="12"/>
      <c r="D259" s="659"/>
      <c r="E259" s="659"/>
      <c r="F259" s="660"/>
      <c r="G259" s="661"/>
    </row>
    <row r="260" spans="1:7" x14ac:dyDescent="0.2">
      <c r="A260" s="8"/>
      <c r="B260" s="3"/>
      <c r="C260" s="12"/>
      <c r="D260" s="659"/>
      <c r="E260" s="659"/>
      <c r="F260" s="660"/>
      <c r="G260" s="661"/>
    </row>
    <row r="261" spans="1:7" x14ac:dyDescent="0.2">
      <c r="A261" s="8"/>
      <c r="B261" s="3"/>
      <c r="C261" s="12"/>
      <c r="D261" s="659"/>
      <c r="E261" s="659"/>
      <c r="F261" s="660"/>
      <c r="G261" s="661"/>
    </row>
    <row r="262" spans="1:7" x14ac:dyDescent="0.2">
      <c r="A262" s="8"/>
      <c r="B262" s="3"/>
      <c r="C262" s="12"/>
      <c r="D262" s="659"/>
      <c r="E262" s="659"/>
      <c r="F262" s="660"/>
      <c r="G262" s="661"/>
    </row>
    <row r="263" spans="1:7" x14ac:dyDescent="0.2">
      <c r="A263" s="8"/>
      <c r="B263" s="3"/>
      <c r="C263" s="12"/>
      <c r="D263" s="659"/>
      <c r="E263" s="659"/>
      <c r="F263" s="660"/>
      <c r="G263" s="661"/>
    </row>
    <row r="264" spans="1:7" x14ac:dyDescent="0.2">
      <c r="A264" s="8"/>
      <c r="B264" s="3"/>
      <c r="C264" s="12"/>
      <c r="D264" s="659"/>
      <c r="E264" s="659"/>
      <c r="F264" s="660"/>
      <c r="G264" s="661"/>
    </row>
    <row r="265" spans="1:7" x14ac:dyDescent="0.2">
      <c r="A265" s="8"/>
      <c r="B265" s="3"/>
      <c r="C265" s="12"/>
      <c r="D265" s="659"/>
      <c r="E265" s="659"/>
      <c r="F265" s="660"/>
      <c r="G265" s="661"/>
    </row>
    <row r="266" spans="1:7" x14ac:dyDescent="0.2">
      <c r="A266" s="8"/>
      <c r="B266" s="3"/>
      <c r="C266" s="12"/>
      <c r="D266" s="659"/>
      <c r="E266" s="659"/>
      <c r="F266" s="660"/>
      <c r="G266" s="661"/>
    </row>
    <row r="267" spans="1:7" x14ac:dyDescent="0.2">
      <c r="A267" s="8"/>
      <c r="B267" s="3"/>
      <c r="C267" s="12"/>
      <c r="D267" s="659"/>
      <c r="E267" s="659"/>
      <c r="F267" s="660"/>
      <c r="G267" s="661"/>
    </row>
    <row r="268" spans="1:7" x14ac:dyDescent="0.2">
      <c r="A268" s="8"/>
      <c r="B268" s="3"/>
      <c r="C268" s="12"/>
      <c r="D268" s="659"/>
      <c r="E268" s="659"/>
      <c r="F268" s="660"/>
      <c r="G268" s="661"/>
    </row>
    <row r="269" spans="1:7" x14ac:dyDescent="0.2">
      <c r="A269" s="8"/>
      <c r="B269" s="3"/>
      <c r="C269" s="12"/>
      <c r="D269" s="659"/>
      <c r="E269" s="659"/>
      <c r="F269" s="660"/>
      <c r="G269" s="661"/>
    </row>
    <row r="270" spans="1:7" x14ac:dyDescent="0.2">
      <c r="A270" s="8"/>
      <c r="B270" s="3"/>
      <c r="C270" s="12"/>
      <c r="D270" s="659"/>
      <c r="E270" s="659"/>
      <c r="F270" s="660"/>
      <c r="G270" s="661"/>
    </row>
    <row r="271" spans="1:7" x14ac:dyDescent="0.2">
      <c r="A271" s="8"/>
      <c r="B271" s="3"/>
      <c r="C271" s="12"/>
      <c r="D271" s="659"/>
      <c r="E271" s="659"/>
      <c r="F271" s="660"/>
      <c r="G271" s="661"/>
    </row>
    <row r="272" spans="1:7" x14ac:dyDescent="0.2">
      <c r="A272" s="8"/>
      <c r="B272" s="3"/>
      <c r="C272" s="12"/>
      <c r="D272" s="659"/>
      <c r="E272" s="659"/>
      <c r="F272" s="660"/>
      <c r="G272" s="661"/>
    </row>
    <row r="273" spans="1:7" x14ac:dyDescent="0.2">
      <c r="A273" s="8"/>
      <c r="B273" s="3"/>
      <c r="C273" s="12"/>
      <c r="D273" s="659"/>
      <c r="E273" s="659"/>
      <c r="F273" s="660"/>
      <c r="G273" s="661"/>
    </row>
    <row r="274" spans="1:7" x14ac:dyDescent="0.2">
      <c r="A274" s="8"/>
      <c r="B274" s="3"/>
      <c r="C274" s="12"/>
      <c r="D274" s="659"/>
      <c r="E274" s="659"/>
      <c r="F274" s="660"/>
      <c r="G274" s="661"/>
    </row>
    <row r="275" spans="1:7" x14ac:dyDescent="0.2">
      <c r="A275" s="8"/>
      <c r="B275" s="3"/>
      <c r="C275" s="12"/>
      <c r="D275" s="659"/>
      <c r="E275" s="659"/>
      <c r="F275" s="660"/>
      <c r="G275" s="661"/>
    </row>
    <row r="276" spans="1:7" x14ac:dyDescent="0.2">
      <c r="A276" s="8"/>
      <c r="B276" s="3"/>
      <c r="C276" s="12"/>
      <c r="D276" s="659"/>
      <c r="E276" s="659"/>
      <c r="F276" s="660"/>
      <c r="G276" s="661"/>
    </row>
    <row r="277" spans="1:7" x14ac:dyDescent="0.2">
      <c r="A277" s="8"/>
      <c r="B277" s="3"/>
      <c r="C277" s="12"/>
      <c r="D277" s="659"/>
      <c r="E277" s="659"/>
      <c r="F277" s="660"/>
      <c r="G277" s="661"/>
    </row>
    <row r="278" spans="1:7" x14ac:dyDescent="0.2">
      <c r="A278" s="8"/>
      <c r="B278" s="3"/>
      <c r="C278" s="12"/>
      <c r="D278" s="659"/>
      <c r="E278" s="659"/>
      <c r="F278" s="660"/>
      <c r="G278" s="661"/>
    </row>
    <row r="279" spans="1:7" x14ac:dyDescent="0.2">
      <c r="A279" s="8"/>
      <c r="B279" s="3"/>
      <c r="C279" s="12"/>
      <c r="D279" s="659"/>
      <c r="E279" s="659"/>
      <c r="F279" s="660"/>
      <c r="G279" s="661"/>
    </row>
    <row r="280" spans="1:7" x14ac:dyDescent="0.2">
      <c r="A280" s="8"/>
      <c r="B280" s="3"/>
      <c r="C280" s="12"/>
      <c r="D280" s="659"/>
      <c r="E280" s="659"/>
      <c r="F280" s="660"/>
      <c r="G280" s="661"/>
    </row>
    <row r="281" spans="1:7" x14ac:dyDescent="0.2">
      <c r="A281" s="8"/>
      <c r="B281" s="3"/>
      <c r="C281" s="12"/>
      <c r="D281" s="659"/>
      <c r="E281" s="659"/>
      <c r="F281" s="660"/>
      <c r="G281" s="661"/>
    </row>
    <row r="282" spans="1:7" x14ac:dyDescent="0.2">
      <c r="A282" s="8"/>
      <c r="B282" s="3"/>
      <c r="C282" s="12"/>
      <c r="D282" s="659"/>
      <c r="E282" s="659"/>
      <c r="F282" s="660"/>
      <c r="G282" s="661"/>
    </row>
    <row r="283" spans="1:7" x14ac:dyDescent="0.2">
      <c r="A283" s="8"/>
      <c r="B283" s="3"/>
      <c r="C283" s="12"/>
      <c r="D283" s="659"/>
      <c r="E283" s="659"/>
      <c r="F283" s="660"/>
      <c r="G283" s="661"/>
    </row>
    <row r="284" spans="1:7" x14ac:dyDescent="0.2">
      <c r="A284" s="8"/>
      <c r="B284" s="3"/>
      <c r="C284" s="12"/>
      <c r="D284" s="659"/>
      <c r="E284" s="659"/>
      <c r="F284" s="660"/>
      <c r="G284" s="661"/>
    </row>
    <row r="285" spans="1:7" x14ac:dyDescent="0.2">
      <c r="A285" s="8"/>
      <c r="B285" s="3"/>
      <c r="C285" s="12"/>
      <c r="D285" s="659"/>
      <c r="E285" s="659"/>
      <c r="F285" s="660"/>
      <c r="G285" s="661"/>
    </row>
    <row r="286" spans="1:7" x14ac:dyDescent="0.2">
      <c r="A286" s="8"/>
      <c r="B286" s="3"/>
      <c r="C286" s="12"/>
      <c r="D286" s="659"/>
      <c r="E286" s="659"/>
      <c r="F286" s="660"/>
      <c r="G286" s="661"/>
    </row>
    <row r="287" spans="1:7" x14ac:dyDescent="0.2">
      <c r="A287" s="8"/>
      <c r="B287" s="3"/>
      <c r="C287" s="12"/>
      <c r="D287" s="659"/>
      <c r="E287" s="659"/>
      <c r="F287" s="660"/>
      <c r="G287" s="661"/>
    </row>
    <row r="288" spans="1:7" x14ac:dyDescent="0.2">
      <c r="A288" s="8"/>
      <c r="B288" s="3"/>
      <c r="C288" s="12"/>
      <c r="D288" s="659"/>
      <c r="E288" s="659"/>
      <c r="F288" s="660"/>
      <c r="G288" s="661"/>
    </row>
    <row r="289" spans="1:7" x14ac:dyDescent="0.2">
      <c r="A289" s="8"/>
      <c r="B289" s="3"/>
      <c r="C289" s="12"/>
      <c r="D289" s="659"/>
      <c r="E289" s="659"/>
      <c r="F289" s="660"/>
      <c r="G289" s="661"/>
    </row>
    <row r="290" spans="1:7" x14ac:dyDescent="0.2">
      <c r="A290" s="8"/>
      <c r="B290" s="3"/>
      <c r="C290" s="12"/>
      <c r="D290" s="659"/>
      <c r="E290" s="659"/>
      <c r="F290" s="660"/>
      <c r="G290" s="661"/>
    </row>
    <row r="291" spans="1:7" x14ac:dyDescent="0.2">
      <c r="A291" s="8"/>
      <c r="B291" s="3"/>
      <c r="C291" s="12"/>
      <c r="D291" s="659"/>
      <c r="E291" s="659"/>
      <c r="F291" s="660"/>
      <c r="G291" s="661"/>
    </row>
    <row r="292" spans="1:7" x14ac:dyDescent="0.2">
      <c r="A292" s="8"/>
      <c r="B292" s="3"/>
      <c r="C292" s="12"/>
      <c r="D292" s="659"/>
      <c r="E292" s="659"/>
      <c r="F292" s="660"/>
      <c r="G292" s="661"/>
    </row>
    <row r="293" spans="1:7" x14ac:dyDescent="0.2">
      <c r="A293" s="8"/>
      <c r="B293" s="3"/>
      <c r="C293" s="12"/>
      <c r="D293" s="659"/>
      <c r="E293" s="659"/>
      <c r="F293" s="660"/>
      <c r="G293" s="661"/>
    </row>
    <row r="294" spans="1:7" x14ac:dyDescent="0.2">
      <c r="A294" s="8"/>
      <c r="B294" s="3"/>
      <c r="C294" s="12"/>
      <c r="D294" s="659"/>
      <c r="E294" s="659"/>
      <c r="F294" s="660"/>
      <c r="G294" s="661"/>
    </row>
    <row r="295" spans="1:7" x14ac:dyDescent="0.2">
      <c r="A295" s="8"/>
      <c r="B295" s="3"/>
      <c r="C295" s="12"/>
      <c r="D295" s="659"/>
      <c r="E295" s="659"/>
      <c r="F295" s="660"/>
      <c r="G295" s="661"/>
    </row>
    <row r="296" spans="1:7" x14ac:dyDescent="0.2">
      <c r="A296" s="8"/>
      <c r="B296" s="3"/>
      <c r="C296" s="12"/>
      <c r="D296" s="659"/>
      <c r="E296" s="659"/>
      <c r="F296" s="660"/>
      <c r="G296" s="661"/>
    </row>
    <row r="297" spans="1:7" x14ac:dyDescent="0.2">
      <c r="A297" s="8"/>
      <c r="B297" s="3"/>
      <c r="C297" s="12"/>
      <c r="D297" s="659"/>
      <c r="E297" s="659"/>
      <c r="F297" s="660"/>
      <c r="G297" s="661"/>
    </row>
    <row r="298" spans="1:7" x14ac:dyDescent="0.2">
      <c r="A298" s="8"/>
      <c r="B298" s="3"/>
      <c r="C298" s="12"/>
      <c r="D298" s="659"/>
      <c r="E298" s="659"/>
      <c r="F298" s="660"/>
      <c r="G298" s="661"/>
    </row>
    <row r="299" spans="1:7" x14ac:dyDescent="0.2">
      <c r="A299" s="8"/>
      <c r="B299" s="3"/>
      <c r="C299" s="12"/>
      <c r="D299" s="659"/>
      <c r="E299" s="659"/>
      <c r="F299" s="660"/>
      <c r="G299" s="661"/>
    </row>
    <row r="300" spans="1:7" x14ac:dyDescent="0.2">
      <c r="A300" s="8"/>
      <c r="B300" s="3"/>
      <c r="C300" s="12"/>
      <c r="D300" s="659"/>
      <c r="E300" s="659"/>
      <c r="F300" s="660"/>
      <c r="G300" s="661"/>
    </row>
    <row r="301" spans="1:7" x14ac:dyDescent="0.2">
      <c r="A301" s="8"/>
      <c r="B301" s="3"/>
      <c r="C301" s="12"/>
      <c r="D301" s="659"/>
      <c r="E301" s="659"/>
      <c r="F301" s="660"/>
      <c r="G301" s="661"/>
    </row>
    <row r="302" spans="1:7" x14ac:dyDescent="0.2">
      <c r="A302" s="8"/>
      <c r="B302" s="3"/>
      <c r="C302" s="12"/>
      <c r="D302" s="659"/>
      <c r="E302" s="659"/>
      <c r="F302" s="660"/>
      <c r="G302" s="661"/>
    </row>
    <row r="303" spans="1:7" x14ac:dyDescent="0.2">
      <c r="A303" s="3"/>
      <c r="B303" s="3"/>
      <c r="C303" s="3"/>
      <c r="D303" s="334"/>
      <c r="E303" s="334"/>
      <c r="F303" s="660"/>
      <c r="G303" s="661"/>
    </row>
    <row r="304" spans="1:7" x14ac:dyDescent="0.2">
      <c r="A304" s="3"/>
      <c r="B304" s="3"/>
      <c r="C304" s="3"/>
      <c r="D304" s="334"/>
      <c r="E304" s="334"/>
      <c r="F304" s="660"/>
      <c r="G304" s="661"/>
    </row>
    <row r="305" spans="1:7" x14ac:dyDescent="0.2">
      <c r="A305" s="3"/>
      <c r="B305" s="3"/>
      <c r="C305" s="3"/>
      <c r="D305" s="334"/>
      <c r="E305" s="334"/>
      <c r="F305" s="660"/>
      <c r="G305" s="661"/>
    </row>
    <row r="306" spans="1:7" x14ac:dyDescent="0.2">
      <c r="A306" s="3"/>
      <c r="B306" s="3"/>
      <c r="C306" s="3"/>
      <c r="D306" s="334"/>
      <c r="E306" s="334"/>
      <c r="F306" s="660"/>
      <c r="G306" s="661"/>
    </row>
    <row r="307" spans="1:7" x14ac:dyDescent="0.2">
      <c r="A307" s="3"/>
      <c r="B307" s="3"/>
      <c r="C307" s="3"/>
      <c r="D307" s="334"/>
      <c r="E307" s="334"/>
      <c r="F307" s="660"/>
      <c r="G307" s="661"/>
    </row>
    <row r="308" spans="1:7" x14ac:dyDescent="0.2">
      <c r="A308" s="3"/>
      <c r="B308" s="3"/>
      <c r="C308" s="3"/>
      <c r="D308" s="334"/>
      <c r="E308" s="334"/>
      <c r="F308" s="660"/>
      <c r="G308" s="661"/>
    </row>
    <row r="309" spans="1:7" x14ac:dyDescent="0.2">
      <c r="A309" s="3"/>
      <c r="B309" s="3"/>
      <c r="C309" s="3"/>
      <c r="D309" s="334"/>
      <c r="E309" s="334"/>
      <c r="F309" s="660"/>
      <c r="G309" s="661"/>
    </row>
    <row r="310" spans="1:7" x14ac:dyDescent="0.2">
      <c r="A310" s="3"/>
      <c r="B310" s="3"/>
      <c r="C310" s="3"/>
      <c r="D310" s="334"/>
      <c r="E310" s="334"/>
      <c r="F310" s="660"/>
      <c r="G310" s="661"/>
    </row>
    <row r="311" spans="1:7" x14ac:dyDescent="0.2">
      <c r="A311" s="3"/>
      <c r="B311" s="3"/>
      <c r="C311" s="3"/>
      <c r="D311" s="334"/>
      <c r="E311" s="334"/>
      <c r="F311" s="660"/>
      <c r="G311" s="661"/>
    </row>
    <row r="312" spans="1:7" x14ac:dyDescent="0.2">
      <c r="A312" s="3"/>
      <c r="B312" s="3"/>
      <c r="C312" s="3"/>
      <c r="D312" s="334"/>
      <c r="E312" s="334"/>
      <c r="F312" s="660"/>
      <c r="G312" s="661"/>
    </row>
    <row r="313" spans="1:7" x14ac:dyDescent="0.2">
      <c r="A313" s="3"/>
      <c r="B313" s="3"/>
      <c r="C313" s="3"/>
      <c r="D313" s="334"/>
      <c r="E313" s="334"/>
      <c r="F313" s="660"/>
      <c r="G313" s="661"/>
    </row>
    <row r="314" spans="1:7" x14ac:dyDescent="0.2">
      <c r="A314" s="3"/>
      <c r="B314" s="3"/>
      <c r="C314" s="3"/>
      <c r="D314" s="334"/>
      <c r="E314" s="334"/>
      <c r="F314" s="660"/>
      <c r="G314" s="661"/>
    </row>
    <row r="315" spans="1:7" x14ac:dyDescent="0.2">
      <c r="A315" s="3"/>
      <c r="B315" s="3"/>
      <c r="C315" s="3"/>
      <c r="D315" s="334"/>
      <c r="E315" s="334"/>
      <c r="F315" s="660"/>
      <c r="G315" s="661"/>
    </row>
    <row r="316" spans="1:7" x14ac:dyDescent="0.2">
      <c r="A316" s="3"/>
      <c r="B316" s="3"/>
      <c r="C316" s="3"/>
      <c r="D316" s="334"/>
      <c r="E316" s="334"/>
      <c r="F316" s="660"/>
      <c r="G316" s="661"/>
    </row>
    <row r="317" spans="1:7" x14ac:dyDescent="0.2">
      <c r="A317" s="3"/>
      <c r="B317" s="3"/>
      <c r="C317" s="3"/>
      <c r="D317" s="334"/>
      <c r="E317" s="334"/>
      <c r="F317" s="660"/>
      <c r="G317" s="661"/>
    </row>
    <row r="318" spans="1:7" x14ac:dyDescent="0.2">
      <c r="A318" s="3"/>
      <c r="B318" s="3"/>
      <c r="C318" s="3"/>
      <c r="D318" s="334"/>
      <c r="E318" s="334"/>
      <c r="F318" s="660"/>
      <c r="G318" s="661"/>
    </row>
    <row r="319" spans="1:7" x14ac:dyDescent="0.2">
      <c r="A319" s="3"/>
      <c r="B319" s="3"/>
      <c r="C319" s="3"/>
      <c r="D319" s="334"/>
      <c r="E319" s="334"/>
      <c r="F319" s="660"/>
      <c r="G319" s="661"/>
    </row>
    <row r="320" spans="1:7" x14ac:dyDescent="0.2">
      <c r="A320" s="3"/>
      <c r="B320" s="3"/>
      <c r="C320" s="3"/>
      <c r="D320" s="334"/>
      <c r="E320" s="334"/>
      <c r="F320" s="660"/>
      <c r="G320" s="661"/>
    </row>
    <row r="321" spans="1:7" x14ac:dyDescent="0.2">
      <c r="A321" s="3"/>
      <c r="B321" s="3"/>
      <c r="C321" s="3"/>
      <c r="D321" s="334"/>
      <c r="E321" s="334"/>
      <c r="F321" s="660"/>
      <c r="G321" s="661"/>
    </row>
    <row r="322" spans="1:7" x14ac:dyDescent="0.2">
      <c r="A322" s="3"/>
      <c r="B322" s="3"/>
      <c r="C322" s="3"/>
      <c r="D322" s="334"/>
      <c r="E322" s="334"/>
      <c r="F322" s="660"/>
      <c r="G322" s="661"/>
    </row>
    <row r="323" spans="1:7" x14ac:dyDescent="0.2">
      <c r="A323" s="3"/>
      <c r="B323" s="3"/>
      <c r="C323" s="3"/>
      <c r="D323" s="334"/>
      <c r="E323" s="334"/>
      <c r="F323" s="660"/>
      <c r="G323" s="661"/>
    </row>
    <row r="324" spans="1:7" x14ac:dyDescent="0.2">
      <c r="A324" s="3"/>
      <c r="B324" s="3"/>
      <c r="C324" s="3"/>
      <c r="D324" s="334"/>
      <c r="E324" s="334"/>
      <c r="F324" s="660"/>
      <c r="G324" s="661"/>
    </row>
    <row r="325" spans="1:7" x14ac:dyDescent="0.2">
      <c r="A325" s="3"/>
      <c r="B325" s="3"/>
      <c r="C325" s="3"/>
      <c r="D325" s="334"/>
      <c r="E325" s="334"/>
      <c r="F325" s="660"/>
      <c r="G325" s="661"/>
    </row>
    <row r="326" spans="1:7" x14ac:dyDescent="0.2">
      <c r="A326" s="3"/>
      <c r="B326" s="3"/>
      <c r="C326" s="3"/>
      <c r="D326" s="334"/>
      <c r="E326" s="334"/>
      <c r="F326" s="660"/>
      <c r="G326" s="661"/>
    </row>
    <row r="327" spans="1:7" x14ac:dyDescent="0.2">
      <c r="A327" s="3"/>
      <c r="B327" s="3"/>
      <c r="C327" s="3"/>
      <c r="D327" s="334"/>
      <c r="E327" s="334"/>
      <c r="F327" s="660"/>
      <c r="G327" s="661"/>
    </row>
    <row r="328" spans="1:7" x14ac:dyDescent="0.2">
      <c r="A328" s="3"/>
      <c r="B328" s="3"/>
      <c r="C328" s="3"/>
      <c r="D328" s="334"/>
      <c r="E328" s="334"/>
      <c r="F328" s="660"/>
      <c r="G328" s="661"/>
    </row>
    <row r="329" spans="1:7" x14ac:dyDescent="0.2">
      <c r="A329" s="3"/>
      <c r="B329" s="3"/>
      <c r="C329" s="3"/>
      <c r="D329" s="334"/>
      <c r="E329" s="334"/>
      <c r="F329" s="660"/>
      <c r="G329" s="661"/>
    </row>
    <row r="330" spans="1:7" x14ac:dyDescent="0.2">
      <c r="A330" s="3"/>
      <c r="B330" s="3"/>
      <c r="C330" s="3"/>
      <c r="D330" s="334"/>
      <c r="E330" s="334"/>
      <c r="F330" s="660"/>
      <c r="G330" s="661"/>
    </row>
    <row r="331" spans="1:7" x14ac:dyDescent="0.2">
      <c r="A331" s="3"/>
      <c r="B331" s="3"/>
      <c r="C331" s="3"/>
      <c r="D331" s="334"/>
      <c r="E331" s="334"/>
      <c r="F331" s="660"/>
      <c r="G331" s="661"/>
    </row>
    <row r="332" spans="1:7" x14ac:dyDescent="0.2">
      <c r="A332" s="3"/>
      <c r="B332" s="3"/>
      <c r="C332" s="3"/>
      <c r="D332" s="334"/>
      <c r="E332" s="334"/>
      <c r="F332" s="660"/>
      <c r="G332" s="661"/>
    </row>
    <row r="333" spans="1:7" x14ac:dyDescent="0.2">
      <c r="A333" s="3"/>
      <c r="B333" s="3"/>
      <c r="C333" s="3"/>
      <c r="D333" s="334"/>
      <c r="E333" s="334"/>
      <c r="F333" s="660"/>
      <c r="G333" s="661"/>
    </row>
    <row r="334" spans="1:7" x14ac:dyDescent="0.2">
      <c r="A334" s="3"/>
      <c r="B334" s="3"/>
      <c r="C334" s="3"/>
      <c r="D334" s="334"/>
      <c r="E334" s="334"/>
      <c r="F334" s="660"/>
      <c r="G334" s="661"/>
    </row>
    <row r="335" spans="1:7" x14ac:dyDescent="0.2">
      <c r="A335" s="3"/>
      <c r="B335" s="3"/>
      <c r="C335" s="3"/>
      <c r="D335" s="334"/>
      <c r="E335" s="334"/>
      <c r="F335" s="660"/>
      <c r="G335" s="661"/>
    </row>
    <row r="336" spans="1:7" x14ac:dyDescent="0.2">
      <c r="A336" s="3"/>
      <c r="B336" s="3"/>
      <c r="C336" s="3"/>
      <c r="D336" s="334"/>
      <c r="E336" s="334"/>
      <c r="F336" s="660"/>
      <c r="G336" s="661"/>
    </row>
    <row r="337" spans="1:7" x14ac:dyDescent="0.2">
      <c r="A337" s="3"/>
      <c r="B337" s="3"/>
      <c r="C337" s="3"/>
      <c r="D337" s="334"/>
      <c r="E337" s="334"/>
      <c r="F337" s="660"/>
      <c r="G337" s="661"/>
    </row>
    <row r="338" spans="1:7" x14ac:dyDescent="0.2">
      <c r="A338" s="3"/>
      <c r="B338" s="3"/>
      <c r="C338" s="3"/>
      <c r="D338" s="334"/>
      <c r="E338" s="334"/>
      <c r="F338" s="660"/>
      <c r="G338" s="661"/>
    </row>
    <row r="339" spans="1:7" x14ac:dyDescent="0.2">
      <c r="A339" s="3"/>
      <c r="B339" s="3"/>
      <c r="C339" s="3"/>
      <c r="D339" s="334"/>
      <c r="E339" s="334"/>
      <c r="F339" s="660"/>
      <c r="G339" s="661"/>
    </row>
    <row r="340" spans="1:7" x14ac:dyDescent="0.2">
      <c r="A340" s="3"/>
      <c r="B340" s="3"/>
      <c r="C340" s="3"/>
      <c r="D340" s="334"/>
      <c r="E340" s="334"/>
      <c r="F340" s="660"/>
      <c r="G340" s="661"/>
    </row>
    <row r="341" spans="1:7" x14ac:dyDescent="0.2">
      <c r="A341" s="3"/>
      <c r="B341" s="3"/>
      <c r="C341" s="3"/>
      <c r="D341" s="334"/>
      <c r="E341" s="334"/>
      <c r="F341" s="660"/>
      <c r="G341" s="661"/>
    </row>
    <row r="342" spans="1:7" x14ac:dyDescent="0.2">
      <c r="A342" s="3"/>
      <c r="B342" s="3"/>
      <c r="C342" s="3"/>
      <c r="D342" s="334"/>
      <c r="E342" s="334"/>
      <c r="F342" s="660"/>
      <c r="G342" s="661"/>
    </row>
    <row r="343" spans="1:7" x14ac:dyDescent="0.2">
      <c r="A343" s="3"/>
      <c r="B343" s="3"/>
      <c r="C343" s="3"/>
      <c r="D343" s="334"/>
      <c r="E343" s="334"/>
      <c r="F343" s="660"/>
      <c r="G343" s="661"/>
    </row>
    <row r="344" spans="1:7" x14ac:dyDescent="0.2">
      <c r="A344" s="3"/>
      <c r="B344" s="3"/>
      <c r="C344" s="3"/>
      <c r="D344" s="334"/>
      <c r="E344" s="334"/>
      <c r="F344" s="660"/>
      <c r="G344" s="661"/>
    </row>
    <row r="345" spans="1:7" x14ac:dyDescent="0.2">
      <c r="A345" s="3"/>
      <c r="B345" s="3"/>
      <c r="C345" s="3"/>
      <c r="D345" s="334"/>
      <c r="E345" s="334"/>
      <c r="F345" s="660"/>
      <c r="G345" s="661"/>
    </row>
    <row r="346" spans="1:7" x14ac:dyDescent="0.2">
      <c r="A346" s="3"/>
      <c r="B346" s="3"/>
      <c r="C346" s="3"/>
      <c r="D346" s="334"/>
      <c r="E346" s="334"/>
      <c r="F346" s="660"/>
      <c r="G346" s="661"/>
    </row>
    <row r="347" spans="1:7" x14ac:dyDescent="0.2">
      <c r="A347" s="3"/>
      <c r="B347" s="3"/>
      <c r="C347" s="3"/>
      <c r="D347" s="334"/>
      <c r="E347" s="334"/>
      <c r="F347" s="660"/>
      <c r="G347" s="661"/>
    </row>
    <row r="348" spans="1:7" x14ac:dyDescent="0.2">
      <c r="A348" s="3"/>
      <c r="B348" s="3"/>
      <c r="C348" s="3"/>
      <c r="D348" s="334"/>
      <c r="E348" s="334"/>
      <c r="F348" s="660"/>
      <c r="G348" s="661"/>
    </row>
    <row r="349" spans="1:7" x14ac:dyDescent="0.2">
      <c r="A349" s="3"/>
      <c r="B349" s="3"/>
      <c r="C349" s="3"/>
      <c r="D349" s="334"/>
      <c r="E349" s="334"/>
      <c r="F349" s="660"/>
      <c r="G349" s="661"/>
    </row>
    <row r="350" spans="1:7" x14ac:dyDescent="0.2">
      <c r="A350" s="3"/>
      <c r="B350" s="3"/>
      <c r="C350" s="3"/>
      <c r="D350" s="334"/>
      <c r="E350" s="334"/>
      <c r="F350" s="660"/>
      <c r="G350" s="661"/>
    </row>
    <row r="351" spans="1:7" x14ac:dyDescent="0.2">
      <c r="A351" s="3"/>
      <c r="B351" s="3"/>
      <c r="C351" s="3"/>
      <c r="D351" s="334"/>
      <c r="E351" s="334"/>
      <c r="F351" s="660"/>
      <c r="G351" s="661"/>
    </row>
    <row r="352" spans="1:7" x14ac:dyDescent="0.2">
      <c r="A352" s="3"/>
      <c r="B352" s="3"/>
      <c r="C352" s="3"/>
      <c r="D352" s="334"/>
      <c r="E352" s="334"/>
      <c r="F352" s="660"/>
      <c r="G352" s="661"/>
    </row>
    <row r="353" spans="1:7" x14ac:dyDescent="0.2">
      <c r="A353" s="3"/>
      <c r="B353" s="3"/>
      <c r="C353" s="3"/>
      <c r="D353" s="334"/>
      <c r="E353" s="334"/>
      <c r="F353" s="660"/>
      <c r="G353" s="661"/>
    </row>
    <row r="354" spans="1:7" x14ac:dyDescent="0.2">
      <c r="A354" s="3"/>
      <c r="B354" s="3"/>
      <c r="C354" s="3"/>
      <c r="D354" s="334"/>
      <c r="E354" s="334"/>
      <c r="F354" s="660"/>
      <c r="G354" s="661"/>
    </row>
    <row r="355" spans="1:7" x14ac:dyDescent="0.2">
      <c r="A355" s="3"/>
      <c r="B355" s="3"/>
      <c r="C355" s="3"/>
      <c r="D355" s="334"/>
      <c r="E355" s="334"/>
      <c r="F355" s="660"/>
      <c r="G355" s="661"/>
    </row>
    <row r="356" spans="1:7" x14ac:dyDescent="0.2">
      <c r="A356" s="3"/>
      <c r="B356" s="3"/>
      <c r="C356" s="3"/>
      <c r="D356" s="334"/>
      <c r="E356" s="334"/>
      <c r="F356" s="660"/>
      <c r="G356" s="661"/>
    </row>
    <row r="357" spans="1:7" x14ac:dyDescent="0.2">
      <c r="A357" s="3"/>
      <c r="B357" s="3"/>
      <c r="C357" s="3"/>
      <c r="D357" s="334"/>
      <c r="E357" s="334"/>
      <c r="F357" s="660"/>
      <c r="G357" s="661"/>
    </row>
    <row r="358" spans="1:7" x14ac:dyDescent="0.2">
      <c r="A358" s="3"/>
      <c r="B358" s="3"/>
      <c r="C358" s="3"/>
      <c r="D358" s="334"/>
      <c r="E358" s="334"/>
      <c r="F358" s="660"/>
      <c r="G358" s="661"/>
    </row>
    <row r="359" spans="1:7" x14ac:dyDescent="0.2">
      <c r="A359" s="3"/>
      <c r="B359" s="3"/>
      <c r="C359" s="3"/>
      <c r="D359" s="334"/>
      <c r="E359" s="334"/>
      <c r="F359" s="660"/>
      <c r="G359" s="661"/>
    </row>
    <row r="360" spans="1:7" x14ac:dyDescent="0.2">
      <c r="A360" s="3"/>
      <c r="B360" s="3"/>
      <c r="C360" s="3"/>
      <c r="D360" s="334"/>
      <c r="E360" s="334"/>
      <c r="F360" s="660"/>
      <c r="G360" s="661"/>
    </row>
    <row r="361" spans="1:7" x14ac:dyDescent="0.2">
      <c r="A361" s="3"/>
      <c r="B361" s="3"/>
      <c r="C361" s="3"/>
      <c r="D361" s="334"/>
      <c r="E361" s="334"/>
      <c r="F361" s="660"/>
      <c r="G361" s="661"/>
    </row>
    <row r="362" spans="1:7" x14ac:dyDescent="0.2">
      <c r="A362" s="3"/>
      <c r="B362" s="3"/>
      <c r="C362" s="3"/>
      <c r="D362" s="334"/>
      <c r="E362" s="334"/>
      <c r="F362" s="660"/>
      <c r="G362" s="661"/>
    </row>
    <row r="363" spans="1:7" x14ac:dyDescent="0.2">
      <c r="A363" s="3"/>
      <c r="B363" s="3"/>
      <c r="C363" s="3"/>
      <c r="D363" s="334"/>
      <c r="E363" s="334"/>
      <c r="F363" s="660"/>
      <c r="G363" s="661"/>
    </row>
    <row r="364" spans="1:7" x14ac:dyDescent="0.2">
      <c r="A364" s="3"/>
      <c r="B364" s="3"/>
      <c r="C364" s="3"/>
      <c r="D364" s="334"/>
      <c r="E364" s="334"/>
      <c r="F364" s="660"/>
      <c r="G364" s="661"/>
    </row>
    <row r="365" spans="1:7" x14ac:dyDescent="0.2">
      <c r="A365" s="3"/>
      <c r="B365" s="3"/>
      <c r="C365" s="3"/>
      <c r="D365" s="334"/>
      <c r="E365" s="334"/>
      <c r="F365" s="660"/>
      <c r="G365" s="661"/>
    </row>
    <row r="366" spans="1:7" x14ac:dyDescent="0.2">
      <c r="A366" s="3"/>
      <c r="B366" s="3"/>
      <c r="C366" s="3"/>
      <c r="D366" s="334"/>
      <c r="E366" s="334"/>
      <c r="F366" s="660"/>
      <c r="G366" s="661"/>
    </row>
    <row r="367" spans="1:7" x14ac:dyDescent="0.2">
      <c r="A367" s="3"/>
      <c r="B367" s="3"/>
      <c r="C367" s="3"/>
      <c r="D367" s="334"/>
      <c r="E367" s="334"/>
      <c r="F367" s="660"/>
      <c r="G367" s="661"/>
    </row>
    <row r="368" spans="1:7" x14ac:dyDescent="0.2">
      <c r="A368" s="3"/>
      <c r="B368" s="3"/>
      <c r="C368" s="3"/>
      <c r="D368" s="334"/>
      <c r="E368" s="334"/>
      <c r="F368" s="660"/>
      <c r="G368" s="661"/>
    </row>
    <row r="369" spans="1:68" x14ac:dyDescent="0.2">
      <c r="A369" s="3"/>
      <c r="B369" s="3"/>
      <c r="C369" s="3"/>
      <c r="D369" s="334"/>
      <c r="E369" s="334"/>
      <c r="F369" s="660"/>
      <c r="G369" s="661"/>
    </row>
    <row r="370" spans="1:68" x14ac:dyDescent="0.2">
      <c r="A370" s="3"/>
      <c r="B370" s="3"/>
      <c r="C370" s="3"/>
      <c r="D370" s="334"/>
      <c r="E370" s="334"/>
      <c r="F370" s="660"/>
      <c r="G370" s="661"/>
    </row>
    <row r="371" spans="1:68" x14ac:dyDescent="0.2">
      <c r="A371" s="3"/>
      <c r="B371" s="3"/>
      <c r="C371" s="3"/>
      <c r="D371" s="334"/>
      <c r="E371" s="334"/>
      <c r="F371" s="660"/>
      <c r="G371" s="661"/>
    </row>
    <row r="372" spans="1:68" s="14" customFormat="1" x14ac:dyDescent="0.2">
      <c r="A372" s="3"/>
      <c r="B372" s="3"/>
      <c r="C372" s="3"/>
      <c r="D372" s="334"/>
      <c r="E372" s="334"/>
      <c r="F372" s="660"/>
      <c r="G372" s="661"/>
      <c r="H372" s="478"/>
      <c r="I372" s="11"/>
      <c r="K372" s="128"/>
      <c r="BP372" s="9"/>
    </row>
    <row r="373" spans="1:68" s="14" customFormat="1" x14ac:dyDescent="0.2">
      <c r="A373" s="3"/>
      <c r="B373" s="3"/>
      <c r="C373" s="3"/>
      <c r="D373" s="334"/>
      <c r="E373" s="334"/>
      <c r="F373" s="660"/>
      <c r="G373" s="661"/>
      <c r="H373" s="478"/>
      <c r="I373" s="11"/>
      <c r="K373" s="128"/>
      <c r="BP373" s="9"/>
    </row>
    <row r="374" spans="1:68" s="14" customFormat="1" x14ac:dyDescent="0.2">
      <c r="A374" s="3"/>
      <c r="B374" s="3"/>
      <c r="C374" s="3"/>
      <c r="D374" s="334"/>
      <c r="E374" s="334"/>
      <c r="F374" s="660"/>
      <c r="G374" s="661"/>
      <c r="H374" s="478"/>
      <c r="I374" s="11"/>
      <c r="K374" s="128"/>
      <c r="BP374" s="9"/>
    </row>
    <row r="375" spans="1:68" s="14" customFormat="1" x14ac:dyDescent="0.2">
      <c r="A375" s="3"/>
      <c r="B375" s="3"/>
      <c r="C375" s="3"/>
      <c r="D375" s="334"/>
      <c r="E375" s="334"/>
      <c r="F375" s="660"/>
      <c r="G375" s="661"/>
      <c r="H375" s="478"/>
      <c r="I375" s="11"/>
      <c r="K375" s="128"/>
      <c r="BP375" s="9"/>
    </row>
    <row r="376" spans="1:68" s="14" customFormat="1" x14ac:dyDescent="0.2">
      <c r="A376" s="3"/>
      <c r="B376" s="3"/>
      <c r="C376" s="3"/>
      <c r="D376" s="334"/>
      <c r="E376" s="334"/>
      <c r="F376" s="660"/>
      <c r="G376" s="661"/>
      <c r="H376" s="478"/>
      <c r="I376" s="11"/>
      <c r="K376" s="128"/>
      <c r="BP376" s="9"/>
    </row>
    <row r="377" spans="1:68" s="14" customFormat="1" x14ac:dyDescent="0.2">
      <c r="A377" s="3"/>
      <c r="B377" s="3"/>
      <c r="C377" s="3"/>
      <c r="D377" s="334"/>
      <c r="E377" s="334"/>
      <c r="F377" s="660"/>
      <c r="G377" s="661"/>
      <c r="H377" s="478"/>
      <c r="I377" s="11"/>
      <c r="K377" s="128"/>
      <c r="BP377" s="9"/>
    </row>
    <row r="378" spans="1:68" s="14" customFormat="1" x14ac:dyDescent="0.2">
      <c r="A378" s="3"/>
      <c r="B378" s="3"/>
      <c r="C378" s="3"/>
      <c r="D378" s="334"/>
      <c r="E378" s="334"/>
      <c r="F378" s="660"/>
      <c r="G378" s="661"/>
      <c r="H378" s="478"/>
      <c r="I378" s="11"/>
      <c r="K378" s="128"/>
      <c r="BP378" s="9"/>
    </row>
    <row r="379" spans="1:68" s="14" customFormat="1" x14ac:dyDescent="0.2">
      <c r="A379" s="3"/>
      <c r="B379" s="3"/>
      <c r="C379" s="3"/>
      <c r="D379" s="334"/>
      <c r="E379" s="334"/>
      <c r="F379" s="660"/>
      <c r="G379" s="661"/>
      <c r="H379" s="478"/>
      <c r="I379" s="11"/>
      <c r="K379" s="128"/>
    </row>
    <row r="380" spans="1:68" s="14" customFormat="1" x14ac:dyDescent="0.2">
      <c r="A380" s="3"/>
      <c r="B380" s="3"/>
      <c r="C380" s="3"/>
      <c r="D380" s="334"/>
      <c r="E380" s="334"/>
      <c r="F380" s="660"/>
      <c r="G380" s="661"/>
      <c r="H380" s="478"/>
      <c r="I380" s="11"/>
      <c r="K380" s="128"/>
    </row>
    <row r="381" spans="1:68" s="14" customFormat="1" x14ac:dyDescent="0.2">
      <c r="A381" s="3"/>
      <c r="B381" s="3"/>
      <c r="C381" s="3"/>
      <c r="D381" s="334"/>
      <c r="E381" s="334"/>
      <c r="F381" s="660"/>
      <c r="G381" s="661"/>
      <c r="H381" s="478"/>
      <c r="I381" s="11"/>
      <c r="K381" s="128"/>
    </row>
    <row r="382" spans="1:68" s="14" customFormat="1" x14ac:dyDescent="0.2">
      <c r="A382" s="3"/>
      <c r="B382" s="3"/>
      <c r="C382" s="3"/>
      <c r="D382" s="334"/>
      <c r="E382" s="334"/>
      <c r="F382" s="660"/>
      <c r="G382" s="661"/>
      <c r="H382" s="478"/>
      <c r="I382" s="11"/>
      <c r="K382" s="128"/>
    </row>
    <row r="383" spans="1:68" s="14" customFormat="1" x14ac:dyDescent="0.2">
      <c r="A383" s="3"/>
      <c r="B383" s="3"/>
      <c r="C383" s="3"/>
      <c r="D383" s="334"/>
      <c r="E383" s="334"/>
      <c r="F383" s="660"/>
      <c r="G383" s="661"/>
      <c r="H383" s="478"/>
      <c r="I383" s="11"/>
      <c r="K383" s="128"/>
    </row>
    <row r="384" spans="1:68" s="14" customFormat="1" x14ac:dyDescent="0.2">
      <c r="A384" s="3"/>
      <c r="B384" s="3"/>
      <c r="C384" s="3"/>
      <c r="D384" s="334"/>
      <c r="E384" s="334"/>
      <c r="F384" s="660"/>
      <c r="G384" s="661"/>
      <c r="H384" s="478"/>
      <c r="I384" s="11"/>
      <c r="K384" s="128"/>
    </row>
    <row r="385" spans="1:68" s="14" customFormat="1" x14ac:dyDescent="0.2">
      <c r="A385" s="3"/>
      <c r="B385" s="3"/>
      <c r="C385" s="3"/>
      <c r="D385" s="334"/>
      <c r="E385" s="334"/>
      <c r="F385" s="660"/>
      <c r="G385" s="661"/>
      <c r="H385" s="478"/>
      <c r="I385" s="11"/>
      <c r="K385" s="128"/>
    </row>
    <row r="386" spans="1:68" s="14" customFormat="1" x14ac:dyDescent="0.2">
      <c r="A386" s="3"/>
      <c r="B386" s="3"/>
      <c r="C386" s="3"/>
      <c r="D386" s="334"/>
      <c r="E386" s="334"/>
      <c r="F386" s="660"/>
      <c r="G386" s="661"/>
      <c r="H386" s="478"/>
      <c r="I386" s="11"/>
      <c r="K386" s="128"/>
    </row>
    <row r="387" spans="1:68" s="14" customFormat="1" x14ac:dyDescent="0.2">
      <c r="A387" s="3"/>
      <c r="B387" s="3"/>
      <c r="C387" s="3"/>
      <c r="D387" s="334"/>
      <c r="E387" s="334"/>
      <c r="F387" s="660"/>
      <c r="G387" s="661"/>
      <c r="H387" s="478"/>
      <c r="I387" s="11"/>
      <c r="K387" s="128"/>
    </row>
    <row r="388" spans="1:68" s="14" customFormat="1" x14ac:dyDescent="0.2">
      <c r="A388" s="3"/>
      <c r="B388" s="3"/>
      <c r="C388" s="3"/>
      <c r="D388" s="334"/>
      <c r="E388" s="334"/>
      <c r="F388" s="660"/>
      <c r="G388" s="661"/>
      <c r="H388" s="478"/>
      <c r="I388" s="11"/>
      <c r="K388" s="128"/>
      <c r="BP388" s="9"/>
    </row>
    <row r="389" spans="1:68" s="14" customFormat="1" x14ac:dyDescent="0.2">
      <c r="A389" s="3"/>
      <c r="B389" s="3"/>
      <c r="C389" s="3"/>
      <c r="D389" s="334"/>
      <c r="E389" s="334"/>
      <c r="F389" s="660"/>
      <c r="G389" s="661"/>
      <c r="H389" s="478"/>
      <c r="I389" s="11"/>
      <c r="K389" s="128"/>
      <c r="BP389" s="9"/>
    </row>
    <row r="390" spans="1:68" s="14" customFormat="1" x14ac:dyDescent="0.2">
      <c r="A390" s="3"/>
      <c r="B390" s="3"/>
      <c r="C390" s="3"/>
      <c r="D390" s="334"/>
      <c r="E390" s="334"/>
      <c r="F390" s="660"/>
      <c r="G390" s="661"/>
      <c r="H390" s="478"/>
      <c r="I390" s="11"/>
      <c r="K390" s="128"/>
      <c r="BP390" s="9"/>
    </row>
    <row r="391" spans="1:68" s="14" customFormat="1" x14ac:dyDescent="0.2">
      <c r="A391" s="3"/>
      <c r="B391" s="3"/>
      <c r="C391" s="3"/>
      <c r="D391" s="334"/>
      <c r="E391" s="334"/>
      <c r="F391" s="660"/>
      <c r="G391" s="661"/>
      <c r="H391" s="478"/>
      <c r="I391" s="11"/>
      <c r="K391" s="128"/>
      <c r="BP391" s="9"/>
    </row>
    <row r="392" spans="1:68" s="14" customFormat="1" x14ac:dyDescent="0.2">
      <c r="A392" s="3"/>
      <c r="B392" s="3"/>
      <c r="C392" s="3"/>
      <c r="D392" s="334"/>
      <c r="E392" s="334"/>
      <c r="F392" s="660"/>
      <c r="G392" s="661"/>
      <c r="H392" s="478"/>
      <c r="I392" s="11"/>
      <c r="K392" s="128"/>
      <c r="BP392" s="9"/>
    </row>
    <row r="393" spans="1:68" s="14" customFormat="1" x14ac:dyDescent="0.2">
      <c r="A393" s="3"/>
      <c r="B393" s="3"/>
      <c r="C393" s="3"/>
      <c r="D393" s="334"/>
      <c r="E393" s="334"/>
      <c r="F393" s="660"/>
      <c r="G393" s="661"/>
      <c r="H393" s="478"/>
      <c r="I393" s="11"/>
      <c r="K393" s="128"/>
      <c r="BP393" s="9"/>
    </row>
    <row r="394" spans="1:68" s="14" customFormat="1" x14ac:dyDescent="0.2">
      <c r="A394" s="3"/>
      <c r="B394" s="3"/>
      <c r="C394" s="3"/>
      <c r="D394" s="334"/>
      <c r="E394" s="334"/>
      <c r="F394" s="660"/>
      <c r="G394" s="661"/>
      <c r="H394" s="478"/>
      <c r="I394" s="11"/>
      <c r="K394" s="128"/>
      <c r="BP394" s="9"/>
    </row>
    <row r="395" spans="1:68" s="14" customFormat="1" x14ac:dyDescent="0.2">
      <c r="A395" s="3"/>
      <c r="B395" s="3"/>
      <c r="C395" s="3"/>
      <c r="D395" s="334"/>
      <c r="E395" s="334"/>
      <c r="F395" s="660"/>
      <c r="G395" s="661"/>
      <c r="H395" s="478"/>
      <c r="I395" s="11"/>
      <c r="K395" s="128"/>
      <c r="BP395" s="9"/>
    </row>
    <row r="396" spans="1:68" s="14" customFormat="1" x14ac:dyDescent="0.2">
      <c r="A396" s="3"/>
      <c r="B396" s="3"/>
      <c r="C396" s="3"/>
      <c r="D396" s="334"/>
      <c r="E396" s="334"/>
      <c r="F396" s="660"/>
      <c r="G396" s="661"/>
      <c r="H396" s="478"/>
      <c r="I396" s="11"/>
      <c r="K396" s="128"/>
      <c r="BP396" s="9"/>
    </row>
    <row r="397" spans="1:68" s="14" customFormat="1" x14ac:dyDescent="0.2">
      <c r="A397" s="3"/>
      <c r="B397" s="3"/>
      <c r="C397" s="3"/>
      <c r="D397" s="334"/>
      <c r="E397" s="334"/>
      <c r="F397" s="660"/>
      <c r="G397" s="661"/>
      <c r="H397" s="478"/>
      <c r="I397" s="11"/>
      <c r="K397" s="128"/>
      <c r="BP397" s="9"/>
    </row>
    <row r="398" spans="1:68" s="14" customFormat="1" x14ac:dyDescent="0.2">
      <c r="A398" s="3"/>
      <c r="B398" s="3"/>
      <c r="C398" s="3"/>
      <c r="D398" s="334"/>
      <c r="E398" s="334"/>
      <c r="F398" s="660"/>
      <c r="G398" s="661"/>
      <c r="H398" s="478"/>
      <c r="I398" s="11"/>
      <c r="K398" s="128"/>
      <c r="BP398" s="9"/>
    </row>
    <row r="399" spans="1:68" s="14" customFormat="1" x14ac:dyDescent="0.2">
      <c r="A399" s="3"/>
      <c r="B399" s="3"/>
      <c r="C399" s="3"/>
      <c r="D399" s="334"/>
      <c r="E399" s="334"/>
      <c r="F399" s="660"/>
      <c r="G399" s="661"/>
      <c r="H399" s="478"/>
      <c r="I399" s="11"/>
      <c r="K399" s="128"/>
      <c r="BP399" s="9"/>
    </row>
    <row r="400" spans="1:68" s="14" customFormat="1" x14ac:dyDescent="0.2">
      <c r="A400" s="3"/>
      <c r="B400" s="3"/>
      <c r="C400" s="3"/>
      <c r="D400" s="334"/>
      <c r="E400" s="334"/>
      <c r="F400" s="660"/>
      <c r="G400" s="661"/>
      <c r="H400" s="478"/>
      <c r="I400" s="11"/>
      <c r="K400" s="128"/>
      <c r="BP400" s="9"/>
    </row>
    <row r="401" spans="1:68" s="14" customFormat="1" x14ac:dyDescent="0.2">
      <c r="A401" s="3"/>
      <c r="B401" s="3"/>
      <c r="C401" s="3"/>
      <c r="D401" s="334"/>
      <c r="E401" s="334"/>
      <c r="F401" s="660"/>
      <c r="G401" s="661"/>
      <c r="H401" s="478"/>
      <c r="I401" s="11"/>
      <c r="K401" s="128"/>
      <c r="BP401" s="9"/>
    </row>
    <row r="402" spans="1:68" s="14" customFormat="1" x14ac:dyDescent="0.2">
      <c r="A402" s="3"/>
      <c r="B402" s="3"/>
      <c r="C402" s="3"/>
      <c r="D402" s="334"/>
      <c r="E402" s="334"/>
      <c r="F402" s="660"/>
      <c r="G402" s="661"/>
      <c r="H402" s="478"/>
      <c r="I402" s="11"/>
      <c r="K402" s="128"/>
      <c r="BP402" s="9"/>
    </row>
    <row r="403" spans="1:68" s="14" customFormat="1" x14ac:dyDescent="0.2">
      <c r="A403" s="3"/>
      <c r="B403" s="3"/>
      <c r="C403" s="3"/>
      <c r="D403" s="334"/>
      <c r="E403" s="334"/>
      <c r="F403" s="660"/>
      <c r="G403" s="661"/>
      <c r="H403" s="478"/>
      <c r="I403" s="11"/>
      <c r="K403" s="128"/>
      <c r="BP403" s="9"/>
    </row>
    <row r="404" spans="1:68" s="14" customFormat="1" x14ac:dyDescent="0.2">
      <c r="A404" s="3"/>
      <c r="B404" s="3"/>
      <c r="C404" s="3"/>
      <c r="D404" s="334"/>
      <c r="E404" s="334"/>
      <c r="F404" s="660"/>
      <c r="G404" s="661"/>
      <c r="H404" s="478"/>
      <c r="I404" s="11"/>
      <c r="K404" s="128"/>
      <c r="BP404" s="9"/>
    </row>
    <row r="405" spans="1:68" s="14" customFormat="1" x14ac:dyDescent="0.2">
      <c r="A405" s="3"/>
      <c r="B405" s="3"/>
      <c r="C405" s="3"/>
      <c r="D405" s="334"/>
      <c r="E405" s="334"/>
      <c r="F405" s="660"/>
      <c r="G405" s="661"/>
      <c r="H405" s="478"/>
      <c r="I405" s="11"/>
      <c r="K405" s="128"/>
      <c r="BP405" s="9"/>
    </row>
    <row r="406" spans="1:68" s="14" customFormat="1" x14ac:dyDescent="0.2">
      <c r="A406" s="3"/>
      <c r="B406" s="3"/>
      <c r="C406" s="3"/>
      <c r="D406" s="334"/>
      <c r="E406" s="334"/>
      <c r="F406" s="660"/>
      <c r="G406" s="661"/>
      <c r="H406" s="478"/>
      <c r="I406" s="11"/>
      <c r="K406" s="128"/>
      <c r="BP406" s="9"/>
    </row>
    <row r="407" spans="1:68" s="14" customFormat="1" x14ac:dyDescent="0.2">
      <c r="A407" s="3"/>
      <c r="B407" s="3"/>
      <c r="C407" s="3"/>
      <c r="D407" s="334"/>
      <c r="E407" s="334"/>
      <c r="F407" s="660"/>
      <c r="G407" s="661"/>
      <c r="H407" s="478"/>
      <c r="I407" s="11"/>
      <c r="K407" s="128"/>
      <c r="BP407" s="9"/>
    </row>
    <row r="408" spans="1:68" s="14" customFormat="1" x14ac:dyDescent="0.2">
      <c r="A408" s="3"/>
      <c r="B408" s="3"/>
      <c r="C408" s="3"/>
      <c r="D408" s="334"/>
      <c r="E408" s="334"/>
      <c r="F408" s="660"/>
      <c r="G408" s="661"/>
      <c r="H408" s="478"/>
      <c r="I408" s="11"/>
      <c r="K408" s="128"/>
      <c r="BP408" s="9"/>
    </row>
    <row r="409" spans="1:68" s="14" customFormat="1" x14ac:dyDescent="0.2">
      <c r="A409" s="3"/>
      <c r="B409" s="3"/>
      <c r="C409" s="3"/>
      <c r="D409" s="334"/>
      <c r="E409" s="334"/>
      <c r="F409" s="660"/>
      <c r="G409" s="661"/>
      <c r="H409" s="478"/>
      <c r="I409" s="11"/>
      <c r="K409" s="128"/>
      <c r="BP409" s="9"/>
    </row>
    <row r="410" spans="1:68" s="14" customFormat="1" x14ac:dyDescent="0.2">
      <c r="A410" s="3"/>
      <c r="B410" s="3"/>
      <c r="C410" s="3"/>
      <c r="D410" s="334"/>
      <c r="E410" s="334"/>
      <c r="F410" s="660"/>
      <c r="G410" s="661"/>
      <c r="H410" s="478"/>
      <c r="I410" s="11"/>
      <c r="K410" s="128"/>
      <c r="BP410" s="9"/>
    </row>
    <row r="411" spans="1:68" s="14" customFormat="1" x14ac:dyDescent="0.2">
      <c r="A411" s="3"/>
      <c r="B411" s="3"/>
      <c r="C411" s="3"/>
      <c r="D411" s="334"/>
      <c r="E411" s="334"/>
      <c r="F411" s="660"/>
      <c r="G411" s="661"/>
      <c r="H411" s="478"/>
      <c r="I411" s="11"/>
      <c r="K411" s="128"/>
      <c r="BP411" s="9"/>
    </row>
    <row r="412" spans="1:68" s="14" customFormat="1" x14ac:dyDescent="0.2">
      <c r="A412" s="3"/>
      <c r="B412" s="3"/>
      <c r="C412" s="3"/>
      <c r="D412" s="334"/>
      <c r="E412" s="334"/>
      <c r="F412" s="660"/>
      <c r="G412" s="661"/>
      <c r="H412" s="478"/>
      <c r="I412" s="11"/>
      <c r="K412" s="128"/>
      <c r="BP412" s="9"/>
    </row>
    <row r="413" spans="1:68" s="14" customFormat="1" x14ac:dyDescent="0.2">
      <c r="A413" s="3"/>
      <c r="B413" s="3"/>
      <c r="C413" s="3"/>
      <c r="D413" s="334"/>
      <c r="E413" s="334"/>
      <c r="F413" s="660"/>
      <c r="G413" s="661"/>
      <c r="H413" s="478"/>
      <c r="I413" s="11"/>
      <c r="K413" s="128"/>
      <c r="BP413" s="9"/>
    </row>
    <row r="414" spans="1:68" s="14" customFormat="1" x14ac:dyDescent="0.2">
      <c r="A414" s="3"/>
      <c r="B414" s="3"/>
      <c r="C414" s="3"/>
      <c r="D414" s="334"/>
      <c r="E414" s="334"/>
      <c r="F414" s="660"/>
      <c r="G414" s="661"/>
      <c r="H414" s="478"/>
      <c r="I414" s="11"/>
      <c r="K414" s="128"/>
      <c r="BP414" s="9"/>
    </row>
    <row r="415" spans="1:68" s="14" customFormat="1" x14ac:dyDescent="0.2">
      <c r="A415" s="3"/>
      <c r="B415" s="3"/>
      <c r="C415" s="3"/>
      <c r="D415" s="334"/>
      <c r="E415" s="334"/>
      <c r="F415" s="660"/>
      <c r="G415" s="661"/>
      <c r="H415" s="478"/>
      <c r="I415" s="11"/>
      <c r="K415" s="128"/>
      <c r="BP415" s="9"/>
    </row>
    <row r="416" spans="1:68" s="14" customFormat="1" x14ac:dyDescent="0.2">
      <c r="A416" s="3"/>
      <c r="B416" s="3"/>
      <c r="C416" s="3"/>
      <c r="D416" s="334"/>
      <c r="E416" s="334"/>
      <c r="F416" s="660"/>
      <c r="G416" s="661"/>
      <c r="H416" s="478"/>
      <c r="I416" s="11"/>
      <c r="K416" s="128"/>
      <c r="BP416" s="9"/>
    </row>
    <row r="417" spans="1:68" s="14" customFormat="1" x14ac:dyDescent="0.2">
      <c r="A417" s="3"/>
      <c r="B417" s="3"/>
      <c r="C417" s="3"/>
      <c r="D417" s="334"/>
      <c r="E417" s="334"/>
      <c r="F417" s="660"/>
      <c r="G417" s="661"/>
      <c r="H417" s="478"/>
      <c r="I417" s="11"/>
      <c r="K417" s="128"/>
      <c r="BP417" s="9"/>
    </row>
    <row r="418" spans="1:68" s="14" customFormat="1" x14ac:dyDescent="0.2">
      <c r="A418" s="3"/>
      <c r="B418" s="3"/>
      <c r="C418" s="3"/>
      <c r="D418" s="334"/>
      <c r="E418" s="334"/>
      <c r="F418" s="660"/>
      <c r="G418" s="661"/>
      <c r="H418" s="478"/>
      <c r="I418" s="11"/>
      <c r="K418" s="128"/>
      <c r="BP418" s="9"/>
    </row>
    <row r="419" spans="1:68" s="14" customFormat="1" x14ac:dyDescent="0.2">
      <c r="A419" s="3"/>
      <c r="B419" s="3"/>
      <c r="C419" s="3"/>
      <c r="D419" s="334"/>
      <c r="E419" s="334"/>
      <c r="F419" s="660"/>
      <c r="G419" s="661"/>
      <c r="H419" s="478"/>
      <c r="I419" s="11"/>
      <c r="K419" s="128"/>
      <c r="BP419" s="9"/>
    </row>
    <row r="420" spans="1:68" s="14" customFormat="1" x14ac:dyDescent="0.2">
      <c r="A420" s="3"/>
      <c r="B420" s="3"/>
      <c r="C420" s="3"/>
      <c r="D420" s="334"/>
      <c r="E420" s="334"/>
      <c r="F420" s="660"/>
      <c r="G420" s="661"/>
      <c r="H420" s="478"/>
      <c r="I420" s="11"/>
      <c r="K420" s="128"/>
      <c r="BP420" s="9"/>
    </row>
    <row r="421" spans="1:68" s="14" customFormat="1" x14ac:dyDescent="0.2">
      <c r="A421" s="3"/>
      <c r="B421" s="3"/>
      <c r="C421" s="3"/>
      <c r="D421" s="334"/>
      <c r="E421" s="334"/>
      <c r="F421" s="660"/>
      <c r="G421" s="661"/>
      <c r="H421" s="478"/>
      <c r="I421" s="11"/>
      <c r="K421" s="128"/>
      <c r="BP421" s="9"/>
    </row>
    <row r="422" spans="1:68" s="14" customFormat="1" x14ac:dyDescent="0.2">
      <c r="A422" s="3"/>
      <c r="B422" s="3"/>
      <c r="C422" s="3"/>
      <c r="D422" s="334"/>
      <c r="E422" s="334"/>
      <c r="F422" s="660"/>
      <c r="G422" s="661"/>
      <c r="H422" s="478"/>
      <c r="I422" s="11"/>
      <c r="K422" s="128"/>
      <c r="BP422" s="9"/>
    </row>
    <row r="423" spans="1:68" s="14" customFormat="1" x14ac:dyDescent="0.2">
      <c r="A423" s="3"/>
      <c r="B423" s="3"/>
      <c r="C423" s="3"/>
      <c r="D423" s="334"/>
      <c r="E423" s="334"/>
      <c r="F423" s="660"/>
      <c r="G423" s="661"/>
      <c r="H423" s="478"/>
      <c r="I423" s="11"/>
      <c r="K423" s="128"/>
      <c r="BP423" s="9"/>
    </row>
    <row r="424" spans="1:68" s="14" customFormat="1" x14ac:dyDescent="0.2">
      <c r="A424" s="3"/>
      <c r="B424" s="3"/>
      <c r="C424" s="3"/>
      <c r="D424" s="334"/>
      <c r="E424" s="334"/>
      <c r="F424" s="660"/>
      <c r="G424" s="661"/>
      <c r="H424" s="478"/>
      <c r="I424" s="11"/>
      <c r="K424" s="128"/>
      <c r="BP424" s="9"/>
    </row>
    <row r="425" spans="1:68" s="14" customFormat="1" x14ac:dyDescent="0.2">
      <c r="A425" s="3"/>
      <c r="B425" s="3"/>
      <c r="C425" s="3"/>
      <c r="D425" s="334"/>
      <c r="E425" s="334"/>
      <c r="F425" s="660"/>
      <c r="G425" s="661"/>
      <c r="H425" s="478"/>
      <c r="I425" s="11"/>
      <c r="K425" s="128"/>
      <c r="BP425" s="9"/>
    </row>
    <row r="426" spans="1:68" s="14" customFormat="1" x14ac:dyDescent="0.2">
      <c r="A426" s="3"/>
      <c r="B426" s="3"/>
      <c r="C426" s="3"/>
      <c r="D426" s="334"/>
      <c r="E426" s="334"/>
      <c r="F426" s="660"/>
      <c r="G426" s="661"/>
      <c r="H426" s="478"/>
      <c r="I426" s="11"/>
      <c r="K426" s="128"/>
      <c r="BP426" s="9"/>
    </row>
    <row r="427" spans="1:68" s="14" customFormat="1" x14ac:dyDescent="0.2">
      <c r="A427" s="3"/>
      <c r="B427" s="3"/>
      <c r="C427" s="3"/>
      <c r="D427" s="334"/>
      <c r="E427" s="334"/>
      <c r="F427" s="660"/>
      <c r="G427" s="661"/>
      <c r="H427" s="478"/>
      <c r="I427" s="11"/>
      <c r="K427" s="128"/>
      <c r="BP427" s="9"/>
    </row>
    <row r="428" spans="1:68" s="14" customFormat="1" x14ac:dyDescent="0.2">
      <c r="A428" s="3"/>
      <c r="B428" s="3"/>
      <c r="C428" s="3"/>
      <c r="D428" s="334"/>
      <c r="E428" s="334"/>
      <c r="F428" s="660"/>
      <c r="G428" s="661"/>
      <c r="H428" s="478"/>
      <c r="I428" s="11"/>
      <c r="K428" s="128"/>
      <c r="BP428" s="9"/>
    </row>
    <row r="429" spans="1:68" s="14" customFormat="1" x14ac:dyDescent="0.2">
      <c r="A429" s="3"/>
      <c r="B429" s="3"/>
      <c r="C429" s="3"/>
      <c r="D429" s="334"/>
      <c r="E429" s="334"/>
      <c r="F429" s="660"/>
      <c r="G429" s="661"/>
      <c r="H429" s="478"/>
      <c r="I429" s="11"/>
      <c r="K429" s="128"/>
      <c r="BP429" s="9"/>
    </row>
    <row r="430" spans="1:68" s="14" customFormat="1" x14ac:dyDescent="0.2">
      <c r="A430" s="3"/>
      <c r="B430" s="3"/>
      <c r="C430" s="3"/>
      <c r="D430" s="334"/>
      <c r="E430" s="334"/>
      <c r="F430" s="660"/>
      <c r="G430" s="661"/>
      <c r="H430" s="478"/>
      <c r="I430" s="11"/>
      <c r="K430" s="128"/>
      <c r="BP430" s="9"/>
    </row>
    <row r="431" spans="1:68" s="14" customFormat="1" x14ac:dyDescent="0.2">
      <c r="A431" s="3"/>
      <c r="B431" s="3"/>
      <c r="C431" s="3"/>
      <c r="D431" s="334"/>
      <c r="E431" s="334"/>
      <c r="F431" s="660"/>
      <c r="G431" s="661"/>
      <c r="H431" s="478"/>
      <c r="I431" s="11"/>
      <c r="K431" s="128"/>
      <c r="BP431" s="9"/>
    </row>
    <row r="432" spans="1:68" s="14" customFormat="1" x14ac:dyDescent="0.2">
      <c r="A432" s="3"/>
      <c r="B432" s="3"/>
      <c r="C432" s="3"/>
      <c r="D432" s="334"/>
      <c r="E432" s="334"/>
      <c r="F432" s="660"/>
      <c r="G432" s="661"/>
      <c r="H432" s="478"/>
      <c r="I432" s="11"/>
      <c r="K432" s="128"/>
      <c r="BP432" s="9"/>
    </row>
    <row r="433" spans="1:68" s="14" customFormat="1" x14ac:dyDescent="0.2">
      <c r="A433" s="3"/>
      <c r="B433" s="3"/>
      <c r="C433" s="3"/>
      <c r="D433" s="334"/>
      <c r="E433" s="334"/>
      <c r="F433" s="660"/>
      <c r="G433" s="661"/>
      <c r="H433" s="478"/>
      <c r="I433" s="11"/>
      <c r="K433" s="128"/>
      <c r="BP433" s="9"/>
    </row>
    <row r="434" spans="1:68" s="14" customFormat="1" x14ac:dyDescent="0.2">
      <c r="A434" s="3"/>
      <c r="B434" s="3"/>
      <c r="C434" s="3"/>
      <c r="D434" s="334"/>
      <c r="E434" s="334"/>
      <c r="F434" s="660"/>
      <c r="G434" s="661"/>
      <c r="H434" s="478"/>
      <c r="I434" s="11"/>
      <c r="K434" s="128"/>
      <c r="BP434" s="9"/>
    </row>
    <row r="435" spans="1:68" s="14" customFormat="1" x14ac:dyDescent="0.2">
      <c r="A435" s="3"/>
      <c r="B435" s="3"/>
      <c r="C435" s="3"/>
      <c r="D435" s="334"/>
      <c r="E435" s="334"/>
      <c r="F435" s="660"/>
      <c r="G435" s="661"/>
      <c r="H435" s="478"/>
      <c r="I435" s="11"/>
      <c r="K435" s="128"/>
      <c r="BP435" s="9"/>
    </row>
    <row r="436" spans="1:68" s="14" customFormat="1" x14ac:dyDescent="0.2">
      <c r="A436" s="3"/>
      <c r="B436" s="3"/>
      <c r="C436" s="3"/>
      <c r="D436" s="334"/>
      <c r="E436" s="334"/>
      <c r="F436" s="660"/>
      <c r="G436" s="661"/>
      <c r="H436" s="478"/>
      <c r="I436" s="11"/>
      <c r="K436" s="128"/>
      <c r="BP436" s="9"/>
    </row>
    <row r="437" spans="1:68" s="14" customFormat="1" x14ac:dyDescent="0.2">
      <c r="A437" s="3"/>
      <c r="B437" s="3"/>
      <c r="C437" s="3"/>
      <c r="D437" s="334"/>
      <c r="E437" s="334"/>
      <c r="F437" s="660"/>
      <c r="G437" s="661"/>
      <c r="H437" s="478"/>
      <c r="I437" s="11"/>
      <c r="K437" s="128"/>
      <c r="BP437" s="9"/>
    </row>
    <row r="438" spans="1:68" s="14" customFormat="1" x14ac:dyDescent="0.2">
      <c r="A438" s="3"/>
      <c r="B438" s="3"/>
      <c r="C438" s="3"/>
      <c r="D438" s="334"/>
      <c r="E438" s="334"/>
      <c r="F438" s="660"/>
      <c r="G438" s="661"/>
      <c r="H438" s="478"/>
      <c r="I438" s="11"/>
      <c r="K438" s="128"/>
      <c r="BP438" s="9"/>
    </row>
    <row r="439" spans="1:68" s="14" customFormat="1" x14ac:dyDescent="0.2">
      <c r="A439" s="3"/>
      <c r="B439" s="3"/>
      <c r="C439" s="3"/>
      <c r="D439" s="334"/>
      <c r="E439" s="334"/>
      <c r="F439" s="660"/>
      <c r="G439" s="661"/>
      <c r="H439" s="478"/>
      <c r="I439" s="11"/>
      <c r="K439" s="128"/>
      <c r="BP439" s="9"/>
    </row>
    <row r="440" spans="1:68" s="14" customFormat="1" x14ac:dyDescent="0.2">
      <c r="A440" s="3"/>
      <c r="B440" s="3"/>
      <c r="C440" s="3"/>
      <c r="D440" s="334"/>
      <c r="E440" s="334"/>
      <c r="F440" s="660"/>
      <c r="G440" s="661"/>
      <c r="H440" s="478"/>
      <c r="I440" s="11"/>
      <c r="K440" s="128"/>
      <c r="BP440" s="9"/>
    </row>
    <row r="441" spans="1:68" s="14" customFormat="1" x14ac:dyDescent="0.2">
      <c r="A441" s="3"/>
      <c r="B441" s="3"/>
      <c r="C441" s="3"/>
      <c r="D441" s="334"/>
      <c r="E441" s="334"/>
      <c r="F441" s="660"/>
      <c r="G441" s="661"/>
      <c r="H441" s="478"/>
      <c r="I441" s="11"/>
      <c r="K441" s="128"/>
      <c r="BP441" s="9"/>
    </row>
    <row r="442" spans="1:68" s="14" customFormat="1" x14ac:dyDescent="0.2">
      <c r="A442" s="3"/>
      <c r="B442" s="3"/>
      <c r="C442" s="3"/>
      <c r="D442" s="334"/>
      <c r="E442" s="334"/>
      <c r="F442" s="660"/>
      <c r="G442" s="661"/>
      <c r="H442" s="478"/>
      <c r="I442" s="11"/>
      <c r="K442" s="128"/>
      <c r="BP442" s="9"/>
    </row>
    <row r="443" spans="1:68" s="14" customFormat="1" x14ac:dyDescent="0.2">
      <c r="A443" s="3"/>
      <c r="B443" s="3"/>
      <c r="C443" s="3"/>
      <c r="D443" s="334"/>
      <c r="E443" s="334"/>
      <c r="F443" s="660"/>
      <c r="G443" s="661"/>
      <c r="H443" s="478"/>
      <c r="I443" s="11"/>
      <c r="K443" s="128"/>
      <c r="BP443" s="9"/>
    </row>
    <row r="444" spans="1:68" s="14" customFormat="1" x14ac:dyDescent="0.2">
      <c r="A444" s="3"/>
      <c r="B444" s="3"/>
      <c r="C444" s="3"/>
      <c r="D444" s="334"/>
      <c r="E444" s="334"/>
      <c r="F444" s="660"/>
      <c r="G444" s="661"/>
      <c r="H444" s="478"/>
      <c r="I444" s="11"/>
      <c r="K444" s="128"/>
      <c r="BP444" s="9"/>
    </row>
    <row r="445" spans="1:68" s="14" customFormat="1" x14ac:dyDescent="0.2">
      <c r="A445" s="3"/>
      <c r="B445" s="3"/>
      <c r="C445" s="3"/>
      <c r="D445" s="334"/>
      <c r="E445" s="334"/>
      <c r="F445" s="660"/>
      <c r="G445" s="661"/>
      <c r="H445" s="478"/>
      <c r="I445" s="11"/>
      <c r="K445" s="128"/>
      <c r="BP445" s="9"/>
    </row>
    <row r="446" spans="1:68" s="14" customFormat="1" x14ac:dyDescent="0.2">
      <c r="A446" s="3"/>
      <c r="B446" s="3"/>
      <c r="C446" s="3"/>
      <c r="D446" s="334"/>
      <c r="E446" s="334"/>
      <c r="F446" s="660"/>
      <c r="G446" s="661"/>
      <c r="H446" s="478"/>
      <c r="I446" s="11"/>
      <c r="K446" s="128"/>
      <c r="BP446" s="9"/>
    </row>
    <row r="447" spans="1:68" s="14" customFormat="1" x14ac:dyDescent="0.2">
      <c r="A447" s="3"/>
      <c r="B447" s="3"/>
      <c r="C447" s="3"/>
      <c r="D447" s="334"/>
      <c r="E447" s="334"/>
      <c r="F447" s="660"/>
      <c r="G447" s="661"/>
      <c r="H447" s="478"/>
      <c r="I447" s="11"/>
      <c r="K447" s="128"/>
      <c r="BP447" s="9"/>
    </row>
    <row r="448" spans="1:68" s="14" customFormat="1" x14ac:dyDescent="0.2">
      <c r="A448" s="3"/>
      <c r="B448" s="3"/>
      <c r="C448" s="3"/>
      <c r="D448" s="334"/>
      <c r="E448" s="334"/>
      <c r="F448" s="660"/>
      <c r="G448" s="661"/>
      <c r="H448" s="478"/>
      <c r="I448" s="11"/>
      <c r="K448" s="128"/>
      <c r="BP448" s="9"/>
    </row>
    <row r="449" spans="1:68" s="14" customFormat="1" x14ac:dyDescent="0.2">
      <c r="A449" s="3"/>
      <c r="B449" s="3"/>
      <c r="C449" s="3"/>
      <c r="D449" s="334"/>
      <c r="E449" s="334"/>
      <c r="F449" s="660"/>
      <c r="G449" s="661"/>
      <c r="H449" s="478"/>
      <c r="I449" s="11"/>
      <c r="K449" s="128"/>
      <c r="BP449" s="9"/>
    </row>
    <row r="450" spans="1:68" s="14" customFormat="1" x14ac:dyDescent="0.2">
      <c r="A450" s="3"/>
      <c r="B450" s="3"/>
      <c r="C450" s="3"/>
      <c r="D450" s="334"/>
      <c r="E450" s="334"/>
      <c r="F450" s="660"/>
      <c r="G450" s="661"/>
      <c r="H450" s="478"/>
      <c r="I450" s="11"/>
      <c r="K450" s="128"/>
      <c r="BP450" s="9"/>
    </row>
    <row r="451" spans="1:68" s="14" customFormat="1" x14ac:dyDescent="0.2">
      <c r="A451" s="3"/>
      <c r="B451" s="3"/>
      <c r="C451" s="3"/>
      <c r="D451" s="334"/>
      <c r="E451" s="334"/>
      <c r="F451" s="660"/>
      <c r="G451" s="661"/>
      <c r="H451" s="478"/>
      <c r="I451" s="11"/>
      <c r="K451" s="128"/>
      <c r="BP451" s="9"/>
    </row>
    <row r="452" spans="1:68" s="14" customFormat="1" x14ac:dyDescent="0.2">
      <c r="A452" s="3"/>
      <c r="B452" s="3"/>
      <c r="C452" s="3"/>
      <c r="D452" s="334"/>
      <c r="E452" s="334"/>
      <c r="F452" s="660"/>
      <c r="G452" s="661"/>
      <c r="H452" s="478"/>
      <c r="I452" s="11"/>
      <c r="K452" s="128"/>
      <c r="BP452" s="9"/>
    </row>
    <row r="453" spans="1:68" s="14" customFormat="1" x14ac:dyDescent="0.2">
      <c r="A453" s="3"/>
      <c r="B453" s="3"/>
      <c r="C453" s="3"/>
      <c r="D453" s="334"/>
      <c r="E453" s="334"/>
      <c r="F453" s="660"/>
      <c r="G453" s="661"/>
      <c r="H453" s="478"/>
      <c r="I453" s="11"/>
      <c r="K453" s="128"/>
      <c r="BP453" s="9"/>
    </row>
    <row r="454" spans="1:68" s="14" customFormat="1" x14ac:dyDescent="0.2">
      <c r="A454" s="3"/>
      <c r="B454" s="3"/>
      <c r="C454" s="3"/>
      <c r="D454" s="334"/>
      <c r="E454" s="334"/>
      <c r="F454" s="660"/>
      <c r="G454" s="661"/>
      <c r="H454" s="478"/>
      <c r="I454" s="11"/>
      <c r="K454" s="128"/>
      <c r="BP454" s="9"/>
    </row>
    <row r="455" spans="1:68" s="14" customFormat="1" x14ac:dyDescent="0.2">
      <c r="A455" s="3"/>
      <c r="B455" s="3"/>
      <c r="C455" s="3"/>
      <c r="D455" s="334"/>
      <c r="E455" s="334"/>
      <c r="F455" s="660"/>
      <c r="G455" s="661"/>
      <c r="H455" s="478"/>
      <c r="I455" s="11"/>
      <c r="K455" s="128"/>
      <c r="BP455" s="9"/>
    </row>
    <row r="456" spans="1:68" s="14" customFormat="1" x14ac:dyDescent="0.2">
      <c r="A456" s="3"/>
      <c r="B456" s="3"/>
      <c r="C456" s="3"/>
      <c r="D456" s="334"/>
      <c r="E456" s="334"/>
      <c r="F456" s="660"/>
      <c r="G456" s="661"/>
      <c r="H456" s="478"/>
      <c r="I456" s="11"/>
      <c r="K456" s="128"/>
      <c r="BP456" s="9"/>
    </row>
    <row r="457" spans="1:68" s="14" customFormat="1" x14ac:dyDescent="0.2">
      <c r="A457" s="3"/>
      <c r="B457" s="3"/>
      <c r="C457" s="3"/>
      <c r="D457" s="334"/>
      <c r="E457" s="334"/>
      <c r="F457" s="660"/>
      <c r="G457" s="661"/>
      <c r="H457" s="478"/>
      <c r="I457" s="11"/>
      <c r="K457" s="128"/>
      <c r="BP457" s="9"/>
    </row>
    <row r="458" spans="1:68" s="14" customFormat="1" x14ac:dyDescent="0.2">
      <c r="A458" s="3"/>
      <c r="B458" s="3"/>
      <c r="C458" s="3"/>
      <c r="D458" s="334"/>
      <c r="E458" s="334"/>
      <c r="F458" s="660"/>
      <c r="G458" s="661"/>
      <c r="H458" s="478"/>
      <c r="I458" s="11"/>
      <c r="K458" s="128"/>
      <c r="BP458" s="9"/>
    </row>
    <row r="459" spans="1:68" s="14" customFormat="1" x14ac:dyDescent="0.2">
      <c r="A459" s="3"/>
      <c r="B459" s="3"/>
      <c r="C459" s="3"/>
      <c r="D459" s="334"/>
      <c r="E459" s="334"/>
      <c r="F459" s="660"/>
      <c r="G459" s="661"/>
      <c r="H459" s="478"/>
      <c r="I459" s="11"/>
      <c r="K459" s="128"/>
      <c r="BP459" s="9"/>
    </row>
    <row r="460" spans="1:68" s="14" customFormat="1" x14ac:dyDescent="0.2">
      <c r="A460" s="3"/>
      <c r="B460" s="3"/>
      <c r="C460" s="3"/>
      <c r="D460" s="334"/>
      <c r="E460" s="334"/>
      <c r="F460" s="660"/>
      <c r="G460" s="661"/>
      <c r="H460" s="478"/>
      <c r="I460" s="11"/>
      <c r="K460" s="128"/>
      <c r="BP460" s="9"/>
    </row>
    <row r="461" spans="1:68" s="14" customFormat="1" x14ac:dyDescent="0.2">
      <c r="A461" s="3"/>
      <c r="B461" s="3"/>
      <c r="C461" s="3"/>
      <c r="D461" s="334"/>
      <c r="E461" s="334"/>
      <c r="F461" s="660"/>
      <c r="G461" s="661"/>
      <c r="H461" s="478"/>
      <c r="I461" s="11"/>
      <c r="K461" s="128"/>
      <c r="BP461" s="9"/>
    </row>
    <row r="462" spans="1:68" s="14" customFormat="1" x14ac:dyDescent="0.2">
      <c r="A462" s="3"/>
      <c r="B462" s="3"/>
      <c r="C462" s="3"/>
      <c r="D462" s="334"/>
      <c r="E462" s="334"/>
      <c r="F462" s="660"/>
      <c r="G462" s="661"/>
      <c r="H462" s="478"/>
      <c r="I462" s="11"/>
      <c r="K462" s="128"/>
      <c r="BP462" s="9"/>
    </row>
    <row r="463" spans="1:68" s="14" customFormat="1" x14ac:dyDescent="0.2">
      <c r="A463" s="3"/>
      <c r="B463" s="3"/>
      <c r="C463" s="3"/>
      <c r="D463" s="334"/>
      <c r="E463" s="334"/>
      <c r="F463" s="660"/>
      <c r="G463" s="661"/>
      <c r="H463" s="478"/>
      <c r="I463" s="11"/>
      <c r="K463" s="128"/>
      <c r="BP463" s="9"/>
    </row>
    <row r="464" spans="1:68" s="14" customFormat="1" x14ac:dyDescent="0.2">
      <c r="A464" s="3"/>
      <c r="B464" s="3"/>
      <c r="C464" s="3"/>
      <c r="D464" s="334"/>
      <c r="E464" s="334"/>
      <c r="F464" s="660"/>
      <c r="G464" s="661"/>
      <c r="H464" s="478"/>
      <c r="I464" s="11"/>
      <c r="K464" s="128"/>
      <c r="BP464" s="9"/>
    </row>
    <row r="465" spans="1:68" s="14" customFormat="1" x14ac:dyDescent="0.2">
      <c r="A465" s="3"/>
      <c r="B465" s="3"/>
      <c r="C465" s="3"/>
      <c r="D465" s="334"/>
      <c r="E465" s="334"/>
      <c r="F465" s="660"/>
      <c r="G465" s="661"/>
      <c r="H465" s="478"/>
      <c r="I465" s="11"/>
      <c r="K465" s="128"/>
      <c r="BP465" s="9"/>
    </row>
    <row r="466" spans="1:68" s="14" customFormat="1" x14ac:dyDescent="0.2">
      <c r="A466" s="3"/>
      <c r="B466" s="3"/>
      <c r="C466" s="3"/>
      <c r="D466" s="334"/>
      <c r="E466" s="334"/>
      <c r="F466" s="660"/>
      <c r="G466" s="661"/>
      <c r="H466" s="478"/>
      <c r="I466" s="11"/>
      <c r="K466" s="128"/>
      <c r="BP466" s="9"/>
    </row>
    <row r="467" spans="1:68" s="14" customFormat="1" x14ac:dyDescent="0.2">
      <c r="A467" s="3"/>
      <c r="B467" s="3"/>
      <c r="C467" s="3"/>
      <c r="D467" s="334"/>
      <c r="E467" s="334"/>
      <c r="F467" s="660"/>
      <c r="G467" s="661"/>
      <c r="H467" s="478"/>
      <c r="I467" s="11"/>
      <c r="K467" s="128"/>
      <c r="BP467" s="9"/>
    </row>
    <row r="468" spans="1:68" s="14" customFormat="1" x14ac:dyDescent="0.2">
      <c r="A468" s="3"/>
      <c r="B468" s="3"/>
      <c r="C468" s="3"/>
      <c r="D468" s="334"/>
      <c r="E468" s="334"/>
      <c r="F468" s="660"/>
      <c r="G468" s="661"/>
      <c r="H468" s="478"/>
      <c r="I468" s="11"/>
      <c r="K468" s="128"/>
      <c r="BP468" s="9"/>
    </row>
    <row r="469" spans="1:68" s="14" customFormat="1" x14ac:dyDescent="0.2">
      <c r="A469" s="3"/>
      <c r="B469" s="3"/>
      <c r="C469" s="3"/>
      <c r="D469" s="334"/>
      <c r="E469" s="334"/>
      <c r="F469" s="660"/>
      <c r="G469" s="661"/>
      <c r="H469" s="478"/>
      <c r="I469" s="11"/>
      <c r="K469" s="128"/>
      <c r="BP469" s="9"/>
    </row>
    <row r="470" spans="1:68" s="14" customFormat="1" x14ac:dyDescent="0.2">
      <c r="A470" s="3"/>
      <c r="B470" s="3"/>
      <c r="C470" s="3"/>
      <c r="D470" s="334"/>
      <c r="E470" s="334"/>
      <c r="F470" s="660"/>
      <c r="G470" s="661"/>
      <c r="H470" s="478"/>
      <c r="I470" s="11"/>
      <c r="K470" s="128"/>
      <c r="BP470" s="9"/>
    </row>
    <row r="471" spans="1:68" s="14" customFormat="1" x14ac:dyDescent="0.2">
      <c r="A471" s="3"/>
      <c r="B471" s="3"/>
      <c r="C471" s="3"/>
      <c r="D471" s="334"/>
      <c r="E471" s="334"/>
      <c r="F471" s="660"/>
      <c r="G471" s="661"/>
      <c r="H471" s="478"/>
      <c r="I471" s="11"/>
      <c r="K471" s="128"/>
      <c r="BP471" s="9"/>
    </row>
    <row r="472" spans="1:68" s="14" customFormat="1" x14ac:dyDescent="0.2">
      <c r="A472" s="3"/>
      <c r="B472" s="3"/>
      <c r="C472" s="3"/>
      <c r="D472" s="334"/>
      <c r="E472" s="334"/>
      <c r="F472" s="660"/>
      <c r="G472" s="661"/>
      <c r="H472" s="478"/>
      <c r="I472" s="11"/>
      <c r="K472" s="128"/>
      <c r="BP472" s="9"/>
    </row>
    <row r="473" spans="1:68" s="14" customFormat="1" x14ac:dyDescent="0.2">
      <c r="A473" s="3"/>
      <c r="B473" s="3"/>
      <c r="C473" s="3"/>
      <c r="D473" s="334"/>
      <c r="E473" s="334"/>
      <c r="F473" s="660"/>
      <c r="G473" s="661"/>
      <c r="H473" s="478"/>
      <c r="I473" s="11"/>
      <c r="K473" s="128"/>
      <c r="BP473" s="9"/>
    </row>
    <row r="474" spans="1:68" s="14" customFormat="1" x14ac:dyDescent="0.2">
      <c r="A474" s="3"/>
      <c r="B474" s="3"/>
      <c r="C474" s="3"/>
      <c r="D474" s="334"/>
      <c r="E474" s="334"/>
      <c r="F474" s="660"/>
      <c r="G474" s="661"/>
      <c r="H474" s="478"/>
      <c r="I474" s="11"/>
      <c r="K474" s="128"/>
      <c r="BP474" s="9"/>
    </row>
    <row r="475" spans="1:68" s="14" customFormat="1" x14ac:dyDescent="0.2">
      <c r="A475" s="3"/>
      <c r="B475" s="3"/>
      <c r="C475" s="3"/>
      <c r="D475" s="334"/>
      <c r="E475" s="334"/>
      <c r="F475" s="660"/>
      <c r="G475" s="661"/>
      <c r="H475" s="478"/>
      <c r="I475" s="11"/>
      <c r="K475" s="128"/>
      <c r="BP475" s="9"/>
    </row>
    <row r="476" spans="1:68" s="14" customFormat="1" x14ac:dyDescent="0.2">
      <c r="A476" s="3"/>
      <c r="B476" s="3"/>
      <c r="C476" s="3"/>
      <c r="D476" s="334"/>
      <c r="E476" s="334"/>
      <c r="F476" s="660"/>
      <c r="G476" s="661"/>
      <c r="H476" s="478"/>
      <c r="I476" s="11"/>
      <c r="K476" s="128"/>
      <c r="BP476" s="9"/>
    </row>
    <row r="477" spans="1:68" s="14" customFormat="1" x14ac:dyDescent="0.2">
      <c r="A477" s="3"/>
      <c r="B477" s="3"/>
      <c r="C477" s="3"/>
      <c r="D477" s="334"/>
      <c r="E477" s="334"/>
      <c r="F477" s="660"/>
      <c r="G477" s="661"/>
      <c r="H477" s="478"/>
      <c r="I477" s="11"/>
      <c r="K477" s="128"/>
      <c r="BP477" s="9"/>
    </row>
    <row r="478" spans="1:68" s="14" customFormat="1" x14ac:dyDescent="0.2">
      <c r="A478" s="3"/>
      <c r="B478" s="3"/>
      <c r="C478" s="3"/>
      <c r="D478" s="334"/>
      <c r="E478" s="334"/>
      <c r="F478" s="660"/>
      <c r="G478" s="661"/>
      <c r="H478" s="478"/>
      <c r="I478" s="11"/>
      <c r="K478" s="128"/>
      <c r="BP478" s="9"/>
    </row>
    <row r="479" spans="1:68" s="14" customFormat="1" x14ac:dyDescent="0.2">
      <c r="A479" s="3"/>
      <c r="B479" s="3"/>
      <c r="C479" s="3"/>
      <c r="D479" s="334"/>
      <c r="E479" s="334"/>
      <c r="F479" s="660"/>
      <c r="G479" s="661"/>
      <c r="H479" s="478"/>
      <c r="I479" s="11"/>
      <c r="K479" s="128"/>
      <c r="BP479" s="9"/>
    </row>
    <row r="480" spans="1:68" s="14" customFormat="1" x14ac:dyDescent="0.2">
      <c r="A480" s="3"/>
      <c r="B480" s="3"/>
      <c r="C480" s="3"/>
      <c r="D480" s="334"/>
      <c r="E480" s="334"/>
      <c r="F480" s="660"/>
      <c r="G480" s="661"/>
      <c r="H480" s="478"/>
      <c r="I480" s="11"/>
      <c r="K480" s="128"/>
      <c r="BP480" s="9"/>
    </row>
    <row r="481" spans="1:68" s="14" customFormat="1" x14ac:dyDescent="0.2">
      <c r="A481" s="3"/>
      <c r="B481" s="3"/>
      <c r="C481" s="3"/>
      <c r="D481" s="334"/>
      <c r="E481" s="334"/>
      <c r="F481" s="660"/>
      <c r="G481" s="661"/>
      <c r="H481" s="478"/>
      <c r="I481" s="11"/>
      <c r="K481" s="128"/>
      <c r="BP481" s="9"/>
    </row>
    <row r="482" spans="1:68" s="14" customFormat="1" x14ac:dyDescent="0.2">
      <c r="A482" s="3"/>
      <c r="B482" s="3"/>
      <c r="C482" s="3"/>
      <c r="D482" s="334"/>
      <c r="E482" s="334"/>
      <c r="F482" s="660"/>
      <c r="G482" s="661"/>
      <c r="H482" s="478"/>
      <c r="I482" s="11"/>
      <c r="K482" s="128"/>
      <c r="BP482" s="9"/>
    </row>
    <row r="483" spans="1:68" s="14" customFormat="1" x14ac:dyDescent="0.2">
      <c r="A483" s="3"/>
      <c r="B483" s="3"/>
      <c r="C483" s="3"/>
      <c r="D483" s="334"/>
      <c r="E483" s="334"/>
      <c r="F483" s="660"/>
      <c r="G483" s="661"/>
      <c r="H483" s="478"/>
      <c r="I483" s="11"/>
      <c r="K483" s="128"/>
      <c r="BP483" s="9"/>
    </row>
    <row r="484" spans="1:68" s="14" customFormat="1" x14ac:dyDescent="0.2">
      <c r="A484" s="3"/>
      <c r="B484" s="3"/>
      <c r="C484" s="3"/>
      <c r="D484" s="334"/>
      <c r="E484" s="334"/>
      <c r="F484" s="660"/>
      <c r="G484" s="661"/>
      <c r="H484" s="478"/>
      <c r="I484" s="11"/>
      <c r="K484" s="128"/>
      <c r="BP484" s="9"/>
    </row>
    <row r="485" spans="1:68" s="14" customFormat="1" x14ac:dyDescent="0.2">
      <c r="A485" s="3"/>
      <c r="B485" s="3"/>
      <c r="C485" s="3"/>
      <c r="D485" s="334"/>
      <c r="E485" s="334"/>
      <c r="F485" s="660"/>
      <c r="G485" s="661"/>
      <c r="H485" s="478"/>
      <c r="I485" s="11"/>
      <c r="K485" s="128"/>
      <c r="BP485" s="9"/>
    </row>
    <row r="486" spans="1:68" s="14" customFormat="1" x14ac:dyDescent="0.2">
      <c r="A486" s="3"/>
      <c r="B486" s="3"/>
      <c r="C486" s="3"/>
      <c r="D486" s="334"/>
      <c r="E486" s="334"/>
      <c r="F486" s="660"/>
      <c r="G486" s="661"/>
      <c r="H486" s="478"/>
      <c r="I486" s="11"/>
      <c r="K486" s="128"/>
      <c r="BP486" s="9"/>
    </row>
    <row r="487" spans="1:68" s="14" customFormat="1" x14ac:dyDescent="0.2">
      <c r="A487" s="3"/>
      <c r="B487" s="3"/>
      <c r="C487" s="3"/>
      <c r="D487" s="334"/>
      <c r="E487" s="334"/>
      <c r="F487" s="660"/>
      <c r="G487" s="661"/>
      <c r="H487" s="478"/>
      <c r="I487" s="11"/>
      <c r="K487" s="128"/>
      <c r="BP487" s="9"/>
    </row>
    <row r="488" spans="1:68" s="14" customFormat="1" x14ac:dyDescent="0.2">
      <c r="A488" s="3"/>
      <c r="B488" s="3"/>
      <c r="C488" s="3"/>
      <c r="D488" s="334"/>
      <c r="E488" s="334"/>
      <c r="F488" s="660"/>
      <c r="G488" s="661"/>
      <c r="H488" s="478"/>
      <c r="I488" s="11"/>
      <c r="K488" s="128"/>
      <c r="BP488" s="9"/>
    </row>
    <row r="489" spans="1:68" s="14" customFormat="1" x14ac:dyDescent="0.2">
      <c r="A489" s="3"/>
      <c r="B489" s="3"/>
      <c r="C489" s="3"/>
      <c r="D489" s="334"/>
      <c r="E489" s="334"/>
      <c r="F489" s="660"/>
      <c r="G489" s="661"/>
      <c r="H489" s="478"/>
      <c r="I489" s="11"/>
      <c r="K489" s="128"/>
      <c r="BP489" s="9"/>
    </row>
    <row r="490" spans="1:68" s="14" customFormat="1" x14ac:dyDescent="0.2">
      <c r="A490" s="3"/>
      <c r="B490" s="3"/>
      <c r="C490" s="3"/>
      <c r="D490" s="334"/>
      <c r="E490" s="334"/>
      <c r="F490" s="660"/>
      <c r="G490" s="661"/>
      <c r="H490" s="478"/>
      <c r="I490" s="11"/>
      <c r="K490" s="128"/>
      <c r="BP490" s="9"/>
    </row>
    <row r="491" spans="1:68" s="14" customFormat="1" x14ac:dyDescent="0.2">
      <c r="A491" s="3"/>
      <c r="B491" s="3"/>
      <c r="C491" s="3"/>
      <c r="D491" s="334"/>
      <c r="E491" s="334"/>
      <c r="F491" s="660"/>
      <c r="G491" s="661"/>
      <c r="H491" s="478"/>
      <c r="I491" s="11"/>
      <c r="K491" s="128"/>
      <c r="BP491" s="9"/>
    </row>
    <row r="492" spans="1:68" s="14" customFormat="1" x14ac:dyDescent="0.2">
      <c r="A492" s="3"/>
      <c r="B492" s="3"/>
      <c r="C492" s="3"/>
      <c r="D492" s="334"/>
      <c r="E492" s="334"/>
      <c r="F492" s="660"/>
      <c r="G492" s="661"/>
      <c r="H492" s="478"/>
      <c r="I492" s="11"/>
      <c r="K492" s="128"/>
      <c r="BP492" s="9"/>
    </row>
    <row r="493" spans="1:68" s="14" customFormat="1" x14ac:dyDescent="0.2">
      <c r="A493" s="3"/>
      <c r="B493" s="3"/>
      <c r="C493" s="3"/>
      <c r="D493" s="334"/>
      <c r="E493" s="334"/>
      <c r="F493" s="660"/>
      <c r="G493" s="661"/>
      <c r="H493" s="478"/>
      <c r="I493" s="11"/>
      <c r="K493" s="128"/>
      <c r="BP493" s="9"/>
    </row>
    <row r="494" spans="1:68" s="14" customFormat="1" x14ac:dyDescent="0.2">
      <c r="A494" s="3"/>
      <c r="B494" s="3"/>
      <c r="C494" s="3"/>
      <c r="D494" s="334"/>
      <c r="E494" s="334"/>
      <c r="F494" s="660"/>
      <c r="G494" s="661"/>
      <c r="H494" s="478"/>
      <c r="I494" s="11"/>
      <c r="K494" s="128"/>
      <c r="BP494" s="9"/>
    </row>
    <row r="495" spans="1:68" s="14" customFormat="1" x14ac:dyDescent="0.2">
      <c r="A495" s="3"/>
      <c r="B495" s="3"/>
      <c r="C495" s="3"/>
      <c r="D495" s="334"/>
      <c r="E495" s="334"/>
      <c r="F495" s="660"/>
      <c r="G495" s="661"/>
      <c r="H495" s="478"/>
      <c r="I495" s="11"/>
      <c r="K495" s="128"/>
      <c r="BP495" s="9"/>
    </row>
    <row r="496" spans="1:68" s="14" customFormat="1" x14ac:dyDescent="0.2">
      <c r="A496" s="3"/>
      <c r="B496" s="3"/>
      <c r="C496" s="3"/>
      <c r="D496" s="334"/>
      <c r="E496" s="334"/>
      <c r="F496" s="660"/>
      <c r="G496" s="661"/>
      <c r="H496" s="478"/>
      <c r="I496" s="11"/>
      <c r="K496" s="128"/>
      <c r="BP496" s="9"/>
    </row>
    <row r="497" spans="1:68" s="14" customFormat="1" x14ac:dyDescent="0.2">
      <c r="A497" s="3"/>
      <c r="B497" s="3"/>
      <c r="C497" s="3"/>
      <c r="D497" s="334"/>
      <c r="E497" s="334"/>
      <c r="F497" s="660"/>
      <c r="G497" s="661"/>
      <c r="H497" s="478"/>
      <c r="I497" s="11"/>
      <c r="K497" s="128"/>
      <c r="BP497" s="9"/>
    </row>
    <row r="498" spans="1:68" s="14" customFormat="1" x14ac:dyDescent="0.2">
      <c r="A498" s="3"/>
      <c r="B498" s="3"/>
      <c r="C498" s="3"/>
      <c r="D498" s="334"/>
      <c r="E498" s="334"/>
      <c r="F498" s="660"/>
      <c r="G498" s="661"/>
      <c r="H498" s="478"/>
      <c r="I498" s="11"/>
      <c r="K498" s="128"/>
      <c r="BP498" s="9"/>
    </row>
    <row r="499" spans="1:68" s="14" customFormat="1" x14ac:dyDescent="0.2">
      <c r="A499" s="3"/>
      <c r="B499" s="3"/>
      <c r="C499" s="3"/>
      <c r="D499" s="334"/>
      <c r="E499" s="334"/>
      <c r="F499" s="660"/>
      <c r="G499" s="661"/>
      <c r="H499" s="478"/>
      <c r="I499" s="11"/>
      <c r="K499" s="128"/>
      <c r="BP499" s="9"/>
    </row>
    <row r="500" spans="1:68" s="14" customFormat="1" x14ac:dyDescent="0.2">
      <c r="A500" s="3"/>
      <c r="B500" s="3"/>
      <c r="C500" s="3"/>
      <c r="D500" s="334"/>
      <c r="E500" s="334"/>
      <c r="F500" s="660"/>
      <c r="G500" s="661"/>
      <c r="H500" s="478"/>
      <c r="I500" s="11"/>
      <c r="K500" s="128"/>
      <c r="BP500" s="9"/>
    </row>
    <row r="501" spans="1:68" s="14" customFormat="1" x14ac:dyDescent="0.2">
      <c r="A501" s="3"/>
      <c r="B501" s="3"/>
      <c r="C501" s="3"/>
      <c r="D501" s="334"/>
      <c r="E501" s="334"/>
      <c r="F501" s="660"/>
      <c r="G501" s="661"/>
      <c r="H501" s="478"/>
      <c r="I501" s="11"/>
      <c r="K501" s="128"/>
      <c r="BP501" s="9"/>
    </row>
    <row r="502" spans="1:68" s="14" customFormat="1" x14ac:dyDescent="0.2">
      <c r="A502" s="3"/>
      <c r="B502" s="3"/>
      <c r="C502" s="3"/>
      <c r="D502" s="334"/>
      <c r="E502" s="334"/>
      <c r="F502" s="660"/>
      <c r="G502" s="661"/>
      <c r="H502" s="478"/>
      <c r="I502" s="11"/>
      <c r="K502" s="128"/>
      <c r="BP502" s="9"/>
    </row>
    <row r="503" spans="1:68" s="14" customFormat="1" x14ac:dyDescent="0.2">
      <c r="A503" s="3"/>
      <c r="B503" s="3"/>
      <c r="C503" s="3"/>
      <c r="D503" s="334"/>
      <c r="E503" s="334"/>
      <c r="F503" s="660"/>
      <c r="G503" s="661"/>
      <c r="H503" s="478"/>
      <c r="I503" s="11"/>
      <c r="K503" s="128"/>
      <c r="BP503" s="9"/>
    </row>
    <row r="504" spans="1:68" s="14" customFormat="1" x14ac:dyDescent="0.2">
      <c r="A504" s="3"/>
      <c r="B504" s="3"/>
      <c r="C504" s="3"/>
      <c r="D504" s="334"/>
      <c r="E504" s="334"/>
      <c r="F504" s="660"/>
      <c r="G504" s="661"/>
      <c r="H504" s="478"/>
      <c r="I504" s="11"/>
      <c r="K504" s="128"/>
      <c r="BP504" s="9"/>
    </row>
    <row r="505" spans="1:68" s="14" customFormat="1" x14ac:dyDescent="0.2">
      <c r="A505" s="3"/>
      <c r="B505" s="3"/>
      <c r="C505" s="3"/>
      <c r="D505" s="334"/>
      <c r="E505" s="334"/>
      <c r="F505" s="660"/>
      <c r="G505" s="661"/>
      <c r="H505" s="478"/>
      <c r="I505" s="11"/>
      <c r="K505" s="128"/>
      <c r="BP505" s="9"/>
    </row>
    <row r="506" spans="1:68" s="14" customFormat="1" x14ac:dyDescent="0.2">
      <c r="A506" s="3"/>
      <c r="B506" s="3"/>
      <c r="C506" s="3"/>
      <c r="D506" s="334"/>
      <c r="E506" s="334"/>
      <c r="F506" s="660"/>
      <c r="G506" s="661"/>
      <c r="H506" s="478"/>
      <c r="I506" s="11"/>
      <c r="K506" s="128"/>
      <c r="BP506" s="9"/>
    </row>
    <row r="507" spans="1:68" s="14" customFormat="1" x14ac:dyDescent="0.2">
      <c r="A507" s="3"/>
      <c r="B507" s="3"/>
      <c r="C507" s="3"/>
      <c r="D507" s="334"/>
      <c r="E507" s="334"/>
      <c r="F507" s="660"/>
      <c r="G507" s="661"/>
      <c r="H507" s="478"/>
      <c r="I507" s="11"/>
      <c r="K507" s="128"/>
      <c r="BP507" s="9"/>
    </row>
    <row r="508" spans="1:68" s="14" customFormat="1" x14ac:dyDescent="0.2">
      <c r="A508" s="3"/>
      <c r="B508" s="3"/>
      <c r="C508" s="3"/>
      <c r="D508" s="334"/>
      <c r="E508" s="334"/>
      <c r="F508" s="660"/>
      <c r="G508" s="661"/>
      <c r="H508" s="478"/>
      <c r="I508" s="11"/>
      <c r="K508" s="128"/>
      <c r="BP508" s="9"/>
    </row>
    <row r="509" spans="1:68" s="14" customFormat="1" x14ac:dyDescent="0.2">
      <c r="A509" s="3"/>
      <c r="B509" s="3"/>
      <c r="C509" s="3"/>
      <c r="D509" s="334"/>
      <c r="E509" s="334"/>
      <c r="F509" s="660"/>
      <c r="G509" s="661"/>
      <c r="H509" s="478"/>
      <c r="I509" s="11"/>
      <c r="K509" s="128"/>
      <c r="BP509" s="9"/>
    </row>
    <row r="510" spans="1:68" s="14" customFormat="1" x14ac:dyDescent="0.2">
      <c r="A510" s="3"/>
      <c r="B510" s="3"/>
      <c r="C510" s="3"/>
      <c r="D510" s="334"/>
      <c r="E510" s="334"/>
      <c r="F510" s="660"/>
      <c r="G510" s="661"/>
      <c r="H510" s="478"/>
      <c r="I510" s="11"/>
      <c r="K510" s="128"/>
      <c r="BP510" s="9"/>
    </row>
    <row r="511" spans="1:68" s="14" customFormat="1" x14ac:dyDescent="0.2">
      <c r="A511" s="3"/>
      <c r="B511" s="3"/>
      <c r="C511" s="3"/>
      <c r="D511" s="334"/>
      <c r="E511" s="334"/>
      <c r="F511" s="660"/>
      <c r="G511" s="661"/>
      <c r="H511" s="478"/>
      <c r="I511" s="11"/>
      <c r="K511" s="128"/>
      <c r="BP511" s="9"/>
    </row>
    <row r="512" spans="1:68" s="14" customFormat="1" x14ac:dyDescent="0.2">
      <c r="A512" s="3"/>
      <c r="B512" s="3"/>
      <c r="C512" s="3"/>
      <c r="D512" s="334"/>
      <c r="E512" s="334"/>
      <c r="F512" s="660"/>
      <c r="G512" s="661"/>
      <c r="H512" s="478"/>
      <c r="I512" s="11"/>
      <c r="K512" s="128"/>
      <c r="BP512" s="9"/>
    </row>
    <row r="513" spans="1:68" s="14" customFormat="1" x14ac:dyDescent="0.2">
      <c r="A513" s="3"/>
      <c r="B513" s="3"/>
      <c r="C513" s="3"/>
      <c r="D513" s="334"/>
      <c r="E513" s="334"/>
      <c r="F513" s="660"/>
      <c r="G513" s="661"/>
      <c r="H513" s="478"/>
      <c r="I513" s="11"/>
      <c r="K513" s="128"/>
      <c r="BP513" s="9"/>
    </row>
    <row r="514" spans="1:68" s="14" customFormat="1" x14ac:dyDescent="0.2">
      <c r="A514" s="3"/>
      <c r="B514" s="3"/>
      <c r="C514" s="3"/>
      <c r="D514" s="334"/>
      <c r="E514" s="334"/>
      <c r="F514" s="660"/>
      <c r="G514" s="661"/>
      <c r="H514" s="478"/>
      <c r="I514" s="11"/>
      <c r="K514" s="128"/>
      <c r="BP514" s="9"/>
    </row>
    <row r="515" spans="1:68" s="14" customFormat="1" x14ac:dyDescent="0.2">
      <c r="A515" s="3"/>
      <c r="B515" s="3"/>
      <c r="C515" s="3"/>
      <c r="D515" s="334"/>
      <c r="E515" s="334"/>
      <c r="F515" s="660"/>
      <c r="G515" s="661"/>
      <c r="H515" s="478"/>
      <c r="I515" s="11"/>
      <c r="K515" s="128"/>
      <c r="BP515" s="9"/>
    </row>
    <row r="516" spans="1:68" s="14" customFormat="1" x14ac:dyDescent="0.2">
      <c r="A516" s="3"/>
      <c r="B516" s="3"/>
      <c r="C516" s="3"/>
      <c r="D516" s="334"/>
      <c r="E516" s="334"/>
      <c r="F516" s="660"/>
      <c r="G516" s="661"/>
      <c r="H516" s="478"/>
      <c r="I516" s="11"/>
      <c r="K516" s="128"/>
      <c r="BP516" s="9"/>
    </row>
    <row r="517" spans="1:68" s="14" customFormat="1" x14ac:dyDescent="0.2">
      <c r="A517" s="3"/>
      <c r="B517" s="3"/>
      <c r="C517" s="3"/>
      <c r="D517" s="334"/>
      <c r="E517" s="334"/>
      <c r="F517" s="660"/>
      <c r="G517" s="661"/>
      <c r="H517" s="478"/>
      <c r="I517" s="11"/>
      <c r="K517" s="128"/>
      <c r="BP517" s="9"/>
    </row>
    <row r="518" spans="1:68" s="14" customFormat="1" x14ac:dyDescent="0.2">
      <c r="A518" s="3"/>
      <c r="B518" s="3"/>
      <c r="C518" s="3"/>
      <c r="D518" s="334"/>
      <c r="E518" s="334"/>
      <c r="F518" s="660"/>
      <c r="G518" s="661"/>
      <c r="H518" s="478"/>
      <c r="I518" s="11"/>
      <c r="K518" s="128"/>
      <c r="BP518" s="9"/>
    </row>
    <row r="519" spans="1:68" s="14" customFormat="1" x14ac:dyDescent="0.2">
      <c r="A519" s="3"/>
      <c r="B519" s="3"/>
      <c r="C519" s="3"/>
      <c r="D519" s="334"/>
      <c r="E519" s="334"/>
      <c r="F519" s="660"/>
      <c r="G519" s="661"/>
      <c r="H519" s="478"/>
      <c r="I519" s="11"/>
      <c r="K519" s="128"/>
      <c r="BP519" s="9"/>
    </row>
    <row r="520" spans="1:68" s="14" customFormat="1" x14ac:dyDescent="0.2">
      <c r="A520" s="3"/>
      <c r="B520" s="3"/>
      <c r="C520" s="3"/>
      <c r="D520" s="334"/>
      <c r="E520" s="334"/>
      <c r="F520" s="660"/>
      <c r="G520" s="661"/>
      <c r="H520" s="478"/>
      <c r="I520" s="11"/>
      <c r="K520" s="128"/>
      <c r="BP520" s="9"/>
    </row>
    <row r="521" spans="1:68" s="14" customFormat="1" x14ac:dyDescent="0.2">
      <c r="A521" s="3"/>
      <c r="B521" s="3"/>
      <c r="C521" s="3"/>
      <c r="D521" s="334"/>
      <c r="E521" s="334"/>
      <c r="F521" s="660"/>
      <c r="G521" s="661"/>
      <c r="H521" s="478"/>
      <c r="I521" s="11"/>
      <c r="K521" s="128"/>
      <c r="BP521" s="9"/>
    </row>
    <row r="522" spans="1:68" s="14" customFormat="1" x14ac:dyDescent="0.2">
      <c r="A522" s="3"/>
      <c r="B522" s="3"/>
      <c r="C522" s="3"/>
      <c r="D522" s="334"/>
      <c r="E522" s="334"/>
      <c r="F522" s="660"/>
      <c r="G522" s="661"/>
      <c r="H522" s="478"/>
      <c r="I522" s="11"/>
      <c r="K522" s="128"/>
      <c r="BP522" s="9"/>
    </row>
    <row r="523" spans="1:68" s="14" customFormat="1" x14ac:dyDescent="0.2">
      <c r="A523" s="3"/>
      <c r="B523" s="3"/>
      <c r="C523" s="3"/>
      <c r="D523" s="334"/>
      <c r="E523" s="334"/>
      <c r="F523" s="660"/>
      <c r="G523" s="661"/>
      <c r="H523" s="478"/>
      <c r="I523" s="11"/>
      <c r="K523" s="128"/>
      <c r="BP523" s="9"/>
    </row>
    <row r="524" spans="1:68" s="14" customFormat="1" x14ac:dyDescent="0.2">
      <c r="A524" s="3"/>
      <c r="B524" s="3"/>
      <c r="C524" s="3"/>
      <c r="D524" s="334"/>
      <c r="E524" s="334"/>
      <c r="F524" s="660"/>
      <c r="G524" s="661"/>
      <c r="H524" s="478"/>
      <c r="I524" s="11"/>
      <c r="K524" s="128"/>
      <c r="BP524" s="9"/>
    </row>
    <row r="525" spans="1:68" s="14" customFormat="1" x14ac:dyDescent="0.2">
      <c r="A525" s="3"/>
      <c r="B525" s="3"/>
      <c r="C525" s="3"/>
      <c r="D525" s="334"/>
      <c r="E525" s="334"/>
      <c r="F525" s="660"/>
      <c r="G525" s="661"/>
      <c r="H525" s="478"/>
      <c r="I525" s="11"/>
      <c r="K525" s="128"/>
      <c r="BP525" s="9"/>
    </row>
    <row r="526" spans="1:68" s="14" customFormat="1" x14ac:dyDescent="0.2">
      <c r="A526" s="3"/>
      <c r="B526" s="3"/>
      <c r="C526" s="3"/>
      <c r="D526" s="334"/>
      <c r="E526" s="334"/>
      <c r="F526" s="660"/>
      <c r="G526" s="661"/>
      <c r="H526" s="478"/>
      <c r="I526" s="11"/>
      <c r="K526" s="128"/>
      <c r="BP526" s="9"/>
    </row>
    <row r="527" spans="1:68" s="14" customFormat="1" x14ac:dyDescent="0.2">
      <c r="A527" s="3"/>
      <c r="B527" s="3"/>
      <c r="C527" s="3"/>
      <c r="D527" s="334"/>
      <c r="E527" s="334"/>
      <c r="F527" s="660"/>
      <c r="G527" s="661"/>
      <c r="H527" s="478"/>
      <c r="I527" s="11"/>
      <c r="K527" s="128"/>
      <c r="BP527" s="9"/>
    </row>
    <row r="528" spans="1:68" s="14" customFormat="1" x14ac:dyDescent="0.2">
      <c r="A528" s="3"/>
      <c r="B528" s="3"/>
      <c r="C528" s="3"/>
      <c r="D528" s="334"/>
      <c r="E528" s="334"/>
      <c r="F528" s="660"/>
      <c r="G528" s="661"/>
      <c r="H528" s="478"/>
      <c r="I528" s="11"/>
      <c r="K528" s="128"/>
      <c r="BP528" s="9"/>
    </row>
    <row r="529" spans="1:68" s="14" customFormat="1" x14ac:dyDescent="0.2">
      <c r="A529" s="3"/>
      <c r="B529" s="3"/>
      <c r="C529" s="3"/>
      <c r="D529" s="334"/>
      <c r="E529" s="334"/>
      <c r="F529" s="660"/>
      <c r="G529" s="661"/>
      <c r="H529" s="478"/>
      <c r="I529" s="11"/>
      <c r="K529" s="128"/>
      <c r="BP529" s="9"/>
    </row>
    <row r="530" spans="1:68" s="14" customFormat="1" x14ac:dyDescent="0.2">
      <c r="A530" s="3"/>
      <c r="B530" s="3"/>
      <c r="C530" s="3"/>
      <c r="D530" s="334"/>
      <c r="E530" s="334"/>
      <c r="F530" s="660"/>
      <c r="G530" s="661"/>
      <c r="H530" s="478"/>
      <c r="I530" s="11"/>
      <c r="K530" s="128"/>
      <c r="BP530" s="9"/>
    </row>
    <row r="531" spans="1:68" s="14" customFormat="1" x14ac:dyDescent="0.2">
      <c r="A531" s="3"/>
      <c r="B531" s="3"/>
      <c r="C531" s="3"/>
      <c r="D531" s="334"/>
      <c r="E531" s="334"/>
      <c r="F531" s="660"/>
      <c r="G531" s="661"/>
      <c r="H531" s="478"/>
      <c r="I531" s="11"/>
      <c r="K531" s="128"/>
      <c r="BP531" s="9"/>
    </row>
    <row r="532" spans="1:68" s="14" customFormat="1" x14ac:dyDescent="0.2">
      <c r="A532" s="3"/>
      <c r="B532" s="3"/>
      <c r="C532" s="3"/>
      <c r="D532" s="334"/>
      <c r="E532" s="334"/>
      <c r="F532" s="660"/>
      <c r="G532" s="661"/>
      <c r="H532" s="478"/>
      <c r="I532" s="11"/>
      <c r="K532" s="128"/>
      <c r="BP532" s="9"/>
    </row>
    <row r="533" spans="1:68" s="14" customFormat="1" x14ac:dyDescent="0.2">
      <c r="A533" s="3"/>
      <c r="B533" s="3"/>
      <c r="C533" s="3"/>
      <c r="D533" s="334"/>
      <c r="E533" s="334"/>
      <c r="F533" s="660"/>
      <c r="G533" s="661"/>
      <c r="H533" s="478"/>
      <c r="I533" s="11"/>
      <c r="K533" s="128"/>
      <c r="BP533" s="9"/>
    </row>
    <row r="534" spans="1:68" s="14" customFormat="1" x14ac:dyDescent="0.2">
      <c r="A534" s="3"/>
      <c r="B534" s="3"/>
      <c r="C534" s="3"/>
      <c r="D534" s="334"/>
      <c r="E534" s="334"/>
      <c r="F534" s="660"/>
      <c r="G534" s="661"/>
      <c r="H534" s="478"/>
      <c r="I534" s="11"/>
      <c r="K534" s="128"/>
      <c r="BP534" s="9"/>
    </row>
    <row r="535" spans="1:68" s="14" customFormat="1" x14ac:dyDescent="0.2">
      <c r="A535" s="3"/>
      <c r="B535" s="3"/>
      <c r="C535" s="3"/>
      <c r="D535" s="334"/>
      <c r="E535" s="334"/>
      <c r="F535" s="660"/>
      <c r="G535" s="661"/>
      <c r="H535" s="478"/>
      <c r="I535" s="11"/>
      <c r="K535" s="128"/>
      <c r="BP535" s="9"/>
    </row>
    <row r="536" spans="1:68" s="14" customFormat="1" x14ac:dyDescent="0.2">
      <c r="A536" s="3"/>
      <c r="B536" s="3"/>
      <c r="C536" s="3"/>
      <c r="D536" s="334"/>
      <c r="E536" s="334"/>
      <c r="F536" s="660"/>
      <c r="G536" s="661"/>
      <c r="H536" s="478"/>
      <c r="I536" s="11"/>
      <c r="K536" s="128"/>
      <c r="BP536" s="9"/>
    </row>
    <row r="537" spans="1:68" s="14" customFormat="1" x14ac:dyDescent="0.2">
      <c r="A537" s="3"/>
      <c r="B537" s="3"/>
      <c r="C537" s="3"/>
      <c r="D537" s="334"/>
      <c r="E537" s="334"/>
      <c r="F537" s="660"/>
      <c r="G537" s="661"/>
      <c r="H537" s="478"/>
      <c r="I537" s="11"/>
      <c r="K537" s="128"/>
      <c r="BP537" s="9"/>
    </row>
    <row r="538" spans="1:68" s="14" customFormat="1" x14ac:dyDescent="0.2">
      <c r="A538" s="3"/>
      <c r="B538" s="3"/>
      <c r="C538" s="3"/>
      <c r="D538" s="334"/>
      <c r="E538" s="334"/>
      <c r="F538" s="660"/>
      <c r="G538" s="661"/>
      <c r="H538" s="478"/>
      <c r="I538" s="11"/>
      <c r="K538" s="128"/>
      <c r="BP538" s="9"/>
    </row>
    <row r="539" spans="1:68" s="14" customFormat="1" x14ac:dyDescent="0.2">
      <c r="A539" s="3"/>
      <c r="B539" s="3"/>
      <c r="C539" s="3"/>
      <c r="D539" s="334"/>
      <c r="E539" s="334"/>
      <c r="F539" s="660"/>
      <c r="G539" s="661"/>
      <c r="H539" s="478"/>
      <c r="I539" s="11"/>
      <c r="K539" s="128"/>
      <c r="BP539" s="9"/>
    </row>
    <row r="540" spans="1:68" s="14" customFormat="1" x14ac:dyDescent="0.2">
      <c r="A540" s="3"/>
      <c r="B540" s="3"/>
      <c r="C540" s="3"/>
      <c r="D540" s="334"/>
      <c r="E540" s="334"/>
      <c r="F540" s="660"/>
      <c r="G540" s="661"/>
      <c r="H540" s="478"/>
      <c r="I540" s="11"/>
      <c r="K540" s="128"/>
      <c r="BP540" s="9"/>
    </row>
    <row r="541" spans="1:68" s="14" customFormat="1" x14ac:dyDescent="0.2">
      <c r="A541" s="3"/>
      <c r="B541" s="3"/>
      <c r="C541" s="3"/>
      <c r="D541" s="334"/>
      <c r="E541" s="334"/>
      <c r="F541" s="660"/>
      <c r="G541" s="661"/>
      <c r="H541" s="478"/>
      <c r="I541" s="11"/>
      <c r="K541" s="128"/>
      <c r="BP541" s="9"/>
    </row>
    <row r="542" spans="1:68" s="14" customFormat="1" x14ac:dyDescent="0.2">
      <c r="A542" s="3"/>
      <c r="B542" s="3"/>
      <c r="C542" s="3"/>
      <c r="D542" s="334"/>
      <c r="E542" s="334"/>
      <c r="F542" s="660"/>
      <c r="G542" s="661"/>
      <c r="H542" s="478"/>
      <c r="I542" s="11"/>
      <c r="K542" s="128"/>
      <c r="BP542" s="9"/>
    </row>
    <row r="543" spans="1:68" s="14" customFormat="1" x14ac:dyDescent="0.2">
      <c r="A543" s="3"/>
      <c r="B543" s="3"/>
      <c r="C543" s="3"/>
      <c r="D543" s="334"/>
      <c r="E543" s="334"/>
      <c r="F543" s="660"/>
      <c r="G543" s="661"/>
      <c r="H543" s="478"/>
      <c r="I543" s="11"/>
      <c r="K543" s="128"/>
      <c r="BP543" s="9"/>
    </row>
    <row r="544" spans="1:68" s="14" customFormat="1" x14ac:dyDescent="0.2">
      <c r="A544" s="3"/>
      <c r="B544" s="3"/>
      <c r="C544" s="3"/>
      <c r="D544" s="334"/>
      <c r="E544" s="334"/>
      <c r="F544" s="660"/>
      <c r="G544" s="661"/>
      <c r="H544" s="478"/>
      <c r="I544" s="11"/>
      <c r="K544" s="128"/>
      <c r="BP544" s="9"/>
    </row>
    <row r="545" spans="1:68" s="14" customFormat="1" x14ac:dyDescent="0.2">
      <c r="A545" s="3"/>
      <c r="B545" s="3"/>
      <c r="C545" s="3"/>
      <c r="D545" s="334"/>
      <c r="E545" s="334"/>
      <c r="F545" s="660"/>
      <c r="G545" s="661"/>
      <c r="H545" s="478"/>
      <c r="I545" s="11"/>
      <c r="K545" s="128"/>
      <c r="BP545" s="9"/>
    </row>
    <row r="546" spans="1:68" s="14" customFormat="1" x14ac:dyDescent="0.2">
      <c r="A546" s="3"/>
      <c r="B546" s="3"/>
      <c r="C546" s="3"/>
      <c r="D546" s="334"/>
      <c r="E546" s="334"/>
      <c r="F546" s="660"/>
      <c r="G546" s="661"/>
      <c r="H546" s="478"/>
      <c r="I546" s="11"/>
      <c r="K546" s="128"/>
      <c r="BP546" s="9"/>
    </row>
    <row r="547" spans="1:68" s="14" customFormat="1" x14ac:dyDescent="0.2">
      <c r="A547" s="3"/>
      <c r="B547" s="3"/>
      <c r="C547" s="3"/>
      <c r="D547" s="334"/>
      <c r="E547" s="334"/>
      <c r="F547" s="660"/>
      <c r="G547" s="661"/>
      <c r="H547" s="478"/>
      <c r="I547" s="11"/>
      <c r="K547" s="128"/>
      <c r="BP547" s="9"/>
    </row>
    <row r="548" spans="1:68" s="14" customFormat="1" x14ac:dyDescent="0.2">
      <c r="A548" s="3"/>
      <c r="B548" s="3"/>
      <c r="C548" s="3"/>
      <c r="D548" s="334"/>
      <c r="E548" s="334"/>
      <c r="F548" s="660"/>
      <c r="G548" s="661"/>
      <c r="H548" s="478"/>
      <c r="I548" s="11"/>
      <c r="K548" s="128"/>
      <c r="BP548" s="9"/>
    </row>
    <row r="549" spans="1:68" s="14" customFormat="1" x14ac:dyDescent="0.2">
      <c r="A549" s="3"/>
      <c r="B549" s="3"/>
      <c r="C549" s="3"/>
      <c r="D549" s="334"/>
      <c r="E549" s="334"/>
      <c r="F549" s="660"/>
      <c r="G549" s="661"/>
      <c r="H549" s="478"/>
      <c r="I549" s="11"/>
      <c r="K549" s="128"/>
      <c r="BP549" s="9"/>
    </row>
    <row r="550" spans="1:68" s="14" customFormat="1" x14ac:dyDescent="0.2">
      <c r="A550" s="3"/>
      <c r="B550" s="3"/>
      <c r="C550" s="3"/>
      <c r="D550" s="334"/>
      <c r="E550" s="334"/>
      <c r="F550" s="660"/>
      <c r="G550" s="661"/>
      <c r="H550" s="478"/>
      <c r="I550" s="11"/>
      <c r="K550" s="128"/>
      <c r="BP550" s="9"/>
    </row>
    <row r="551" spans="1:68" s="14" customFormat="1" x14ac:dyDescent="0.2">
      <c r="A551" s="3"/>
      <c r="B551" s="3"/>
      <c r="C551" s="3"/>
      <c r="D551" s="334"/>
      <c r="E551" s="334"/>
      <c r="F551" s="660"/>
      <c r="G551" s="661"/>
      <c r="H551" s="478"/>
      <c r="I551" s="11"/>
      <c r="K551" s="128"/>
      <c r="BP551" s="9"/>
    </row>
    <row r="552" spans="1:68" s="14" customFormat="1" x14ac:dyDescent="0.2">
      <c r="A552" s="3"/>
      <c r="B552" s="3"/>
      <c r="C552" s="3"/>
      <c r="D552" s="334"/>
      <c r="E552" s="334"/>
      <c r="F552" s="660"/>
      <c r="G552" s="661"/>
      <c r="H552" s="478"/>
      <c r="I552" s="11"/>
      <c r="K552" s="128"/>
      <c r="BP552" s="9"/>
    </row>
    <row r="553" spans="1:68" s="14" customFormat="1" x14ac:dyDescent="0.2">
      <c r="A553" s="3"/>
      <c r="B553" s="3"/>
      <c r="C553" s="3"/>
      <c r="D553" s="334"/>
      <c r="E553" s="334"/>
      <c r="F553" s="660"/>
      <c r="G553" s="661"/>
      <c r="H553" s="478"/>
      <c r="I553" s="11"/>
      <c r="K553" s="128"/>
      <c r="BP553" s="9"/>
    </row>
    <row r="554" spans="1:68" s="14" customFormat="1" x14ac:dyDescent="0.2">
      <c r="A554" s="3"/>
      <c r="B554" s="3"/>
      <c r="C554" s="3"/>
      <c r="D554" s="334"/>
      <c r="E554" s="334"/>
      <c r="F554" s="660"/>
      <c r="G554" s="661"/>
      <c r="H554" s="478"/>
      <c r="I554" s="11"/>
      <c r="K554" s="128"/>
      <c r="BP554" s="9"/>
    </row>
    <row r="555" spans="1:68" s="14" customFormat="1" x14ac:dyDescent="0.2">
      <c r="A555" s="3"/>
      <c r="B555" s="3"/>
      <c r="C555" s="3"/>
      <c r="D555" s="334"/>
      <c r="E555" s="334"/>
      <c r="F555" s="660"/>
      <c r="G555" s="661"/>
      <c r="H555" s="478"/>
      <c r="I555" s="11"/>
      <c r="K555" s="128"/>
      <c r="BP555" s="9"/>
    </row>
    <row r="556" spans="1:68" s="14" customFormat="1" x14ac:dyDescent="0.2">
      <c r="A556" s="3"/>
      <c r="B556" s="3"/>
      <c r="C556" s="3"/>
      <c r="D556" s="334"/>
      <c r="E556" s="334"/>
      <c r="F556" s="660"/>
      <c r="G556" s="661"/>
      <c r="H556" s="478"/>
      <c r="I556" s="11"/>
      <c r="K556" s="128"/>
      <c r="BP556" s="9"/>
    </row>
    <row r="557" spans="1:68" s="14" customFormat="1" x14ac:dyDescent="0.2">
      <c r="A557" s="3"/>
      <c r="B557" s="3"/>
      <c r="C557" s="3"/>
      <c r="D557" s="334"/>
      <c r="E557" s="334"/>
      <c r="F557" s="660"/>
      <c r="G557" s="661"/>
      <c r="H557" s="478"/>
      <c r="I557" s="11"/>
      <c r="K557" s="128"/>
      <c r="BP557" s="9"/>
    </row>
    <row r="558" spans="1:68" s="14" customFormat="1" x14ac:dyDescent="0.2">
      <c r="A558" s="3"/>
      <c r="B558" s="3"/>
      <c r="C558" s="3"/>
      <c r="D558" s="334"/>
      <c r="E558" s="334"/>
      <c r="F558" s="660"/>
      <c r="G558" s="661"/>
      <c r="H558" s="478"/>
      <c r="I558" s="11"/>
      <c r="K558" s="128"/>
      <c r="BP558" s="9"/>
    </row>
    <row r="559" spans="1:68" s="14" customFormat="1" x14ac:dyDescent="0.2">
      <c r="A559" s="3"/>
      <c r="B559" s="3"/>
      <c r="C559" s="3"/>
      <c r="D559" s="334"/>
      <c r="E559" s="334"/>
      <c r="F559" s="660"/>
      <c r="G559" s="661"/>
      <c r="H559" s="478"/>
      <c r="I559" s="11"/>
      <c r="K559" s="128"/>
      <c r="BP559" s="9"/>
    </row>
    <row r="560" spans="1:68" s="14" customFormat="1" x14ac:dyDescent="0.2">
      <c r="A560" s="3"/>
      <c r="B560" s="3"/>
      <c r="C560" s="3"/>
      <c r="D560" s="334"/>
      <c r="E560" s="334"/>
      <c r="F560" s="660"/>
      <c r="G560" s="661"/>
      <c r="H560" s="478"/>
      <c r="I560" s="11"/>
      <c r="K560" s="128"/>
      <c r="BP560" s="9"/>
    </row>
    <row r="561" spans="1:68" s="14" customFormat="1" x14ac:dyDescent="0.2">
      <c r="A561" s="3"/>
      <c r="B561" s="3"/>
      <c r="C561" s="3"/>
      <c r="D561" s="334"/>
      <c r="E561" s="334"/>
      <c r="F561" s="660"/>
      <c r="G561" s="661"/>
      <c r="H561" s="478"/>
      <c r="I561" s="11"/>
      <c r="K561" s="128"/>
      <c r="BP561" s="9"/>
    </row>
    <row r="562" spans="1:68" s="14" customFormat="1" x14ac:dyDescent="0.2">
      <c r="A562" s="3"/>
      <c r="B562" s="3"/>
      <c r="C562" s="3"/>
      <c r="D562" s="334"/>
      <c r="E562" s="334"/>
      <c r="F562" s="660"/>
      <c r="G562" s="661"/>
      <c r="H562" s="478"/>
      <c r="I562" s="11"/>
      <c r="K562" s="128"/>
      <c r="BP562" s="9"/>
    </row>
    <row r="563" spans="1:68" s="14" customFormat="1" x14ac:dyDescent="0.2">
      <c r="A563" s="3"/>
      <c r="B563" s="3"/>
      <c r="C563" s="3"/>
      <c r="D563" s="334"/>
      <c r="E563" s="334"/>
      <c r="F563" s="660"/>
      <c r="G563" s="661"/>
      <c r="H563" s="478"/>
      <c r="I563" s="11"/>
      <c r="K563" s="128"/>
      <c r="BP563" s="9"/>
    </row>
    <row r="564" spans="1:68" s="14" customFormat="1" x14ac:dyDescent="0.2">
      <c r="A564" s="3"/>
      <c r="B564" s="3"/>
      <c r="C564" s="3"/>
      <c r="D564" s="334"/>
      <c r="E564" s="334"/>
      <c r="F564" s="660"/>
      <c r="G564" s="661"/>
      <c r="H564" s="478"/>
      <c r="I564" s="11"/>
      <c r="K564" s="128"/>
      <c r="BP564" s="9"/>
    </row>
    <row r="565" spans="1:68" s="14" customFormat="1" x14ac:dyDescent="0.2">
      <c r="A565" s="3"/>
      <c r="B565" s="3"/>
      <c r="C565" s="3"/>
      <c r="D565" s="334"/>
      <c r="E565" s="334"/>
      <c r="F565" s="660"/>
      <c r="G565" s="661"/>
      <c r="H565" s="478"/>
      <c r="I565" s="11"/>
      <c r="K565" s="128"/>
      <c r="BP565" s="9"/>
    </row>
    <row r="566" spans="1:68" s="14" customFormat="1" x14ac:dyDescent="0.2">
      <c r="A566" s="3"/>
      <c r="B566" s="3"/>
      <c r="C566" s="3"/>
      <c r="D566" s="334"/>
      <c r="E566" s="334"/>
      <c r="F566" s="660"/>
      <c r="G566" s="661"/>
      <c r="H566" s="478"/>
      <c r="I566" s="11"/>
      <c r="K566" s="128"/>
      <c r="BP566" s="9"/>
    </row>
    <row r="567" spans="1:68" s="14" customFormat="1" x14ac:dyDescent="0.2">
      <c r="A567" s="3"/>
      <c r="B567" s="3"/>
      <c r="C567" s="3"/>
      <c r="D567" s="334"/>
      <c r="E567" s="334"/>
      <c r="F567" s="660"/>
      <c r="G567" s="661"/>
      <c r="H567" s="478"/>
      <c r="I567" s="11"/>
      <c r="K567" s="128"/>
      <c r="BP567" s="9"/>
    </row>
    <row r="568" spans="1:68" s="14" customFormat="1" x14ac:dyDescent="0.2">
      <c r="A568" s="3"/>
      <c r="B568" s="3"/>
      <c r="C568" s="3"/>
      <c r="D568" s="334"/>
      <c r="E568" s="334"/>
      <c r="F568" s="660"/>
      <c r="G568" s="661"/>
      <c r="H568" s="478"/>
      <c r="I568" s="11"/>
      <c r="K568" s="128"/>
      <c r="BP568" s="9"/>
    </row>
    <row r="569" spans="1:68" s="14" customFormat="1" x14ac:dyDescent="0.2">
      <c r="A569" s="3"/>
      <c r="B569" s="3"/>
      <c r="C569" s="3"/>
      <c r="D569" s="334"/>
      <c r="E569" s="334"/>
      <c r="F569" s="660"/>
      <c r="G569" s="661"/>
      <c r="H569" s="478"/>
      <c r="I569" s="11"/>
      <c r="K569" s="128"/>
      <c r="BP569" s="9"/>
    </row>
    <row r="570" spans="1:68" s="14" customFormat="1" x14ac:dyDescent="0.2">
      <c r="A570" s="3"/>
      <c r="B570" s="3"/>
      <c r="C570" s="3"/>
      <c r="D570" s="334"/>
      <c r="E570" s="334"/>
      <c r="F570" s="660"/>
      <c r="G570" s="661"/>
      <c r="H570" s="478"/>
      <c r="I570" s="11"/>
      <c r="K570" s="128"/>
      <c r="BP570" s="9"/>
    </row>
    <row r="571" spans="1:68" s="14" customFormat="1" x14ac:dyDescent="0.2">
      <c r="A571" s="3"/>
      <c r="B571" s="3"/>
      <c r="C571" s="3"/>
      <c r="D571" s="334"/>
      <c r="E571" s="334"/>
      <c r="F571" s="660"/>
      <c r="G571" s="661"/>
      <c r="H571" s="478"/>
      <c r="I571" s="11"/>
      <c r="K571" s="128"/>
      <c r="BP571" s="9"/>
    </row>
    <row r="572" spans="1:68" s="14" customFormat="1" x14ac:dyDescent="0.2">
      <c r="A572" s="3"/>
      <c r="B572" s="3"/>
      <c r="C572" s="3"/>
      <c r="D572" s="334"/>
      <c r="E572" s="334"/>
      <c r="F572" s="660"/>
      <c r="G572" s="661"/>
      <c r="H572" s="478"/>
      <c r="I572" s="11"/>
      <c r="K572" s="128"/>
      <c r="BP572" s="9"/>
    </row>
    <row r="573" spans="1:68" s="14" customFormat="1" x14ac:dyDescent="0.2">
      <c r="A573" s="3"/>
      <c r="B573" s="3"/>
      <c r="C573" s="3"/>
      <c r="D573" s="334"/>
      <c r="E573" s="334"/>
      <c r="F573" s="660"/>
      <c r="G573" s="661"/>
      <c r="H573" s="478"/>
      <c r="I573" s="11"/>
      <c r="K573" s="128"/>
      <c r="BP573" s="9"/>
    </row>
    <row r="574" spans="1:68" s="14" customFormat="1" x14ac:dyDescent="0.2">
      <c r="A574" s="3"/>
      <c r="B574" s="3"/>
      <c r="C574" s="3"/>
      <c r="D574" s="334"/>
      <c r="E574" s="334"/>
      <c r="F574" s="660"/>
      <c r="G574" s="661"/>
      <c r="H574" s="478"/>
      <c r="I574" s="11"/>
      <c r="K574" s="128"/>
      <c r="BP574" s="9"/>
    </row>
    <row r="575" spans="1:68" s="14" customFormat="1" x14ac:dyDescent="0.2">
      <c r="A575" s="3"/>
      <c r="B575" s="3"/>
      <c r="C575" s="3"/>
      <c r="D575" s="334"/>
      <c r="E575" s="334"/>
      <c r="F575" s="660"/>
      <c r="G575" s="661"/>
      <c r="H575" s="478"/>
      <c r="I575" s="11"/>
      <c r="K575" s="128"/>
      <c r="BP575" s="9"/>
    </row>
    <row r="576" spans="1:68" s="14" customFormat="1" x14ac:dyDescent="0.2">
      <c r="A576" s="3"/>
      <c r="B576" s="3"/>
      <c r="C576" s="3"/>
      <c r="D576" s="334"/>
      <c r="E576" s="334"/>
      <c r="F576" s="660"/>
      <c r="G576" s="661"/>
      <c r="H576" s="478"/>
      <c r="I576" s="11"/>
      <c r="K576" s="128"/>
      <c r="BP576" s="9"/>
    </row>
    <row r="577" spans="1:68" s="14" customFormat="1" x14ac:dyDescent="0.2">
      <c r="A577" s="3"/>
      <c r="B577" s="3"/>
      <c r="C577" s="3"/>
      <c r="D577" s="334"/>
      <c r="E577" s="334"/>
      <c r="F577" s="660"/>
      <c r="G577" s="661"/>
      <c r="H577" s="478"/>
      <c r="I577" s="11"/>
      <c r="K577" s="128"/>
      <c r="BP577" s="9"/>
    </row>
    <row r="578" spans="1:68" s="14" customFormat="1" x14ac:dyDescent="0.2">
      <c r="A578" s="3"/>
      <c r="B578" s="3"/>
      <c r="C578" s="3"/>
      <c r="D578" s="334"/>
      <c r="E578" s="334"/>
      <c r="F578" s="660"/>
      <c r="G578" s="661"/>
      <c r="H578" s="478"/>
      <c r="I578" s="11"/>
      <c r="K578" s="128"/>
      <c r="BP578" s="9"/>
    </row>
    <row r="579" spans="1:68" s="14" customFormat="1" x14ac:dyDescent="0.2">
      <c r="A579" s="3"/>
      <c r="B579" s="3"/>
      <c r="C579" s="3"/>
      <c r="D579" s="334"/>
      <c r="E579" s="334"/>
      <c r="F579" s="660"/>
      <c r="G579" s="661"/>
      <c r="H579" s="478"/>
      <c r="I579" s="11"/>
      <c r="K579" s="128"/>
      <c r="BP579" s="9"/>
    </row>
    <row r="580" spans="1:68" s="14" customFormat="1" x14ac:dyDescent="0.2">
      <c r="A580" s="3"/>
      <c r="B580" s="3"/>
      <c r="C580" s="3"/>
      <c r="D580" s="334"/>
      <c r="E580" s="334"/>
      <c r="F580" s="660"/>
      <c r="G580" s="661"/>
      <c r="H580" s="478"/>
      <c r="I580" s="11"/>
      <c r="K580" s="128"/>
      <c r="BP580" s="9"/>
    </row>
    <row r="581" spans="1:68" s="14" customFormat="1" x14ac:dyDescent="0.2">
      <c r="A581" s="3"/>
      <c r="B581" s="3"/>
      <c r="C581" s="3"/>
      <c r="D581" s="334"/>
      <c r="E581" s="334"/>
      <c r="F581" s="660"/>
      <c r="G581" s="661"/>
      <c r="H581" s="478"/>
      <c r="I581" s="11"/>
      <c r="K581" s="128"/>
      <c r="BP581" s="9"/>
    </row>
    <row r="582" spans="1:68" s="14" customFormat="1" x14ac:dyDescent="0.2">
      <c r="A582" s="3"/>
      <c r="B582" s="3"/>
      <c r="C582" s="3"/>
      <c r="D582" s="334"/>
      <c r="E582" s="334"/>
      <c r="F582" s="660"/>
      <c r="G582" s="661"/>
      <c r="H582" s="478"/>
      <c r="I582" s="11"/>
      <c r="K582" s="128"/>
      <c r="BP582" s="9"/>
    </row>
    <row r="583" spans="1:68" s="14" customFormat="1" x14ac:dyDescent="0.2">
      <c r="A583" s="3"/>
      <c r="B583" s="3"/>
      <c r="C583" s="3"/>
      <c r="D583" s="334"/>
      <c r="E583" s="334"/>
      <c r="F583" s="660"/>
      <c r="G583" s="661"/>
      <c r="H583" s="478"/>
      <c r="I583" s="11"/>
      <c r="K583" s="128"/>
      <c r="BP583" s="9"/>
    </row>
    <row r="584" spans="1:68" s="14" customFormat="1" x14ac:dyDescent="0.2">
      <c r="A584" s="3"/>
      <c r="B584" s="3"/>
      <c r="C584" s="3"/>
      <c r="D584" s="334"/>
      <c r="E584" s="334"/>
      <c r="F584" s="660"/>
      <c r="G584" s="661"/>
      <c r="H584" s="478"/>
      <c r="I584" s="11"/>
      <c r="K584" s="128"/>
      <c r="BP584" s="9"/>
    </row>
    <row r="585" spans="1:68" s="14" customFormat="1" x14ac:dyDescent="0.2">
      <c r="A585" s="3"/>
      <c r="B585" s="3"/>
      <c r="C585" s="3"/>
      <c r="D585" s="334"/>
      <c r="E585" s="334"/>
      <c r="F585" s="660"/>
      <c r="G585" s="661"/>
      <c r="H585" s="478"/>
      <c r="I585" s="11"/>
      <c r="K585" s="128"/>
      <c r="BP585" s="9"/>
    </row>
    <row r="586" spans="1:68" s="14" customFormat="1" x14ac:dyDescent="0.2">
      <c r="A586" s="3"/>
      <c r="B586" s="3"/>
      <c r="C586" s="3"/>
      <c r="D586" s="334"/>
      <c r="E586" s="334"/>
      <c r="F586" s="660"/>
      <c r="G586" s="661"/>
      <c r="H586" s="478"/>
      <c r="I586" s="11"/>
      <c r="K586" s="128"/>
      <c r="BP586" s="9"/>
    </row>
    <row r="587" spans="1:68" s="14" customFormat="1" x14ac:dyDescent="0.2">
      <c r="A587" s="3"/>
      <c r="B587" s="3"/>
      <c r="C587" s="3"/>
      <c r="D587" s="334"/>
      <c r="E587" s="334"/>
      <c r="F587" s="660"/>
      <c r="G587" s="661"/>
      <c r="H587" s="478"/>
      <c r="I587" s="11"/>
      <c r="K587" s="128"/>
      <c r="BP587" s="9"/>
    </row>
    <row r="588" spans="1:68" s="14" customFormat="1" x14ac:dyDescent="0.2">
      <c r="A588" s="3"/>
      <c r="B588" s="3"/>
      <c r="C588" s="3"/>
      <c r="D588" s="334"/>
      <c r="E588" s="334"/>
      <c r="F588" s="660"/>
      <c r="G588" s="661"/>
      <c r="H588" s="478"/>
      <c r="I588" s="11"/>
      <c r="K588" s="128"/>
      <c r="BP588" s="9"/>
    </row>
    <row r="589" spans="1:68" s="14" customFormat="1" x14ac:dyDescent="0.2">
      <c r="A589" s="3"/>
      <c r="B589" s="3"/>
      <c r="C589" s="3"/>
      <c r="D589" s="334"/>
      <c r="E589" s="334"/>
      <c r="F589" s="660"/>
      <c r="G589" s="661"/>
      <c r="H589" s="478"/>
      <c r="I589" s="11"/>
      <c r="K589" s="128"/>
      <c r="BP589" s="9"/>
    </row>
    <row r="590" spans="1:68" s="14" customFormat="1" x14ac:dyDescent="0.2">
      <c r="A590" s="3"/>
      <c r="B590" s="3"/>
      <c r="C590" s="3"/>
      <c r="D590" s="334"/>
      <c r="E590" s="334"/>
      <c r="F590" s="660"/>
      <c r="G590" s="661"/>
      <c r="H590" s="478"/>
      <c r="I590" s="11"/>
      <c r="K590" s="128"/>
      <c r="BP590" s="9"/>
    </row>
    <row r="591" spans="1:68" s="14" customFormat="1" x14ac:dyDescent="0.2">
      <c r="A591" s="3"/>
      <c r="B591" s="3"/>
      <c r="C591" s="3"/>
      <c r="D591" s="334"/>
      <c r="E591" s="334"/>
      <c r="F591" s="660"/>
      <c r="G591" s="661"/>
      <c r="H591" s="478"/>
      <c r="I591" s="11"/>
      <c r="K591" s="128"/>
      <c r="BP591" s="9"/>
    </row>
    <row r="592" spans="1:68" s="14" customFormat="1" x14ac:dyDescent="0.2">
      <c r="A592" s="3"/>
      <c r="B592" s="3"/>
      <c r="C592" s="3"/>
      <c r="D592" s="334"/>
      <c r="E592" s="334"/>
      <c r="F592" s="660"/>
      <c r="G592" s="661"/>
      <c r="H592" s="478"/>
      <c r="I592" s="11"/>
      <c r="K592" s="128"/>
      <c r="BP592" s="9"/>
    </row>
    <row r="593" spans="6:7" x14ac:dyDescent="0.2">
      <c r="F593" s="660"/>
      <c r="G593" s="661"/>
    </row>
    <row r="594" spans="6:7" x14ac:dyDescent="0.2">
      <c r="F594" s="660"/>
      <c r="G594" s="661"/>
    </row>
    <row r="595" spans="6:7" x14ac:dyDescent="0.2">
      <c r="F595" s="660"/>
      <c r="G595" s="661"/>
    </row>
    <row r="596" spans="6:7" x14ac:dyDescent="0.2">
      <c r="F596" s="660"/>
      <c r="G596" s="661"/>
    </row>
    <row r="597" spans="6:7" x14ac:dyDescent="0.2">
      <c r="F597" s="660"/>
      <c r="G597" s="661"/>
    </row>
    <row r="598" spans="6:7" x14ac:dyDescent="0.2">
      <c r="F598" s="660"/>
      <c r="G598" s="661"/>
    </row>
    <row r="599" spans="6:7" x14ac:dyDescent="0.2">
      <c r="F599" s="660"/>
      <c r="G599" s="661"/>
    </row>
    <row r="600" spans="6:7" x14ac:dyDescent="0.2">
      <c r="F600" s="660"/>
      <c r="G600" s="661"/>
    </row>
    <row r="601" spans="6:7" x14ac:dyDescent="0.2">
      <c r="F601" s="660"/>
      <c r="G601" s="661"/>
    </row>
    <row r="602" spans="6:7" x14ac:dyDescent="0.2">
      <c r="F602" s="660"/>
      <c r="G602" s="661"/>
    </row>
    <row r="603" spans="6:7" x14ac:dyDescent="0.2">
      <c r="F603" s="660"/>
      <c r="G603" s="661"/>
    </row>
    <row r="604" spans="6:7" x14ac:dyDescent="0.2">
      <c r="F604" s="660"/>
      <c r="G604" s="661"/>
    </row>
    <row r="605" spans="6:7" x14ac:dyDescent="0.2">
      <c r="F605" s="660"/>
      <c r="G605" s="661"/>
    </row>
    <row r="606" spans="6:7" x14ac:dyDescent="0.2">
      <c r="F606" s="660"/>
      <c r="G606" s="661"/>
    </row>
    <row r="607" spans="6:7" x14ac:dyDescent="0.2">
      <c r="F607" s="660"/>
      <c r="G607" s="661"/>
    </row>
    <row r="608" spans="6:7" x14ac:dyDescent="0.2">
      <c r="F608" s="660"/>
      <c r="G608" s="661"/>
    </row>
    <row r="609" spans="6:7" x14ac:dyDescent="0.2">
      <c r="F609" s="660"/>
      <c r="G609" s="661"/>
    </row>
    <row r="610" spans="6:7" x14ac:dyDescent="0.2">
      <c r="F610" s="660"/>
      <c r="G610" s="661"/>
    </row>
    <row r="611" spans="6:7" x14ac:dyDescent="0.2">
      <c r="F611" s="660"/>
      <c r="G611" s="661"/>
    </row>
    <row r="612" spans="6:7" x14ac:dyDescent="0.2">
      <c r="F612" s="660"/>
      <c r="G612" s="661"/>
    </row>
    <row r="613" spans="6:7" x14ac:dyDescent="0.2">
      <c r="F613" s="660"/>
      <c r="G613" s="661"/>
    </row>
    <row r="614" spans="6:7" x14ac:dyDescent="0.2">
      <c r="F614" s="660"/>
      <c r="G614" s="661"/>
    </row>
    <row r="615" spans="6:7" x14ac:dyDescent="0.2">
      <c r="F615" s="660"/>
      <c r="G615" s="661"/>
    </row>
    <row r="616" spans="6:7" x14ac:dyDescent="0.2">
      <c r="F616" s="660"/>
      <c r="G616" s="661"/>
    </row>
    <row r="617" spans="6:7" x14ac:dyDescent="0.2">
      <c r="F617" s="660"/>
      <c r="G617" s="661"/>
    </row>
    <row r="618" spans="6:7" x14ac:dyDescent="0.2">
      <c r="F618" s="660"/>
      <c r="G618" s="661"/>
    </row>
    <row r="619" spans="6:7" x14ac:dyDescent="0.2">
      <c r="F619" s="660"/>
      <c r="G619" s="661"/>
    </row>
    <row r="620" spans="6:7" x14ac:dyDescent="0.2">
      <c r="F620" s="660"/>
      <c r="G620" s="661"/>
    </row>
    <row r="621" spans="6:7" x14ac:dyDescent="0.2">
      <c r="F621" s="660"/>
      <c r="G621" s="661"/>
    </row>
    <row r="622" spans="6:7" x14ac:dyDescent="0.2">
      <c r="F622" s="660"/>
      <c r="G622" s="661"/>
    </row>
    <row r="623" spans="6:7" x14ac:dyDescent="0.2">
      <c r="F623" s="660"/>
      <c r="G623" s="661"/>
    </row>
    <row r="624" spans="6:7" x14ac:dyDescent="0.2">
      <c r="F624" s="660"/>
      <c r="G624" s="661"/>
    </row>
    <row r="625" spans="6:7" x14ac:dyDescent="0.2">
      <c r="F625" s="660"/>
      <c r="G625" s="661"/>
    </row>
    <row r="626" spans="6:7" x14ac:dyDescent="0.2">
      <c r="F626" s="660"/>
      <c r="G626" s="661"/>
    </row>
    <row r="627" spans="6:7" x14ac:dyDescent="0.2">
      <c r="F627" s="660"/>
      <c r="G627" s="661"/>
    </row>
    <row r="628" spans="6:7" x14ac:dyDescent="0.2">
      <c r="F628" s="660"/>
      <c r="G628" s="661"/>
    </row>
    <row r="629" spans="6:7" x14ac:dyDescent="0.2">
      <c r="F629" s="660"/>
      <c r="G629" s="661"/>
    </row>
    <row r="630" spans="6:7" x14ac:dyDescent="0.2">
      <c r="F630" s="660"/>
      <c r="G630" s="661"/>
    </row>
    <row r="631" spans="6:7" x14ac:dyDescent="0.2">
      <c r="F631" s="660"/>
      <c r="G631" s="661"/>
    </row>
    <row r="632" spans="6:7" x14ac:dyDescent="0.2">
      <c r="F632" s="660"/>
      <c r="G632" s="661"/>
    </row>
    <row r="633" spans="6:7" x14ac:dyDescent="0.2">
      <c r="F633" s="660"/>
      <c r="G633" s="661"/>
    </row>
    <row r="634" spans="6:7" x14ac:dyDescent="0.2">
      <c r="F634" s="660"/>
      <c r="G634" s="661"/>
    </row>
    <row r="635" spans="6:7" x14ac:dyDescent="0.2">
      <c r="F635" s="660"/>
      <c r="G635" s="661"/>
    </row>
    <row r="636" spans="6:7" x14ac:dyDescent="0.2">
      <c r="F636" s="660"/>
      <c r="G636" s="661"/>
    </row>
    <row r="637" spans="6:7" x14ac:dyDescent="0.2">
      <c r="F637" s="660"/>
      <c r="G637" s="661"/>
    </row>
    <row r="638" spans="6:7" x14ac:dyDescent="0.2">
      <c r="F638" s="660"/>
      <c r="G638" s="661"/>
    </row>
    <row r="639" spans="6:7" x14ac:dyDescent="0.2">
      <c r="F639" s="660"/>
      <c r="G639" s="661"/>
    </row>
    <row r="640" spans="6:7" x14ac:dyDescent="0.2">
      <c r="F640" s="660"/>
      <c r="G640" s="661"/>
    </row>
    <row r="641" spans="6:7" x14ac:dyDescent="0.2">
      <c r="F641" s="660"/>
      <c r="G641" s="661"/>
    </row>
    <row r="642" spans="6:7" x14ac:dyDescent="0.2">
      <c r="F642" s="660"/>
      <c r="G642" s="661"/>
    </row>
    <row r="643" spans="6:7" x14ac:dyDescent="0.2">
      <c r="F643" s="660"/>
      <c r="G643" s="661"/>
    </row>
    <row r="644" spans="6:7" x14ac:dyDescent="0.2">
      <c r="F644" s="660"/>
      <c r="G644" s="661"/>
    </row>
    <row r="645" spans="6:7" x14ac:dyDescent="0.2">
      <c r="F645" s="660"/>
      <c r="G645" s="661"/>
    </row>
    <row r="646" spans="6:7" x14ac:dyDescent="0.2">
      <c r="F646" s="660"/>
      <c r="G646" s="661"/>
    </row>
    <row r="647" spans="6:7" x14ac:dyDescent="0.2">
      <c r="F647" s="660"/>
      <c r="G647" s="661"/>
    </row>
    <row r="648" spans="6:7" x14ac:dyDescent="0.2">
      <c r="F648" s="660"/>
      <c r="G648" s="661"/>
    </row>
    <row r="649" spans="6:7" x14ac:dyDescent="0.2">
      <c r="F649" s="660"/>
      <c r="G649" s="661"/>
    </row>
    <row r="650" spans="6:7" x14ac:dyDescent="0.2">
      <c r="F650" s="660"/>
      <c r="G650" s="661"/>
    </row>
    <row r="651" spans="6:7" x14ac:dyDescent="0.2">
      <c r="F651" s="660"/>
      <c r="G651" s="661"/>
    </row>
    <row r="652" spans="6:7" x14ac:dyDescent="0.2">
      <c r="F652" s="660"/>
      <c r="G652" s="661"/>
    </row>
    <row r="653" spans="6:7" x14ac:dyDescent="0.2">
      <c r="F653" s="660"/>
      <c r="G653" s="661"/>
    </row>
    <row r="654" spans="6:7" x14ac:dyDescent="0.2">
      <c r="F654" s="660"/>
      <c r="G654" s="661"/>
    </row>
    <row r="655" spans="6:7" x14ac:dyDescent="0.2">
      <c r="F655" s="660"/>
      <c r="G655" s="661"/>
    </row>
    <row r="656" spans="6:7" x14ac:dyDescent="0.2">
      <c r="F656" s="660"/>
      <c r="G656" s="661"/>
    </row>
    <row r="657" spans="6:7" x14ac:dyDescent="0.2">
      <c r="F657" s="660"/>
      <c r="G657" s="661"/>
    </row>
    <row r="658" spans="6:7" x14ac:dyDescent="0.2">
      <c r="F658" s="660"/>
      <c r="G658" s="661"/>
    </row>
    <row r="659" spans="6:7" x14ac:dyDescent="0.2">
      <c r="F659" s="660"/>
      <c r="G659" s="661"/>
    </row>
    <row r="660" spans="6:7" x14ac:dyDescent="0.2">
      <c r="F660" s="660"/>
      <c r="G660" s="661"/>
    </row>
    <row r="661" spans="6:7" x14ac:dyDescent="0.2">
      <c r="F661" s="660"/>
      <c r="G661" s="661"/>
    </row>
    <row r="662" spans="6:7" x14ac:dyDescent="0.2">
      <c r="F662" s="660"/>
      <c r="G662" s="661"/>
    </row>
    <row r="663" spans="6:7" x14ac:dyDescent="0.2">
      <c r="F663" s="660"/>
      <c r="G663" s="661"/>
    </row>
    <row r="664" spans="6:7" x14ac:dyDescent="0.2">
      <c r="F664" s="660"/>
      <c r="G664" s="661"/>
    </row>
    <row r="665" spans="6:7" x14ac:dyDescent="0.2">
      <c r="F665" s="660"/>
      <c r="G665" s="661"/>
    </row>
    <row r="666" spans="6:7" x14ac:dyDescent="0.2">
      <c r="F666" s="660"/>
      <c r="G666" s="661"/>
    </row>
    <row r="667" spans="6:7" x14ac:dyDescent="0.2">
      <c r="F667" s="660"/>
      <c r="G667" s="661"/>
    </row>
    <row r="668" spans="6:7" x14ac:dyDescent="0.2">
      <c r="F668" s="660"/>
      <c r="G668" s="661"/>
    </row>
    <row r="669" spans="6:7" x14ac:dyDescent="0.2">
      <c r="F669" s="660"/>
      <c r="G669" s="661"/>
    </row>
    <row r="670" spans="6:7" x14ac:dyDescent="0.2">
      <c r="F670" s="660"/>
      <c r="G670" s="661"/>
    </row>
    <row r="671" spans="6:7" x14ac:dyDescent="0.2">
      <c r="F671" s="660"/>
      <c r="G671" s="661"/>
    </row>
    <row r="672" spans="6:7" x14ac:dyDescent="0.2">
      <c r="F672" s="660"/>
      <c r="G672" s="661"/>
    </row>
    <row r="673" spans="6:7" x14ac:dyDescent="0.2">
      <c r="F673" s="660"/>
      <c r="G673" s="661"/>
    </row>
    <row r="674" spans="6:7" x14ac:dyDescent="0.2">
      <c r="F674" s="660"/>
      <c r="G674" s="661"/>
    </row>
    <row r="675" spans="6:7" x14ac:dyDescent="0.2">
      <c r="F675" s="660"/>
      <c r="G675" s="661"/>
    </row>
    <row r="676" spans="6:7" x14ac:dyDescent="0.2">
      <c r="F676" s="660"/>
      <c r="G676" s="661"/>
    </row>
    <row r="677" spans="6:7" x14ac:dyDescent="0.2">
      <c r="F677" s="660"/>
      <c r="G677" s="661"/>
    </row>
    <row r="678" spans="6:7" x14ac:dyDescent="0.2">
      <c r="F678" s="660"/>
      <c r="G678" s="661"/>
    </row>
    <row r="679" spans="6:7" x14ac:dyDescent="0.2">
      <c r="F679" s="660"/>
      <c r="G679" s="661"/>
    </row>
    <row r="680" spans="6:7" x14ac:dyDescent="0.2">
      <c r="F680" s="660"/>
      <c r="G680" s="661"/>
    </row>
    <row r="681" spans="6:7" x14ac:dyDescent="0.2">
      <c r="F681" s="660"/>
      <c r="G681" s="661"/>
    </row>
    <row r="682" spans="6:7" x14ac:dyDescent="0.2">
      <c r="F682" s="660"/>
      <c r="G682" s="661"/>
    </row>
    <row r="683" spans="6:7" x14ac:dyDescent="0.2">
      <c r="F683" s="660"/>
      <c r="G683" s="661"/>
    </row>
    <row r="684" spans="6:7" x14ac:dyDescent="0.2">
      <c r="F684" s="660"/>
      <c r="G684" s="661"/>
    </row>
    <row r="685" spans="6:7" x14ac:dyDescent="0.2">
      <c r="F685" s="660"/>
      <c r="G685" s="661"/>
    </row>
    <row r="686" spans="6:7" x14ac:dyDescent="0.2">
      <c r="F686" s="660"/>
      <c r="G686" s="661"/>
    </row>
    <row r="687" spans="6:7" x14ac:dyDescent="0.2">
      <c r="F687" s="660"/>
      <c r="G687" s="661"/>
    </row>
    <row r="688" spans="6:7" x14ac:dyDescent="0.2">
      <c r="F688" s="660"/>
      <c r="G688" s="661"/>
    </row>
    <row r="689" spans="6:7" x14ac:dyDescent="0.2">
      <c r="F689" s="660"/>
      <c r="G689" s="661"/>
    </row>
    <row r="690" spans="6:7" x14ac:dyDescent="0.2">
      <c r="F690" s="660"/>
      <c r="G690" s="661"/>
    </row>
    <row r="691" spans="6:7" x14ac:dyDescent="0.2">
      <c r="F691" s="660"/>
      <c r="G691" s="661"/>
    </row>
    <row r="692" spans="6:7" x14ac:dyDescent="0.2">
      <c r="F692" s="660"/>
      <c r="G692" s="661"/>
    </row>
    <row r="693" spans="6:7" x14ac:dyDescent="0.2">
      <c r="F693" s="660"/>
      <c r="G693" s="661"/>
    </row>
    <row r="694" spans="6:7" x14ac:dyDescent="0.2">
      <c r="F694" s="660"/>
      <c r="G694" s="661"/>
    </row>
    <row r="695" spans="6:7" x14ac:dyDescent="0.2">
      <c r="F695" s="660"/>
      <c r="G695" s="661"/>
    </row>
    <row r="696" spans="6:7" x14ac:dyDescent="0.2">
      <c r="F696" s="660"/>
      <c r="G696" s="661"/>
    </row>
    <row r="697" spans="6:7" x14ac:dyDescent="0.2">
      <c r="F697" s="660"/>
      <c r="G697" s="661"/>
    </row>
    <row r="698" spans="6:7" x14ac:dyDescent="0.2">
      <c r="F698" s="660"/>
      <c r="G698" s="661"/>
    </row>
    <row r="699" spans="6:7" x14ac:dyDescent="0.2">
      <c r="F699" s="660"/>
      <c r="G699" s="661"/>
    </row>
    <row r="700" spans="6:7" x14ac:dyDescent="0.2">
      <c r="F700" s="660"/>
      <c r="G700" s="661"/>
    </row>
    <row r="701" spans="6:7" x14ac:dyDescent="0.2">
      <c r="F701" s="660"/>
      <c r="G701" s="661"/>
    </row>
    <row r="702" spans="6:7" x14ac:dyDescent="0.2">
      <c r="F702" s="660"/>
      <c r="G702" s="661"/>
    </row>
    <row r="703" spans="6:7" x14ac:dyDescent="0.2">
      <c r="F703" s="660"/>
      <c r="G703" s="661"/>
    </row>
    <row r="704" spans="6:7" x14ac:dyDescent="0.2">
      <c r="F704" s="660"/>
      <c r="G704" s="661"/>
    </row>
    <row r="705" spans="6:7" x14ac:dyDescent="0.2">
      <c r="F705" s="660"/>
      <c r="G705" s="661"/>
    </row>
    <row r="706" spans="6:7" x14ac:dyDescent="0.2">
      <c r="F706" s="660"/>
      <c r="G706" s="661"/>
    </row>
    <row r="707" spans="6:7" x14ac:dyDescent="0.2">
      <c r="F707" s="660"/>
      <c r="G707" s="661"/>
    </row>
    <row r="708" spans="6:7" x14ac:dyDescent="0.2">
      <c r="F708" s="660"/>
      <c r="G708" s="661"/>
    </row>
    <row r="709" spans="6:7" x14ac:dyDescent="0.2">
      <c r="F709" s="660"/>
      <c r="G709" s="661"/>
    </row>
    <row r="710" spans="6:7" x14ac:dyDescent="0.2">
      <c r="F710" s="660"/>
      <c r="G710" s="661"/>
    </row>
    <row r="711" spans="6:7" x14ac:dyDescent="0.2">
      <c r="F711" s="660"/>
      <c r="G711" s="661"/>
    </row>
    <row r="712" spans="6:7" x14ac:dyDescent="0.2">
      <c r="F712" s="660"/>
      <c r="G712" s="661"/>
    </row>
    <row r="713" spans="6:7" x14ac:dyDescent="0.2">
      <c r="F713" s="660"/>
      <c r="G713" s="661"/>
    </row>
    <row r="714" spans="6:7" x14ac:dyDescent="0.2">
      <c r="F714" s="660"/>
      <c r="G714" s="661"/>
    </row>
    <row r="715" spans="6:7" x14ac:dyDescent="0.2">
      <c r="F715" s="660"/>
      <c r="G715" s="661"/>
    </row>
    <row r="716" spans="6:7" x14ac:dyDescent="0.2">
      <c r="F716" s="660"/>
      <c r="G716" s="661"/>
    </row>
    <row r="717" spans="6:7" x14ac:dyDescent="0.2">
      <c r="F717" s="660"/>
      <c r="G717" s="661"/>
    </row>
    <row r="718" spans="6:7" x14ac:dyDescent="0.2">
      <c r="F718" s="660"/>
      <c r="G718" s="661"/>
    </row>
    <row r="719" spans="6:7" x14ac:dyDescent="0.2">
      <c r="F719" s="660"/>
      <c r="G719" s="661"/>
    </row>
    <row r="720" spans="6:7" x14ac:dyDescent="0.2">
      <c r="F720" s="660"/>
      <c r="G720" s="661"/>
    </row>
    <row r="721" spans="6:7" x14ac:dyDescent="0.2">
      <c r="F721" s="660"/>
      <c r="G721" s="661"/>
    </row>
    <row r="722" spans="6:7" x14ac:dyDescent="0.2">
      <c r="F722" s="660"/>
      <c r="G722" s="661"/>
    </row>
    <row r="723" spans="6:7" x14ac:dyDescent="0.2">
      <c r="F723" s="660"/>
      <c r="G723" s="661"/>
    </row>
    <row r="724" spans="6:7" x14ac:dyDescent="0.2">
      <c r="F724" s="660"/>
      <c r="G724" s="661"/>
    </row>
    <row r="725" spans="6:7" x14ac:dyDescent="0.2">
      <c r="F725" s="660"/>
      <c r="G725" s="661"/>
    </row>
    <row r="726" spans="6:7" x14ac:dyDescent="0.2">
      <c r="F726" s="660"/>
      <c r="G726" s="661"/>
    </row>
    <row r="727" spans="6:7" x14ac:dyDescent="0.2">
      <c r="F727" s="660"/>
      <c r="G727" s="661"/>
    </row>
    <row r="728" spans="6:7" x14ac:dyDescent="0.2">
      <c r="F728" s="660"/>
      <c r="G728" s="661"/>
    </row>
    <row r="729" spans="6:7" x14ac:dyDescent="0.2">
      <c r="F729" s="660"/>
      <c r="G729" s="661"/>
    </row>
    <row r="730" spans="6:7" x14ac:dyDescent="0.2">
      <c r="F730" s="660"/>
      <c r="G730" s="661"/>
    </row>
    <row r="731" spans="6:7" x14ac:dyDescent="0.2">
      <c r="F731" s="660"/>
      <c r="G731" s="661"/>
    </row>
    <row r="732" spans="6:7" x14ac:dyDescent="0.2">
      <c r="F732" s="660"/>
      <c r="G732" s="661"/>
    </row>
    <row r="733" spans="6:7" x14ac:dyDescent="0.2">
      <c r="F733" s="660"/>
      <c r="G733" s="661"/>
    </row>
    <row r="734" spans="6:7" x14ac:dyDescent="0.2">
      <c r="F734" s="660"/>
      <c r="G734" s="661"/>
    </row>
    <row r="735" spans="6:7" x14ac:dyDescent="0.2">
      <c r="F735" s="660"/>
      <c r="G735" s="661"/>
    </row>
    <row r="736" spans="6:7" x14ac:dyDescent="0.2">
      <c r="F736" s="660"/>
      <c r="G736" s="661"/>
    </row>
    <row r="737" spans="6:7" x14ac:dyDescent="0.2">
      <c r="F737" s="660"/>
      <c r="G737" s="661"/>
    </row>
    <row r="738" spans="6:7" x14ac:dyDescent="0.2">
      <c r="F738" s="660"/>
      <c r="G738" s="661"/>
    </row>
    <row r="739" spans="6:7" x14ac:dyDescent="0.2">
      <c r="F739" s="660"/>
      <c r="G739" s="661"/>
    </row>
    <row r="740" spans="6:7" x14ac:dyDescent="0.2">
      <c r="F740" s="660"/>
      <c r="G740" s="661"/>
    </row>
    <row r="741" spans="6:7" x14ac:dyDescent="0.2">
      <c r="F741" s="660"/>
      <c r="G741" s="661"/>
    </row>
    <row r="742" spans="6:7" x14ac:dyDescent="0.2">
      <c r="F742" s="660"/>
      <c r="G742" s="661"/>
    </row>
    <row r="743" spans="6:7" x14ac:dyDescent="0.2">
      <c r="F743" s="660"/>
      <c r="G743" s="661"/>
    </row>
    <row r="744" spans="6:7" x14ac:dyDescent="0.2">
      <c r="F744" s="660"/>
      <c r="G744" s="661"/>
    </row>
    <row r="745" spans="6:7" x14ac:dyDescent="0.2">
      <c r="F745" s="660"/>
      <c r="G745" s="661"/>
    </row>
    <row r="746" spans="6:7" x14ac:dyDescent="0.2">
      <c r="F746" s="660"/>
      <c r="G746" s="661"/>
    </row>
    <row r="747" spans="6:7" x14ac:dyDescent="0.2">
      <c r="F747" s="660"/>
      <c r="G747" s="661"/>
    </row>
    <row r="748" spans="6:7" x14ac:dyDescent="0.2">
      <c r="F748" s="660"/>
      <c r="G748" s="661"/>
    </row>
    <row r="749" spans="6:7" x14ac:dyDescent="0.2">
      <c r="F749" s="660"/>
      <c r="G749" s="661"/>
    </row>
    <row r="750" spans="6:7" x14ac:dyDescent="0.2">
      <c r="F750" s="660"/>
      <c r="G750" s="661"/>
    </row>
    <row r="751" spans="6:7" x14ac:dyDescent="0.2">
      <c r="F751" s="660"/>
      <c r="G751" s="661"/>
    </row>
    <row r="752" spans="6:7" x14ac:dyDescent="0.2">
      <c r="F752" s="660"/>
      <c r="G752" s="661"/>
    </row>
    <row r="753" spans="6:7" x14ac:dyDescent="0.2">
      <c r="F753" s="660"/>
      <c r="G753" s="661"/>
    </row>
    <row r="754" spans="6:7" x14ac:dyDescent="0.2">
      <c r="F754" s="660"/>
      <c r="G754" s="661"/>
    </row>
    <row r="755" spans="6:7" x14ac:dyDescent="0.2">
      <c r="F755" s="660"/>
      <c r="G755" s="661"/>
    </row>
    <row r="756" spans="6:7" x14ac:dyDescent="0.2">
      <c r="F756" s="660"/>
      <c r="G756" s="661"/>
    </row>
    <row r="757" spans="6:7" x14ac:dyDescent="0.2">
      <c r="F757" s="660"/>
      <c r="G757" s="661"/>
    </row>
    <row r="758" spans="6:7" x14ac:dyDescent="0.2">
      <c r="F758" s="660"/>
      <c r="G758" s="661"/>
    </row>
    <row r="759" spans="6:7" x14ac:dyDescent="0.2">
      <c r="F759" s="660"/>
      <c r="G759" s="661"/>
    </row>
    <row r="760" spans="6:7" x14ac:dyDescent="0.2">
      <c r="F760" s="660"/>
      <c r="G760" s="661"/>
    </row>
    <row r="761" spans="6:7" x14ac:dyDescent="0.2">
      <c r="F761" s="660"/>
      <c r="G761" s="661"/>
    </row>
    <row r="762" spans="6:7" x14ac:dyDescent="0.2">
      <c r="F762" s="660"/>
      <c r="G762" s="661"/>
    </row>
    <row r="763" spans="6:7" x14ac:dyDescent="0.2">
      <c r="F763" s="660"/>
      <c r="G763" s="661"/>
    </row>
    <row r="764" spans="6:7" x14ac:dyDescent="0.2">
      <c r="F764" s="660"/>
      <c r="G764" s="661"/>
    </row>
    <row r="765" spans="6:7" x14ac:dyDescent="0.2">
      <c r="F765" s="660"/>
      <c r="G765" s="661"/>
    </row>
    <row r="766" spans="6:7" x14ac:dyDescent="0.2">
      <c r="F766" s="660"/>
      <c r="G766" s="661"/>
    </row>
    <row r="767" spans="6:7" x14ac:dyDescent="0.2">
      <c r="F767" s="660"/>
      <c r="G767" s="661"/>
    </row>
    <row r="768" spans="6:7" x14ac:dyDescent="0.2">
      <c r="F768" s="660"/>
      <c r="G768" s="661"/>
    </row>
    <row r="769" spans="6:7" x14ac:dyDescent="0.2">
      <c r="F769" s="660"/>
      <c r="G769" s="661"/>
    </row>
    <row r="770" spans="6:7" x14ac:dyDescent="0.2">
      <c r="F770" s="660"/>
      <c r="G770" s="661"/>
    </row>
    <row r="771" spans="6:7" x14ac:dyDescent="0.2">
      <c r="F771" s="660"/>
      <c r="G771" s="661"/>
    </row>
    <row r="772" spans="6:7" x14ac:dyDescent="0.2">
      <c r="F772" s="660"/>
      <c r="G772" s="661"/>
    </row>
    <row r="773" spans="6:7" x14ac:dyDescent="0.2">
      <c r="F773" s="660"/>
      <c r="G773" s="661"/>
    </row>
    <row r="774" spans="6:7" x14ac:dyDescent="0.2">
      <c r="F774" s="660"/>
      <c r="G774" s="661"/>
    </row>
    <row r="775" spans="6:7" x14ac:dyDescent="0.2">
      <c r="F775" s="660"/>
      <c r="G775" s="661"/>
    </row>
    <row r="776" spans="6:7" x14ac:dyDescent="0.2">
      <c r="F776" s="660"/>
      <c r="G776" s="661"/>
    </row>
    <row r="777" spans="6:7" x14ac:dyDescent="0.2">
      <c r="F777" s="660"/>
      <c r="G777" s="661"/>
    </row>
    <row r="778" spans="6:7" x14ac:dyDescent="0.2">
      <c r="F778" s="660"/>
      <c r="G778" s="661"/>
    </row>
    <row r="779" spans="6:7" x14ac:dyDescent="0.2">
      <c r="F779" s="660"/>
      <c r="G779" s="661"/>
    </row>
    <row r="780" spans="6:7" x14ac:dyDescent="0.2">
      <c r="F780" s="660"/>
      <c r="G780" s="661"/>
    </row>
    <row r="781" spans="6:7" x14ac:dyDescent="0.2">
      <c r="F781" s="660"/>
      <c r="G781" s="661"/>
    </row>
    <row r="782" spans="6:7" x14ac:dyDescent="0.2">
      <c r="F782" s="660"/>
      <c r="G782" s="661"/>
    </row>
    <row r="783" spans="6:7" x14ac:dyDescent="0.2">
      <c r="F783" s="660"/>
      <c r="G783" s="661"/>
    </row>
    <row r="784" spans="6:7" x14ac:dyDescent="0.2">
      <c r="F784" s="660"/>
      <c r="G784" s="661"/>
    </row>
    <row r="785" spans="6:7" x14ac:dyDescent="0.2">
      <c r="F785" s="660"/>
      <c r="G785" s="661"/>
    </row>
    <row r="786" spans="6:7" x14ac:dyDescent="0.2">
      <c r="F786" s="660"/>
      <c r="G786" s="661"/>
    </row>
    <row r="787" spans="6:7" x14ac:dyDescent="0.2">
      <c r="F787" s="660"/>
      <c r="G787" s="661"/>
    </row>
    <row r="788" spans="6:7" x14ac:dyDescent="0.2">
      <c r="F788" s="660"/>
      <c r="G788" s="661"/>
    </row>
    <row r="789" spans="6:7" x14ac:dyDescent="0.2">
      <c r="F789" s="660"/>
      <c r="G789" s="661"/>
    </row>
    <row r="790" spans="6:7" x14ac:dyDescent="0.2">
      <c r="F790" s="660"/>
      <c r="G790" s="661"/>
    </row>
    <row r="791" spans="6:7" x14ac:dyDescent="0.2">
      <c r="F791" s="660"/>
      <c r="G791" s="661"/>
    </row>
    <row r="792" spans="6:7" x14ac:dyDescent="0.2">
      <c r="F792" s="660"/>
      <c r="G792" s="661"/>
    </row>
    <row r="793" spans="6:7" x14ac:dyDescent="0.2">
      <c r="F793" s="660"/>
      <c r="G793" s="661"/>
    </row>
    <row r="794" spans="6:7" x14ac:dyDescent="0.2">
      <c r="F794" s="660"/>
      <c r="G794" s="661"/>
    </row>
    <row r="795" spans="6:7" x14ac:dyDescent="0.2">
      <c r="F795" s="660"/>
      <c r="G795" s="661"/>
    </row>
    <row r="796" spans="6:7" x14ac:dyDescent="0.2">
      <c r="F796" s="660"/>
      <c r="G796" s="661"/>
    </row>
    <row r="797" spans="6:7" x14ac:dyDescent="0.2">
      <c r="F797" s="660"/>
      <c r="G797" s="661"/>
    </row>
    <row r="798" spans="6:7" x14ac:dyDescent="0.2">
      <c r="F798" s="660"/>
      <c r="G798" s="661"/>
    </row>
    <row r="799" spans="6:7" x14ac:dyDescent="0.2">
      <c r="F799" s="660"/>
      <c r="G799" s="661"/>
    </row>
    <row r="800" spans="6:7" x14ac:dyDescent="0.2">
      <c r="F800" s="660"/>
      <c r="G800" s="661"/>
    </row>
    <row r="801" spans="6:7" x14ac:dyDescent="0.2">
      <c r="F801" s="660"/>
      <c r="G801" s="661"/>
    </row>
    <row r="802" spans="6:7" x14ac:dyDescent="0.2">
      <c r="F802" s="660"/>
      <c r="G802" s="661"/>
    </row>
    <row r="803" spans="6:7" x14ac:dyDescent="0.2">
      <c r="F803" s="660"/>
      <c r="G803" s="661"/>
    </row>
    <row r="804" spans="6:7" x14ac:dyDescent="0.2">
      <c r="F804" s="660"/>
      <c r="G804" s="661"/>
    </row>
    <row r="805" spans="6:7" x14ac:dyDescent="0.2">
      <c r="F805" s="660"/>
      <c r="G805" s="661"/>
    </row>
    <row r="806" spans="6:7" x14ac:dyDescent="0.2">
      <c r="F806" s="660"/>
      <c r="G806" s="661"/>
    </row>
    <row r="807" spans="6:7" x14ac:dyDescent="0.2">
      <c r="F807" s="660"/>
      <c r="G807" s="661"/>
    </row>
    <row r="808" spans="6:7" x14ac:dyDescent="0.2">
      <c r="F808" s="660"/>
      <c r="G808" s="661"/>
    </row>
    <row r="809" spans="6:7" x14ac:dyDescent="0.2">
      <c r="F809" s="660"/>
      <c r="G809" s="661"/>
    </row>
    <row r="810" spans="6:7" x14ac:dyDescent="0.2">
      <c r="F810" s="660"/>
      <c r="G810" s="661"/>
    </row>
    <row r="811" spans="6:7" x14ac:dyDescent="0.2">
      <c r="F811" s="660"/>
      <c r="G811" s="661"/>
    </row>
    <row r="812" spans="6:7" x14ac:dyDescent="0.2">
      <c r="F812" s="660"/>
      <c r="G812" s="661"/>
    </row>
    <row r="813" spans="6:7" x14ac:dyDescent="0.2">
      <c r="F813" s="660"/>
      <c r="G813" s="661"/>
    </row>
    <row r="814" spans="6:7" x14ac:dyDescent="0.2">
      <c r="F814" s="660"/>
      <c r="G814" s="661"/>
    </row>
    <row r="815" spans="6:7" x14ac:dyDescent="0.2">
      <c r="F815" s="660"/>
      <c r="G815" s="661"/>
    </row>
    <row r="816" spans="6:7" x14ac:dyDescent="0.2">
      <c r="F816" s="660"/>
      <c r="G816" s="661"/>
    </row>
    <row r="817" spans="6:7" x14ac:dyDescent="0.2">
      <c r="F817" s="660"/>
      <c r="G817" s="661"/>
    </row>
    <row r="818" spans="6:7" x14ac:dyDescent="0.2">
      <c r="F818" s="660"/>
      <c r="G818" s="661"/>
    </row>
    <row r="819" spans="6:7" x14ac:dyDescent="0.2">
      <c r="F819" s="660"/>
      <c r="G819" s="661"/>
    </row>
    <row r="820" spans="6:7" x14ac:dyDescent="0.2">
      <c r="F820" s="660"/>
      <c r="G820" s="661"/>
    </row>
    <row r="821" spans="6:7" x14ac:dyDescent="0.2">
      <c r="F821" s="660"/>
      <c r="G821" s="661"/>
    </row>
    <row r="822" spans="6:7" x14ac:dyDescent="0.2">
      <c r="F822" s="660"/>
      <c r="G822" s="661"/>
    </row>
    <row r="823" spans="6:7" x14ac:dyDescent="0.2">
      <c r="F823" s="660"/>
      <c r="G823" s="661"/>
    </row>
    <row r="824" spans="6:7" x14ac:dyDescent="0.2">
      <c r="F824" s="660"/>
      <c r="G824" s="661"/>
    </row>
    <row r="825" spans="6:7" x14ac:dyDescent="0.2">
      <c r="F825" s="660"/>
      <c r="G825" s="661"/>
    </row>
    <row r="826" spans="6:7" x14ac:dyDescent="0.2">
      <c r="F826" s="660"/>
      <c r="G826" s="661"/>
    </row>
    <row r="827" spans="6:7" x14ac:dyDescent="0.2">
      <c r="F827" s="660"/>
      <c r="G827" s="661"/>
    </row>
    <row r="828" spans="6:7" x14ac:dyDescent="0.2">
      <c r="F828" s="660"/>
      <c r="G828" s="661"/>
    </row>
    <row r="829" spans="6:7" x14ac:dyDescent="0.2">
      <c r="F829" s="660"/>
      <c r="G829" s="661"/>
    </row>
    <row r="830" spans="6:7" x14ac:dyDescent="0.2">
      <c r="F830" s="660"/>
      <c r="G830" s="661"/>
    </row>
    <row r="831" spans="6:7" x14ac:dyDescent="0.2">
      <c r="F831" s="660"/>
      <c r="G831" s="661"/>
    </row>
    <row r="832" spans="6:7" x14ac:dyDescent="0.2">
      <c r="F832" s="660"/>
      <c r="G832" s="661"/>
    </row>
    <row r="833" spans="6:7" x14ac:dyDescent="0.2">
      <c r="F833" s="660"/>
      <c r="G833" s="661"/>
    </row>
    <row r="834" spans="6:7" x14ac:dyDescent="0.2">
      <c r="F834" s="660"/>
      <c r="G834" s="661"/>
    </row>
    <row r="835" spans="6:7" x14ac:dyDescent="0.2">
      <c r="F835" s="660"/>
      <c r="G835" s="661"/>
    </row>
    <row r="836" spans="6:7" x14ac:dyDescent="0.2">
      <c r="F836" s="660"/>
      <c r="G836" s="661"/>
    </row>
    <row r="837" spans="6:7" x14ac:dyDescent="0.2">
      <c r="F837" s="660"/>
      <c r="G837" s="661"/>
    </row>
    <row r="838" spans="6:7" x14ac:dyDescent="0.2">
      <c r="F838" s="660"/>
      <c r="G838" s="661"/>
    </row>
    <row r="839" spans="6:7" x14ac:dyDescent="0.2">
      <c r="F839" s="660"/>
      <c r="G839" s="661"/>
    </row>
    <row r="840" spans="6:7" x14ac:dyDescent="0.2">
      <c r="F840" s="660"/>
      <c r="G840" s="661"/>
    </row>
    <row r="841" spans="6:7" x14ac:dyDescent="0.2">
      <c r="F841" s="660"/>
      <c r="G841" s="661"/>
    </row>
    <row r="842" spans="6:7" x14ac:dyDescent="0.2">
      <c r="F842" s="660"/>
      <c r="G842" s="661"/>
    </row>
    <row r="843" spans="6:7" x14ac:dyDescent="0.2">
      <c r="F843" s="660"/>
      <c r="G843" s="661"/>
    </row>
    <row r="844" spans="6:7" x14ac:dyDescent="0.2">
      <c r="F844" s="660"/>
      <c r="G844" s="661"/>
    </row>
    <row r="845" spans="6:7" x14ac:dyDescent="0.2">
      <c r="F845" s="660"/>
      <c r="G845" s="661"/>
    </row>
    <row r="846" spans="6:7" x14ac:dyDescent="0.2">
      <c r="F846" s="660"/>
      <c r="G846" s="661"/>
    </row>
    <row r="847" spans="6:7" x14ac:dyDescent="0.2">
      <c r="F847" s="660"/>
      <c r="G847" s="661"/>
    </row>
    <row r="848" spans="6:7" x14ac:dyDescent="0.2">
      <c r="F848" s="660"/>
      <c r="G848" s="661"/>
    </row>
    <row r="849" spans="6:7" x14ac:dyDescent="0.2">
      <c r="F849" s="660"/>
      <c r="G849" s="661"/>
    </row>
    <row r="850" spans="6:7" x14ac:dyDescent="0.2">
      <c r="F850" s="660"/>
      <c r="G850" s="661"/>
    </row>
    <row r="851" spans="6:7" x14ac:dyDescent="0.2">
      <c r="F851" s="660"/>
      <c r="G851" s="661"/>
    </row>
    <row r="852" spans="6:7" x14ac:dyDescent="0.2">
      <c r="F852" s="660"/>
      <c r="G852" s="661"/>
    </row>
    <row r="853" spans="6:7" x14ac:dyDescent="0.2">
      <c r="F853" s="660"/>
      <c r="G853" s="661"/>
    </row>
    <row r="854" spans="6:7" x14ac:dyDescent="0.2">
      <c r="F854" s="660"/>
      <c r="G854" s="661"/>
    </row>
    <row r="855" spans="6:7" x14ac:dyDescent="0.2">
      <c r="F855" s="660"/>
      <c r="G855" s="661"/>
    </row>
    <row r="856" spans="6:7" x14ac:dyDescent="0.2">
      <c r="F856" s="660"/>
      <c r="G856" s="661"/>
    </row>
    <row r="857" spans="6:7" x14ac:dyDescent="0.2">
      <c r="F857" s="660"/>
      <c r="G857" s="661"/>
    </row>
    <row r="858" spans="6:7" x14ac:dyDescent="0.2">
      <c r="F858" s="660"/>
      <c r="G858" s="661"/>
    </row>
    <row r="859" spans="6:7" x14ac:dyDescent="0.2">
      <c r="F859" s="660"/>
      <c r="G859" s="661"/>
    </row>
    <row r="860" spans="6:7" x14ac:dyDescent="0.2">
      <c r="F860" s="660"/>
      <c r="G860" s="661"/>
    </row>
    <row r="861" spans="6:7" x14ac:dyDescent="0.2">
      <c r="F861" s="660"/>
      <c r="G861" s="661"/>
    </row>
    <row r="862" spans="6:7" x14ac:dyDescent="0.2">
      <c r="F862" s="660"/>
      <c r="G862" s="661"/>
    </row>
    <row r="863" spans="6:7" x14ac:dyDescent="0.2">
      <c r="F863" s="660"/>
      <c r="G863" s="661"/>
    </row>
    <row r="864" spans="6:7" x14ac:dyDescent="0.2">
      <c r="F864" s="660"/>
      <c r="G864" s="661"/>
    </row>
    <row r="865" spans="6:7" x14ac:dyDescent="0.2">
      <c r="F865" s="660"/>
      <c r="G865" s="661"/>
    </row>
    <row r="866" spans="6:7" x14ac:dyDescent="0.2">
      <c r="F866" s="660"/>
      <c r="G866" s="661"/>
    </row>
    <row r="867" spans="6:7" x14ac:dyDescent="0.2">
      <c r="F867" s="660"/>
      <c r="G867" s="661"/>
    </row>
    <row r="868" spans="6:7" x14ac:dyDescent="0.2">
      <c r="F868" s="660"/>
      <c r="G868" s="661"/>
    </row>
    <row r="869" spans="6:7" x14ac:dyDescent="0.2">
      <c r="F869" s="660"/>
      <c r="G869" s="661"/>
    </row>
    <row r="870" spans="6:7" x14ac:dyDescent="0.2">
      <c r="F870" s="660"/>
      <c r="G870" s="661"/>
    </row>
    <row r="871" spans="6:7" x14ac:dyDescent="0.2">
      <c r="F871" s="660"/>
      <c r="G871" s="661"/>
    </row>
    <row r="872" spans="6:7" x14ac:dyDescent="0.2">
      <c r="F872" s="660"/>
      <c r="G872" s="661"/>
    </row>
    <row r="873" spans="6:7" x14ac:dyDescent="0.2">
      <c r="F873" s="660"/>
      <c r="G873" s="661"/>
    </row>
    <row r="874" spans="6:7" x14ac:dyDescent="0.2">
      <c r="F874" s="660"/>
      <c r="G874" s="661"/>
    </row>
    <row r="875" spans="6:7" x14ac:dyDescent="0.2">
      <c r="F875" s="660"/>
      <c r="G875" s="661"/>
    </row>
    <row r="876" spans="6:7" x14ac:dyDescent="0.2">
      <c r="F876" s="660"/>
      <c r="G876" s="661"/>
    </row>
  </sheetData>
  <sheetProtection algorithmName="SHA-512" hashValue="yaun7LBhWWHugiXysTjBKE7uqd1asy9wgbwO51jeI+o3XX0fnAfC/g7F7xgoyqyd00WZLx1m0fohP5dTcECgyw==" saltValue="OPplb5mJuyHO0Sb/6n+lWw==" spinCount="100000" sheet="1" formatCells="0" formatColumns="0" formatRows="0"/>
  <customSheetViews>
    <customSheetView guid="{B8E02330-2419-4DE6-AD01-7ACC7A5D18DD}" scale="75" topLeftCell="A245">
      <selection activeCell="A2" sqref="A2:H260"/>
      <pageMargins left="0.75" right="0.75" top="1" bottom="1" header="0.5" footer="0.5"/>
      <pageSetup orientation="portrait" r:id="rId1"/>
      <headerFooter alignWithMargins="0"/>
    </customSheetView>
  </customSheetViews>
  <mergeCells count="185">
    <mergeCell ref="C211:E211"/>
    <mergeCell ref="B28:B34"/>
    <mergeCell ref="H28:H34"/>
    <mergeCell ref="H110:H116"/>
    <mergeCell ref="D209:F209"/>
    <mergeCell ref="B88:B90"/>
    <mergeCell ref="H54:H58"/>
    <mergeCell ref="H91:H95"/>
    <mergeCell ref="H72:H80"/>
    <mergeCell ref="A211:B212"/>
    <mergeCell ref="C212:E212"/>
    <mergeCell ref="H153:H156"/>
    <mergeCell ref="H149:H152"/>
    <mergeCell ref="H157:H160"/>
    <mergeCell ref="D210:H210"/>
    <mergeCell ref="D207:F207"/>
    <mergeCell ref="D208:F208"/>
    <mergeCell ref="A149:A152"/>
    <mergeCell ref="A129:A134"/>
    <mergeCell ref="A161:A164"/>
    <mergeCell ref="A174:A180"/>
    <mergeCell ref="A171:A173"/>
    <mergeCell ref="B181:B185"/>
    <mergeCell ref="A165:A170"/>
    <mergeCell ref="B135:B141"/>
    <mergeCell ref="H135:H141"/>
    <mergeCell ref="A110:A116"/>
    <mergeCell ref="A191:A198"/>
    <mergeCell ref="B191:B198"/>
    <mergeCell ref="A153:A156"/>
    <mergeCell ref="B153:B156"/>
    <mergeCell ref="H161:H164"/>
    <mergeCell ref="B161:B164"/>
    <mergeCell ref="B149:B152"/>
    <mergeCell ref="A157:A160"/>
    <mergeCell ref="A91:A95"/>
    <mergeCell ref="B171:B173"/>
    <mergeCell ref="H165:H170"/>
    <mergeCell ref="A54:A58"/>
    <mergeCell ref="A44:A48"/>
    <mergeCell ref="H142:H148"/>
    <mergeCell ref="H117:H122"/>
    <mergeCell ref="H123:H128"/>
    <mergeCell ref="A96:A99"/>
    <mergeCell ref="B96:B99"/>
    <mergeCell ref="B100:B103"/>
    <mergeCell ref="A100:A103"/>
    <mergeCell ref="H100:H103"/>
    <mergeCell ref="H96:H99"/>
    <mergeCell ref="A123:A128"/>
    <mergeCell ref="A60:A66"/>
    <mergeCell ref="B67:B71"/>
    <mergeCell ref="A67:A71"/>
    <mergeCell ref="H67:H71"/>
    <mergeCell ref="H60:H66"/>
    <mergeCell ref="B129:B134"/>
    <mergeCell ref="B49:B52"/>
    <mergeCell ref="B117:B122"/>
    <mergeCell ref="B165:B170"/>
    <mergeCell ref="D203:F203"/>
    <mergeCell ref="D204:F204"/>
    <mergeCell ref="D205:F205"/>
    <mergeCell ref="D206:F206"/>
    <mergeCell ref="H25:H27"/>
    <mergeCell ref="A36:A43"/>
    <mergeCell ref="A181:A185"/>
    <mergeCell ref="B104:B109"/>
    <mergeCell ref="A49:A52"/>
    <mergeCell ref="A117:A122"/>
    <mergeCell ref="A88:A90"/>
    <mergeCell ref="A142:A148"/>
    <mergeCell ref="A104:A109"/>
    <mergeCell ref="A135:A141"/>
    <mergeCell ref="A81:A87"/>
    <mergeCell ref="H171:H173"/>
    <mergeCell ref="B174:B180"/>
    <mergeCell ref="H174:H180"/>
    <mergeCell ref="B142:B148"/>
    <mergeCell ref="A72:A80"/>
    <mergeCell ref="B157:B160"/>
    <mergeCell ref="D202:H202"/>
    <mergeCell ref="B60:B66"/>
    <mergeCell ref="H81:H87"/>
    <mergeCell ref="H36:H43"/>
    <mergeCell ref="B36:B43"/>
    <mergeCell ref="B54:B58"/>
    <mergeCell ref="B110:B116"/>
    <mergeCell ref="B44:B48"/>
    <mergeCell ref="H129:H134"/>
    <mergeCell ref="H104:H109"/>
    <mergeCell ref="H88:H90"/>
    <mergeCell ref="B91:B95"/>
    <mergeCell ref="B72:B80"/>
    <mergeCell ref="B123:B128"/>
    <mergeCell ref="B81:B87"/>
    <mergeCell ref="A28:A34"/>
    <mergeCell ref="A11:A18"/>
    <mergeCell ref="B11:B18"/>
    <mergeCell ref="H44:H48"/>
    <mergeCell ref="A25:A27"/>
    <mergeCell ref="H49:H52"/>
    <mergeCell ref="H11:H18"/>
    <mergeCell ref="B25:B27"/>
    <mergeCell ref="E1:I1"/>
    <mergeCell ref="I3:I10"/>
    <mergeCell ref="I11:I18"/>
    <mergeCell ref="I19:I24"/>
    <mergeCell ref="I25:I27"/>
    <mergeCell ref="I28:I34"/>
    <mergeCell ref="I36:I43"/>
    <mergeCell ref="I44:I48"/>
    <mergeCell ref="A19:A24"/>
    <mergeCell ref="B3:B10"/>
    <mergeCell ref="B19:B24"/>
    <mergeCell ref="H19:H24"/>
    <mergeCell ref="H3:H10"/>
    <mergeCell ref="A1:B1"/>
    <mergeCell ref="A3:A10"/>
    <mergeCell ref="I49:I52"/>
    <mergeCell ref="I54:I58"/>
    <mergeCell ref="I60:I66"/>
    <mergeCell ref="I67:I71"/>
    <mergeCell ref="I72:I80"/>
    <mergeCell ref="I81:I87"/>
    <mergeCell ref="I88:I90"/>
    <mergeCell ref="I91:I95"/>
    <mergeCell ref="I96:I99"/>
    <mergeCell ref="I100:I103"/>
    <mergeCell ref="I104:I109"/>
    <mergeCell ref="I110:I116"/>
    <mergeCell ref="I129:I134"/>
    <mergeCell ref="I117:I122"/>
    <mergeCell ref="I123:I128"/>
    <mergeCell ref="I135:I141"/>
    <mergeCell ref="I142:I148"/>
    <mergeCell ref="I149:I152"/>
    <mergeCell ref="I153:I156"/>
    <mergeCell ref="I157:I160"/>
    <mergeCell ref="I161:I164"/>
    <mergeCell ref="I165:I170"/>
    <mergeCell ref="I171:I173"/>
    <mergeCell ref="I174:I180"/>
    <mergeCell ref="I181:I185"/>
    <mergeCell ref="H211:I211"/>
    <mergeCell ref="H191:H198"/>
    <mergeCell ref="H181:H185"/>
    <mergeCell ref="H212:I212"/>
    <mergeCell ref="H214:I214"/>
    <mergeCell ref="H215:I215"/>
    <mergeCell ref="H216:I216"/>
    <mergeCell ref="H217:I217"/>
    <mergeCell ref="H218:I218"/>
    <mergeCell ref="H219:I219"/>
    <mergeCell ref="H220:I220"/>
    <mergeCell ref="H221:I221"/>
    <mergeCell ref="H222:I222"/>
    <mergeCell ref="H223:I223"/>
    <mergeCell ref="H224:I224"/>
    <mergeCell ref="H225:I225"/>
    <mergeCell ref="H226:I226"/>
    <mergeCell ref="H227:I227"/>
    <mergeCell ref="H228:I228"/>
    <mergeCell ref="H229:I229"/>
    <mergeCell ref="H230:I230"/>
    <mergeCell ref="H231:I231"/>
    <mergeCell ref="H232:I232"/>
    <mergeCell ref="H233:I233"/>
    <mergeCell ref="H234:I234"/>
    <mergeCell ref="H235:I235"/>
    <mergeCell ref="H236:I236"/>
    <mergeCell ref="H237:I237"/>
    <mergeCell ref="H238:I238"/>
    <mergeCell ref="H239:I239"/>
    <mergeCell ref="H240:I240"/>
    <mergeCell ref="H250:I250"/>
    <mergeCell ref="H251:I251"/>
    <mergeCell ref="H241:I241"/>
    <mergeCell ref="H242:I242"/>
    <mergeCell ref="H243:I243"/>
    <mergeCell ref="H244:I244"/>
    <mergeCell ref="H245:I245"/>
    <mergeCell ref="H246:I246"/>
    <mergeCell ref="H247:I247"/>
    <mergeCell ref="H248:I248"/>
    <mergeCell ref="H249:I249"/>
  </mergeCells>
  <phoneticPr fontId="3" type="noConversion"/>
  <pageMargins left="0.75" right="0.75" top="1" bottom="1" header="0.5" footer="0.5"/>
  <pageSetup orientation="portrait"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O696"/>
  <sheetViews>
    <sheetView topLeftCell="A145" zoomScaleNormal="100" workbookViewId="0">
      <selection activeCell="G163" sqref="G163"/>
    </sheetView>
  </sheetViews>
  <sheetFormatPr defaultColWidth="9.33203125" defaultRowHeight="12.75" x14ac:dyDescent="0.2"/>
  <cols>
    <col min="1" max="1" width="5.83203125" style="6" customWidth="1"/>
    <col min="2" max="2" width="18.83203125" style="6" customWidth="1"/>
    <col min="3" max="3" width="75.83203125" style="6" customWidth="1"/>
    <col min="4" max="6" width="7.83203125" style="564" customWidth="1"/>
    <col min="7" max="7" width="9.83203125" style="565" customWidth="1"/>
    <col min="8" max="8" width="64.83203125" style="21" customWidth="1"/>
    <col min="9" max="9" width="11.1640625" style="20" customWidth="1"/>
    <col min="10" max="41" width="9.33203125" style="3"/>
    <col min="42" max="16384" width="9.33203125" style="6"/>
  </cols>
  <sheetData>
    <row r="1" spans="1:41" s="2065" customFormat="1" ht="66" customHeight="1" thickBot="1" x14ac:dyDescent="0.25">
      <c r="A1" s="2821" t="s">
        <v>2435</v>
      </c>
      <c r="B1" s="2822"/>
      <c r="C1" s="2058" t="s">
        <v>1082</v>
      </c>
      <c r="D1" s="2102" t="s">
        <v>1083</v>
      </c>
      <c r="E1" s="2634"/>
      <c r="F1" s="2635"/>
      <c r="G1" s="2635"/>
      <c r="H1" s="2635"/>
      <c r="I1" s="2635"/>
      <c r="J1" s="2107"/>
      <c r="K1" s="2107"/>
      <c r="L1" s="2107"/>
      <c r="M1" s="2107"/>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c r="AL1" s="2107"/>
      <c r="AM1" s="2107"/>
      <c r="AN1" s="2107"/>
      <c r="AO1" s="2107"/>
    </row>
    <row r="2" spans="1:41" s="106" customFormat="1" ht="36" customHeight="1" thickBot="1" x14ac:dyDescent="0.25">
      <c r="A2" s="1158" t="s">
        <v>88</v>
      </c>
      <c r="B2" s="1158" t="s">
        <v>1425</v>
      </c>
      <c r="C2" s="1196" t="s">
        <v>1165</v>
      </c>
      <c r="D2" s="1158" t="s">
        <v>45</v>
      </c>
      <c r="E2" s="1249" t="s">
        <v>1189</v>
      </c>
      <c r="F2" s="1250" t="s">
        <v>1190</v>
      </c>
      <c r="G2" s="1251" t="s">
        <v>2555</v>
      </c>
      <c r="H2" s="1158" t="s">
        <v>1118</v>
      </c>
      <c r="I2" s="1232" t="s">
        <v>2424</v>
      </c>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row>
    <row r="3" spans="1:41" ht="31.5" customHeight="1" thickBot="1" x14ac:dyDescent="0.25">
      <c r="A3" s="2818" t="str">
        <f>OF!A16</f>
        <v>OF3</v>
      </c>
      <c r="B3" s="2818" t="str">
        <f>OF!B16</f>
        <v>Ponded Water &amp; Wetland Within 1 km.</v>
      </c>
      <c r="C3" s="907" t="str">
        <f>OF!C16</f>
        <v>The area of wetlands and surface water ponded during most of the growing season that is both (1) in or adjacent to the AA and (2) within 1 km is:</v>
      </c>
      <c r="D3" s="1050"/>
      <c r="E3" s="304"/>
      <c r="F3" s="322"/>
      <c r="G3" s="465">
        <f>MAX(F4:F9)/MAX(E4:E9)</f>
        <v>0</v>
      </c>
      <c r="H3" s="2823" t="s">
        <v>1468</v>
      </c>
      <c r="I3" s="2323" t="s">
        <v>1314</v>
      </c>
    </row>
    <row r="4" spans="1:41" ht="15" customHeight="1" x14ac:dyDescent="0.2">
      <c r="A4" s="2819"/>
      <c r="B4" s="2819"/>
      <c r="C4" s="1344" t="str">
        <f>OF!C10</f>
        <v>&lt;0.01 hectare (about 10 m x 10 m).</v>
      </c>
      <c r="D4" s="908">
        <f>OF!D10</f>
        <v>1</v>
      </c>
      <c r="E4" s="299">
        <v>0</v>
      </c>
      <c r="F4" s="324">
        <f t="shared" ref="F4:F9" si="0">D4*E4</f>
        <v>0</v>
      </c>
      <c r="G4" s="302"/>
      <c r="H4" s="2824"/>
      <c r="I4" s="2324"/>
    </row>
    <row r="5" spans="1:41" ht="15" customHeight="1" x14ac:dyDescent="0.2">
      <c r="A5" s="2819"/>
      <c r="B5" s="2819"/>
      <c r="C5" s="1342" t="str">
        <f>OF!C11</f>
        <v>0.01 - 0.1 hectare.</v>
      </c>
      <c r="D5" s="908">
        <f>OF!D11</f>
        <v>0</v>
      </c>
      <c r="E5" s="299">
        <v>2</v>
      </c>
      <c r="F5" s="324">
        <f t="shared" si="0"/>
        <v>0</v>
      </c>
      <c r="G5" s="302"/>
      <c r="H5" s="2824"/>
      <c r="I5" s="2324"/>
    </row>
    <row r="6" spans="1:41" ht="15" customHeight="1" x14ac:dyDescent="0.2">
      <c r="A6" s="2819"/>
      <c r="B6" s="2819"/>
      <c r="C6" s="1342" t="str">
        <f>OF!C12</f>
        <v>0.1 - 1 hectare.</v>
      </c>
      <c r="D6" s="908">
        <f>OF!D12</f>
        <v>0</v>
      </c>
      <c r="E6" s="299">
        <v>4</v>
      </c>
      <c r="F6" s="324">
        <f t="shared" si="0"/>
        <v>0</v>
      </c>
      <c r="G6" s="302"/>
      <c r="H6" s="2824"/>
      <c r="I6" s="2324"/>
    </row>
    <row r="7" spans="1:41" ht="15" customHeight="1" x14ac:dyDescent="0.2">
      <c r="A7" s="2819"/>
      <c r="B7" s="2819"/>
      <c r="C7" s="1342" t="str">
        <f>OF!C13</f>
        <v>1 to 10 hectares.</v>
      </c>
      <c r="D7" s="908">
        <f>OF!D13</f>
        <v>0</v>
      </c>
      <c r="E7" s="299">
        <v>5</v>
      </c>
      <c r="F7" s="324">
        <f t="shared" si="0"/>
        <v>0</v>
      </c>
      <c r="G7" s="302"/>
      <c r="H7" s="2824"/>
      <c r="I7" s="2324"/>
    </row>
    <row r="8" spans="1:41" ht="15" customHeight="1" x14ac:dyDescent="0.2">
      <c r="A8" s="2819"/>
      <c r="B8" s="2819"/>
      <c r="C8" s="1342" t="str">
        <f>OF!C14</f>
        <v>10 to 100 hectares.</v>
      </c>
      <c r="D8" s="908">
        <f>OF!D14</f>
        <v>0</v>
      </c>
      <c r="E8" s="300">
        <v>6</v>
      </c>
      <c r="F8" s="324">
        <f t="shared" si="0"/>
        <v>0</v>
      </c>
      <c r="G8" s="302"/>
      <c r="H8" s="2824"/>
      <c r="I8" s="2324"/>
    </row>
    <row r="9" spans="1:41" ht="15" customHeight="1" thickBot="1" x14ac:dyDescent="0.25">
      <c r="A9" s="2820"/>
      <c r="B9" s="2820"/>
      <c r="C9" s="1343" t="str">
        <f>OF!C15</f>
        <v>&gt;100 hectares.</v>
      </c>
      <c r="D9" s="1341">
        <f>OF!D15</f>
        <v>0</v>
      </c>
      <c r="E9" s="314">
        <v>8</v>
      </c>
      <c r="F9" s="328">
        <f t="shared" si="0"/>
        <v>0</v>
      </c>
      <c r="G9" s="1052"/>
      <c r="H9" s="2825"/>
      <c r="I9" s="2325"/>
    </row>
    <row r="10" spans="1:41" ht="30" customHeight="1" thickBot="1" x14ac:dyDescent="0.25">
      <c r="A10" s="2371" t="str">
        <f>OF!A64</f>
        <v>OF13</v>
      </c>
      <c r="B10" s="2404" t="str">
        <f>OF!B64</f>
        <v>Distance to Ponded Water</v>
      </c>
      <c r="C10" s="376" t="str">
        <f>OF!C64</f>
        <v>The distance from the AA center to the closest (but separate) ponded water body visible in GoogleEarth imagery is:</v>
      </c>
      <c r="D10" s="299"/>
      <c r="E10" s="299"/>
      <c r="F10" s="321"/>
      <c r="G10" s="466">
        <f>IF((Fen_ + Marsh&gt;0),MAX(F11:F17)/MAX(E11:E17),"")</f>
        <v>0.16666666666666666</v>
      </c>
      <c r="H10" s="2404" t="s">
        <v>1583</v>
      </c>
      <c r="I10" s="2324" t="s">
        <v>205</v>
      </c>
    </row>
    <row r="11" spans="1:41" ht="27" customHeight="1" x14ac:dyDescent="0.2">
      <c r="A11" s="2365"/>
      <c r="B11" s="2396"/>
      <c r="C11" s="369" t="str">
        <f>OF!C65</f>
        <v xml:space="preserve">&lt;50 m, and not separated by any width of paved roads, stretches of open water, row crops, lawn, bare ground, or impervious surface. </v>
      </c>
      <c r="D11" s="212">
        <f>OF!D65</f>
        <v>0</v>
      </c>
      <c r="E11" s="300">
        <v>6</v>
      </c>
      <c r="F11" s="324">
        <f t="shared" ref="F11:F17" si="1">D11*E11</f>
        <v>0</v>
      </c>
      <c r="G11" s="548"/>
      <c r="H11" s="2404"/>
      <c r="I11" s="2324"/>
    </row>
    <row r="12" spans="1:41" ht="15" customHeight="1" x14ac:dyDescent="0.2">
      <c r="A12" s="2365"/>
      <c r="B12" s="2396"/>
      <c r="C12" s="369" t="str">
        <f>OF!C66</f>
        <v>&lt;50 m, but completely separated by those features.</v>
      </c>
      <c r="D12" s="212">
        <f>OF!D66</f>
        <v>0</v>
      </c>
      <c r="E12" s="300">
        <v>5</v>
      </c>
      <c r="F12" s="324">
        <f t="shared" si="1"/>
        <v>0</v>
      </c>
      <c r="G12" s="549"/>
      <c r="H12" s="2404"/>
      <c r="I12" s="2324"/>
    </row>
    <row r="13" spans="1:41" ht="15" customHeight="1" x14ac:dyDescent="0.2">
      <c r="A13" s="2365"/>
      <c r="B13" s="2396"/>
      <c r="C13" s="369" t="str">
        <f>OF!C67</f>
        <v>50-500 m, and not separated.</v>
      </c>
      <c r="D13" s="212">
        <f>OF!D67</f>
        <v>0</v>
      </c>
      <c r="E13" s="300">
        <v>4</v>
      </c>
      <c r="F13" s="324">
        <f t="shared" si="1"/>
        <v>0</v>
      </c>
      <c r="G13" s="549"/>
      <c r="H13" s="2404"/>
      <c r="I13" s="2324"/>
    </row>
    <row r="14" spans="1:41" ht="15" customHeight="1" x14ac:dyDescent="0.2">
      <c r="A14" s="2365"/>
      <c r="B14" s="2396"/>
      <c r="C14" s="369" t="str">
        <f>OF!C68</f>
        <v>50-500 m, but separated by those features.</v>
      </c>
      <c r="D14" s="212">
        <f>OF!D68</f>
        <v>0</v>
      </c>
      <c r="E14" s="300">
        <v>3</v>
      </c>
      <c r="F14" s="324">
        <f t="shared" si="1"/>
        <v>0</v>
      </c>
      <c r="G14" s="549"/>
      <c r="H14" s="2404"/>
      <c r="I14" s="2324"/>
    </row>
    <row r="15" spans="1:41" ht="15" customHeight="1" x14ac:dyDescent="0.2">
      <c r="A15" s="2365"/>
      <c r="B15" s="2396"/>
      <c r="C15" s="369" t="str">
        <f>OF!C69</f>
        <v>0.5 - 1 km, and not separated.</v>
      </c>
      <c r="D15" s="212">
        <f>OF!D69</f>
        <v>0</v>
      </c>
      <c r="E15" s="300">
        <v>2</v>
      </c>
      <c r="F15" s="324">
        <f t="shared" si="1"/>
        <v>0</v>
      </c>
      <c r="G15" s="549"/>
      <c r="H15" s="2404"/>
      <c r="I15" s="2324"/>
    </row>
    <row r="16" spans="1:41" ht="15" customHeight="1" x14ac:dyDescent="0.2">
      <c r="A16" s="2365"/>
      <c r="B16" s="2396"/>
      <c r="C16" s="369" t="str">
        <f>OF!C70</f>
        <v>0.5 - 1 km, but separated by those features.</v>
      </c>
      <c r="D16" s="212">
        <f>OF!D70</f>
        <v>1</v>
      </c>
      <c r="E16" s="300">
        <v>1</v>
      </c>
      <c r="F16" s="324">
        <f t="shared" si="1"/>
        <v>1</v>
      </c>
      <c r="G16" s="549"/>
      <c r="H16" s="2404"/>
      <c r="I16" s="2324"/>
    </row>
    <row r="17" spans="1:9" ht="15" customHeight="1" thickBot="1" x14ac:dyDescent="0.25">
      <c r="A17" s="2367"/>
      <c r="B17" s="2408"/>
      <c r="C17" s="546" t="str">
        <f>OF!C71</f>
        <v>None of the above (the closest patches or corridors that large are &gt;1 km away).</v>
      </c>
      <c r="D17" s="572">
        <f>OF!D71</f>
        <v>0</v>
      </c>
      <c r="E17" s="301">
        <v>0</v>
      </c>
      <c r="F17" s="328">
        <f t="shared" si="1"/>
        <v>0</v>
      </c>
      <c r="G17" s="550"/>
      <c r="H17" s="2530"/>
      <c r="I17" s="2325"/>
    </row>
    <row r="18" spans="1:9" ht="30" customHeight="1" thickBot="1" x14ac:dyDescent="0.25">
      <c r="A18" s="2737" t="str">
        <f>OF!A72</f>
        <v>OF14</v>
      </c>
      <c r="B18" s="2404" t="str">
        <f>OF!B72</f>
        <v>Distance to Large Ponded Water</v>
      </c>
      <c r="C18" s="376" t="str">
        <f>OF!C72</f>
        <v>The distance from the AA center to the closest (but separate) non-tidal body of water that is ponded during most of the year and is larger than 8 hectares during most of a normal year is:</v>
      </c>
      <c r="D18" s="299"/>
      <c r="E18" s="299"/>
      <c r="F18" s="321"/>
      <c r="G18" s="466">
        <f>IF((Fen_ + Marsh&gt;0),MAX(F19:F24)/MAX(E19:E24),"")</f>
        <v>0.2</v>
      </c>
      <c r="H18" s="2404" t="s">
        <v>2416</v>
      </c>
      <c r="I18" s="2323" t="s">
        <v>206</v>
      </c>
    </row>
    <row r="19" spans="1:9" ht="15" customHeight="1" x14ac:dyDescent="0.2">
      <c r="A19" s="2670"/>
      <c r="B19" s="2396"/>
      <c r="C19" s="369" t="str">
        <f>OF!C73</f>
        <v>&lt;100 m.</v>
      </c>
      <c r="D19" s="212">
        <f>OF!D73</f>
        <v>0</v>
      </c>
      <c r="E19" s="300">
        <v>5</v>
      </c>
      <c r="F19" s="324">
        <f t="shared" ref="F19:F24" si="2">D19*E19</f>
        <v>0</v>
      </c>
      <c r="G19" s="548"/>
      <c r="H19" s="2404"/>
      <c r="I19" s="2324"/>
    </row>
    <row r="20" spans="1:9" ht="15" customHeight="1" x14ac:dyDescent="0.2">
      <c r="A20" s="2670"/>
      <c r="B20" s="2396"/>
      <c r="C20" s="369" t="str">
        <f>OF!C74</f>
        <v>100 m - 1 km.</v>
      </c>
      <c r="D20" s="212">
        <f>OF!D74</f>
        <v>0</v>
      </c>
      <c r="E20" s="300">
        <v>4</v>
      </c>
      <c r="F20" s="324">
        <f t="shared" si="2"/>
        <v>0</v>
      </c>
      <c r="G20" s="549"/>
      <c r="H20" s="2404"/>
      <c r="I20" s="2324"/>
    </row>
    <row r="21" spans="1:9" ht="15" customHeight="1" x14ac:dyDescent="0.2">
      <c r="A21" s="2670"/>
      <c r="B21" s="2396"/>
      <c r="C21" s="369" t="str">
        <f>OF!C75</f>
        <v>1 -2 km.</v>
      </c>
      <c r="D21" s="212">
        <f>OF!D75</f>
        <v>0</v>
      </c>
      <c r="E21" s="300">
        <v>3</v>
      </c>
      <c r="F21" s="324">
        <f t="shared" si="2"/>
        <v>0</v>
      </c>
      <c r="G21" s="558"/>
      <c r="H21" s="2404"/>
      <c r="I21" s="2324"/>
    </row>
    <row r="22" spans="1:9" ht="15" customHeight="1" x14ac:dyDescent="0.2">
      <c r="A22" s="2670"/>
      <c r="B22" s="2396"/>
      <c r="C22" s="369" t="str">
        <f>OF!C76</f>
        <v>2-5 km.</v>
      </c>
      <c r="D22" s="212">
        <f>OF!D76</f>
        <v>0</v>
      </c>
      <c r="E22" s="303">
        <v>2</v>
      </c>
      <c r="F22" s="326">
        <f t="shared" si="2"/>
        <v>0</v>
      </c>
      <c r="G22" s="558"/>
      <c r="H22" s="2404"/>
      <c r="I22" s="2324"/>
    </row>
    <row r="23" spans="1:9" ht="15" customHeight="1" x14ac:dyDescent="0.2">
      <c r="A23" s="2670"/>
      <c r="B23" s="2396"/>
      <c r="C23" s="369" t="str">
        <f>OF!C77</f>
        <v>5-10 km.</v>
      </c>
      <c r="D23" s="212">
        <f>OF!D77</f>
        <v>1</v>
      </c>
      <c r="E23" s="303">
        <v>1</v>
      </c>
      <c r="F23" s="324">
        <f t="shared" si="2"/>
        <v>1</v>
      </c>
      <c r="G23" s="558"/>
      <c r="H23" s="2404"/>
      <c r="I23" s="2324"/>
    </row>
    <row r="24" spans="1:9" ht="15" customHeight="1" thickBot="1" x14ac:dyDescent="0.25">
      <c r="A24" s="2670"/>
      <c r="B24" s="2396"/>
      <c r="C24" s="369" t="str">
        <f>OF!C78</f>
        <v>&gt;10 km.</v>
      </c>
      <c r="D24" s="212">
        <f>OF!D78</f>
        <v>0</v>
      </c>
      <c r="E24" s="303">
        <v>0</v>
      </c>
      <c r="F24" s="326">
        <f t="shared" si="2"/>
        <v>0</v>
      </c>
      <c r="G24" s="558"/>
      <c r="H24" s="2404"/>
      <c r="I24" s="2325"/>
    </row>
    <row r="25" spans="1:9" ht="21" customHeight="1" thickBot="1" x14ac:dyDescent="0.25">
      <c r="A25" s="2489" t="str">
        <f>OF!A79</f>
        <v>OF15</v>
      </c>
      <c r="B25" s="2529" t="str">
        <f>OF!B79</f>
        <v>Tidal Proximity</v>
      </c>
      <c r="C25" s="368" t="str">
        <f>OF!C79</f>
        <v>The distance from the AA edge to the closest tidal water body (regardless of its salinity) is:</v>
      </c>
      <c r="D25" s="304"/>
      <c r="E25" s="304"/>
      <c r="F25" s="322"/>
      <c r="G25" s="465">
        <f>IF((D31=1),"",(MAX(F26:F31)/MAX(E26:E31)))</f>
        <v>1</v>
      </c>
      <c r="H25" s="2529" t="s">
        <v>2239</v>
      </c>
      <c r="I25" s="2323" t="s">
        <v>207</v>
      </c>
    </row>
    <row r="26" spans="1:9" ht="15" customHeight="1" x14ac:dyDescent="0.2">
      <c r="A26" s="2365"/>
      <c r="B26" s="2396"/>
      <c r="C26" s="369" t="str">
        <f>OF!C80</f>
        <v>&lt;100 m.</v>
      </c>
      <c r="D26" s="212">
        <f>OF!D80</f>
        <v>1</v>
      </c>
      <c r="E26" s="300">
        <v>9</v>
      </c>
      <c r="F26" s="324">
        <f t="shared" ref="F26:F31" si="3">D26*E26</f>
        <v>9</v>
      </c>
      <c r="G26" s="548"/>
      <c r="H26" s="2404"/>
      <c r="I26" s="2324"/>
    </row>
    <row r="27" spans="1:9" ht="15" customHeight="1" x14ac:dyDescent="0.2">
      <c r="A27" s="2365"/>
      <c r="B27" s="2396"/>
      <c r="C27" s="369" t="str">
        <f>OF!C81</f>
        <v>100 m - 1 km.</v>
      </c>
      <c r="D27" s="212">
        <f>OF!D81</f>
        <v>0</v>
      </c>
      <c r="E27" s="300">
        <v>7</v>
      </c>
      <c r="F27" s="324">
        <f t="shared" si="3"/>
        <v>0</v>
      </c>
      <c r="G27" s="549"/>
      <c r="H27" s="2404"/>
      <c r="I27" s="2324"/>
    </row>
    <row r="28" spans="1:9" ht="15" customHeight="1" x14ac:dyDescent="0.2">
      <c r="A28" s="2365"/>
      <c r="B28" s="2396"/>
      <c r="C28" s="369" t="str">
        <f>OF!C82</f>
        <v>1 - 5 km.</v>
      </c>
      <c r="D28" s="212">
        <f>OF!D82</f>
        <v>0</v>
      </c>
      <c r="E28" s="300">
        <v>6</v>
      </c>
      <c r="F28" s="324">
        <f t="shared" si="3"/>
        <v>0</v>
      </c>
      <c r="G28" s="549"/>
      <c r="H28" s="2404"/>
      <c r="I28" s="2324"/>
    </row>
    <row r="29" spans="1:9" ht="15" customHeight="1" x14ac:dyDescent="0.2">
      <c r="A29" s="2365"/>
      <c r="B29" s="2396"/>
      <c r="C29" s="369" t="str">
        <f>OF!C83</f>
        <v>5-10 km.</v>
      </c>
      <c r="D29" s="212">
        <f>OF!D83</f>
        <v>0</v>
      </c>
      <c r="E29" s="300">
        <v>4</v>
      </c>
      <c r="F29" s="324">
        <f t="shared" si="3"/>
        <v>0</v>
      </c>
      <c r="G29" s="549"/>
      <c r="H29" s="2404"/>
      <c r="I29" s="2324"/>
    </row>
    <row r="30" spans="1:9" ht="15" customHeight="1" x14ac:dyDescent="0.2">
      <c r="A30" s="2365"/>
      <c r="B30" s="2396"/>
      <c r="C30" s="369" t="str">
        <f>OF!C84</f>
        <v>10-40 km.</v>
      </c>
      <c r="D30" s="212">
        <f>OF!D84</f>
        <v>0</v>
      </c>
      <c r="E30" s="303">
        <v>2</v>
      </c>
      <c r="F30" s="326">
        <f t="shared" si="3"/>
        <v>0</v>
      </c>
      <c r="G30" s="558"/>
      <c r="H30" s="2404"/>
      <c r="I30" s="2324"/>
    </row>
    <row r="31" spans="1:9" ht="15" customHeight="1" thickBot="1" x14ac:dyDescent="0.25">
      <c r="A31" s="2367"/>
      <c r="B31" s="2408"/>
      <c r="C31" s="546" t="str">
        <f>OF!C85</f>
        <v>&gt;40 km.</v>
      </c>
      <c r="D31" s="572">
        <f>OF!D85</f>
        <v>0</v>
      </c>
      <c r="E31" s="301">
        <v>0</v>
      </c>
      <c r="F31" s="328">
        <f t="shared" si="3"/>
        <v>0</v>
      </c>
      <c r="G31" s="550"/>
      <c r="H31" s="2530"/>
      <c r="I31" s="2325"/>
    </row>
    <row r="32" spans="1:9" ht="45" customHeight="1" thickBot="1" x14ac:dyDescent="0.25">
      <c r="A32" s="2752" t="str">
        <f>OF!A99</f>
        <v>OF20</v>
      </c>
      <c r="B32" s="2324" t="str">
        <f>OF!B99</f>
        <v xml:space="preserve">Degraded Water Upstream </v>
      </c>
      <c r="C32" s="575" t="str">
        <f>OF!C99</f>
        <v xml:space="preserve">Sampling indicates a problem with concentrations of metals, hydrocarbons, nutrients, or other substances (excluding bacteria, acidic water, high temperatures) being present at levels harmful to aquatic life or humans, and:  </v>
      </c>
      <c r="D32" s="299"/>
      <c r="E32" s="330"/>
      <c r="F32" s="612"/>
      <c r="G32" s="466" t="str">
        <f>IF((D36=1),"", IF((D35=1),1, IF((D34=1),0.2, 0)))</f>
        <v/>
      </c>
      <c r="H32" s="2404" t="s">
        <v>1469</v>
      </c>
      <c r="I32" s="2324" t="s">
        <v>209</v>
      </c>
    </row>
    <row r="33" spans="1:41" ht="15" customHeight="1" x14ac:dyDescent="0.2">
      <c r="A33" s="2752"/>
      <c r="B33" s="2324"/>
      <c r="C33" s="1905" t="str">
        <f>OF!C100</f>
        <v>The condition is present within the AA.</v>
      </c>
      <c r="D33" s="295">
        <f>OF!D100</f>
        <v>0</v>
      </c>
      <c r="E33" s="324"/>
      <c r="F33" s="324"/>
      <c r="G33" s="548"/>
      <c r="H33" s="2404"/>
      <c r="I33" s="2324"/>
    </row>
    <row r="34" spans="1:41" ht="27" customHeight="1" x14ac:dyDescent="0.2">
      <c r="A34" s="2752"/>
      <c r="B34" s="2324"/>
      <c r="C34" s="1895" t="str">
        <f>OF!C101</f>
        <v>The condition is present in waters within 1 km that flow into the AA, but has not been documented in the AA itself.</v>
      </c>
      <c r="D34" s="211">
        <f>OF!D101</f>
        <v>0</v>
      </c>
      <c r="E34" s="324"/>
      <c r="F34" s="324"/>
      <c r="G34" s="549"/>
      <c r="H34" s="2404"/>
      <c r="I34" s="2324"/>
    </row>
    <row r="35" spans="1:41" ht="27" customHeight="1" x14ac:dyDescent="0.2">
      <c r="A35" s="2752"/>
      <c r="B35" s="2324"/>
      <c r="C35" s="1895" t="str">
        <f>OF!C102</f>
        <v>Sampling during both low water periods and times with high runoff (storms, snowmelt) indicates no problems in either the AA or inflowing waters.</v>
      </c>
      <c r="D35" s="211">
        <f>OF!D102</f>
        <v>0</v>
      </c>
      <c r="E35" s="324"/>
      <c r="F35" s="324"/>
      <c r="G35" s="549"/>
      <c r="H35" s="2404"/>
      <c r="I35" s="2324"/>
    </row>
    <row r="36" spans="1:41" ht="27" customHeight="1" thickBot="1" x14ac:dyDescent="0.25">
      <c r="A36" s="2752"/>
      <c r="B36" s="2324"/>
      <c r="C36" s="1895" t="str">
        <f>OF!C103</f>
        <v>Data are insufficient (no or inadequate sampling within 1 km, or condition exists only at &gt;1 km upstream). This is the situation for nearly all wetlands in this region.</v>
      </c>
      <c r="D36" s="211">
        <f>OF!D103</f>
        <v>1</v>
      </c>
      <c r="E36" s="326"/>
      <c r="F36" s="326"/>
      <c r="G36" s="558"/>
      <c r="H36" s="2404"/>
      <c r="I36" s="2325"/>
    </row>
    <row r="37" spans="1:41" ht="45" customHeight="1" thickBot="1" x14ac:dyDescent="0.25">
      <c r="A37" s="1584" t="str">
        <f>OF!A133</f>
        <v>OF27</v>
      </c>
      <c r="B37" s="113" t="str">
        <f>OF!B133</f>
        <v>Growing Degree Days</v>
      </c>
      <c r="C37" s="1584" t="str">
        <f>OF!C133</f>
        <v>In Google Earth, open the KMZ file that accompanies this calculator, called NB-PEI_GrowingDegreeDays. Place your cursor over the AA and left-click. From the pop-up, enter the GRIDCODE in the next column.</v>
      </c>
      <c r="D37" s="2066">
        <f>OF!D133</f>
        <v>2135</v>
      </c>
      <c r="E37" s="1585"/>
      <c r="F37" s="521"/>
      <c r="G37" s="502">
        <f>IF((GrowD&lt;1),"",(GrowD-1305)/1328)</f>
        <v>0.625</v>
      </c>
      <c r="H37" s="73" t="s">
        <v>968</v>
      </c>
      <c r="I37" s="73" t="s">
        <v>982</v>
      </c>
    </row>
    <row r="38" spans="1:41" ht="21" customHeight="1" thickBot="1" x14ac:dyDescent="0.25">
      <c r="A38" s="2812" t="str">
        <f>OF!A134</f>
        <v>OF28</v>
      </c>
      <c r="B38" s="2496" t="str">
        <f>OF!B134</f>
        <v>Fish Access or Use</v>
      </c>
      <c r="C38" s="376" t="str">
        <f>OF!C134</f>
        <v>According to agency biologists and/or your own observations, the AA. [Mark just the first choice that is true.]:</v>
      </c>
      <c r="D38" s="299"/>
      <c r="E38" s="299"/>
      <c r="F38" s="321"/>
      <c r="G38" s="466" t="str">
        <f>IF((NoPonded=1),"", IF((D42=1),"",1))</f>
        <v/>
      </c>
      <c r="H38" s="2324" t="s">
        <v>1308</v>
      </c>
      <c r="I38" s="2324" t="s">
        <v>208</v>
      </c>
    </row>
    <row r="39" spans="1:41" ht="42" customHeight="1" x14ac:dyDescent="0.2">
      <c r="A39" s="2812"/>
      <c r="B39" s="2492"/>
      <c r="C39" s="1883" t="str">
        <f>OF!C135</f>
        <v>Is known to support rearing and/or spawning by Atlantic salmon or other anadromous species or eels.  In NB, consult Figure A-2 in Appendix A of the Manual.  Contact local fishery biologists, review the ACCDC report, and visit these websites: http://www.salmonatlas.com/atlanticsalmon/canada-east/index.1.html    http://atlanticsalmonfederation.org/rivers/introduction.html</v>
      </c>
      <c r="D39" s="212">
        <f>OF!D135</f>
        <v>0</v>
      </c>
      <c r="E39" s="300">
        <v>1</v>
      </c>
      <c r="F39" s="324">
        <f>D39*E39</f>
        <v>0</v>
      </c>
      <c r="G39" s="548"/>
      <c r="H39" s="2324"/>
      <c r="I39" s="2324"/>
    </row>
    <row r="40" spans="1:41" ht="42" customHeight="1" x14ac:dyDescent="0.2">
      <c r="A40" s="2812"/>
      <c r="B40" s="2492"/>
      <c r="C40" s="1620" t="str">
        <f>OF!C136</f>
        <v>Has not been documented to support Atlantic salmon rearing and/or spawning, but is connected to nearby waters likely to contain Atlantic salmon or other anadromous species or eels and is probably accessed by those during some conditions.</v>
      </c>
      <c r="D40" s="70">
        <f>OF!D136</f>
        <v>0</v>
      </c>
      <c r="E40" s="300">
        <v>1</v>
      </c>
      <c r="F40" s="324">
        <f>D40*E40</f>
        <v>0</v>
      </c>
      <c r="G40" s="549"/>
      <c r="H40" s="2324"/>
      <c r="I40" s="2324"/>
    </row>
    <row r="41" spans="1:41" ht="27" customHeight="1" x14ac:dyDescent="0.2">
      <c r="A41" s="2812"/>
      <c r="B41" s="2492"/>
      <c r="C41" s="1620" t="str">
        <f>OF!C137</f>
        <v>Is probably is not accessed by any anadromous fish species but is known or likely to have other fish at least seasonally.</v>
      </c>
      <c r="D41" s="70">
        <f>OF!D137</f>
        <v>1</v>
      </c>
      <c r="E41" s="300">
        <v>1</v>
      </c>
      <c r="F41" s="324">
        <f>D41*E41</f>
        <v>1</v>
      </c>
      <c r="G41" s="549"/>
      <c r="H41" s="2324"/>
      <c r="I41" s="2324"/>
    </row>
    <row r="42" spans="1:41" ht="27" customHeight="1" thickBot="1" x14ac:dyDescent="0.25">
      <c r="A42" s="2812"/>
      <c r="B42" s="2492"/>
      <c r="C42" s="1620" t="str">
        <f>OF!C138</f>
        <v xml:space="preserve">Is known or likely to be fishless (e.g., too small, dry, and/or not accessible even temporarily, and not stocked). </v>
      </c>
      <c r="D42" s="70">
        <f>OF!D138</f>
        <v>0</v>
      </c>
      <c r="E42" s="300">
        <v>0</v>
      </c>
      <c r="F42" s="324">
        <f>D42*E42</f>
        <v>0</v>
      </c>
      <c r="G42" s="549"/>
      <c r="H42" s="2324"/>
      <c r="I42" s="2325"/>
    </row>
    <row r="43" spans="1:41" s="7" customFormat="1" ht="21" customHeight="1" thickBot="1" x14ac:dyDescent="0.25">
      <c r="A43" s="2323" t="str">
        <f>F!A4</f>
        <v>F1</v>
      </c>
      <c r="B43" s="2323" t="str">
        <f>F!B4</f>
        <v>Wetland Type</v>
      </c>
      <c r="C43" s="1317" t="str">
        <f>F!C4</f>
        <v>Follow the key below and mark the ONE row that best describes MOST of the vegetated part of the AA:</v>
      </c>
      <c r="D43" s="304"/>
      <c r="E43" s="427"/>
      <c r="F43" s="322"/>
      <c r="G43" s="428">
        <f>MAX(F44:F49)/MAX(E44:E49)</f>
        <v>1</v>
      </c>
      <c r="H43" s="2323" t="s">
        <v>2279</v>
      </c>
      <c r="I43" s="2323" t="s">
        <v>213</v>
      </c>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row>
    <row r="44" spans="1:41" s="7" customFormat="1" ht="57" customHeight="1" thickBot="1" x14ac:dyDescent="0.25">
      <c r="A44" s="2324"/>
      <c r="B44" s="2324"/>
      <c r="C44" s="1317"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44" s="618"/>
      <c r="E44" s="330"/>
      <c r="F44" s="330"/>
      <c r="G44" s="429"/>
      <c r="H44" s="2324"/>
      <c r="I44" s="2324"/>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row>
    <row r="45" spans="1:41" s="7" customFormat="1" ht="81" customHeight="1" x14ac:dyDescent="0.2">
      <c r="A45" s="2324"/>
      <c r="B45" s="2324"/>
      <c r="C45" s="1992"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45" s="1488">
        <f>F!D6</f>
        <v>0</v>
      </c>
      <c r="E45" s="330">
        <v>0</v>
      </c>
      <c r="F45" s="324">
        <f>D45*E45</f>
        <v>0</v>
      </c>
      <c r="G45" s="429"/>
      <c r="H45" s="2324"/>
      <c r="I45" s="2324"/>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row>
    <row r="46" spans="1:41" s="7" customFormat="1" ht="57" customHeight="1" thickBot="1" x14ac:dyDescent="0.25">
      <c r="A46" s="2324"/>
      <c r="B46" s="2324"/>
      <c r="C46" s="1990"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46" s="205">
        <f>F!D7</f>
        <v>0</v>
      </c>
      <c r="E46" s="330">
        <v>2</v>
      </c>
      <c r="F46" s="324">
        <f>D46*E46</f>
        <v>0</v>
      </c>
      <c r="G46" s="429"/>
      <c r="H46" s="2324"/>
      <c r="I46" s="2324"/>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row>
    <row r="47" spans="1:41" s="7" customFormat="1" ht="42" customHeight="1" thickBot="1" x14ac:dyDescent="0.25">
      <c r="A47" s="2324"/>
      <c r="B47" s="2324"/>
      <c r="C47" s="1317" t="str">
        <f>F!C8</f>
        <v>B. Moss and/or lichen cover less than 25% of the ground. Soil is mineral or decomposed organic (muck). Choose between B1 and B2 and mark the choice with a 1 in their adjoining column:</v>
      </c>
      <c r="D47" s="618"/>
      <c r="E47" s="330"/>
      <c r="F47" s="330"/>
      <c r="G47" s="429"/>
      <c r="H47" s="2324"/>
      <c r="I47" s="2324"/>
      <c r="J47" s="478"/>
      <c r="K47" s="478"/>
      <c r="L47" s="478"/>
      <c r="M47" s="478"/>
      <c r="N47" s="478"/>
      <c r="O47" s="478"/>
      <c r="P47" s="478"/>
      <c r="Q47" s="478"/>
      <c r="R47" s="478"/>
      <c r="S47" s="478"/>
      <c r="T47" s="478"/>
      <c r="U47" s="478"/>
      <c r="V47" s="478"/>
      <c r="W47" s="478"/>
      <c r="X47" s="478"/>
      <c r="Y47" s="478"/>
      <c r="Z47" s="478"/>
      <c r="AA47" s="478"/>
      <c r="AB47" s="478"/>
      <c r="AC47" s="478"/>
      <c r="AD47" s="478"/>
      <c r="AE47" s="478"/>
      <c r="AF47" s="478"/>
      <c r="AG47" s="478"/>
      <c r="AH47" s="478"/>
      <c r="AI47" s="478"/>
      <c r="AJ47" s="478"/>
      <c r="AK47" s="478"/>
      <c r="AL47" s="478"/>
      <c r="AM47" s="478"/>
      <c r="AN47" s="478"/>
      <c r="AO47" s="478"/>
    </row>
    <row r="48" spans="1:41" s="7" customFormat="1" ht="39" customHeight="1" x14ac:dyDescent="0.2">
      <c r="A48" s="2324"/>
      <c r="B48" s="2324"/>
      <c r="C48" s="1992" t="str">
        <f>F!C9</f>
        <v>B1. Trees and shrubs taller than 1 m comprise more than 25% of the vegetated cover. Surface water is mostly absent or inundates the vegetation only seasonally (e.g., vernal pools or floodplain).</v>
      </c>
      <c r="D48" s="1323">
        <f>F!D9</f>
        <v>0</v>
      </c>
      <c r="E48" s="330">
        <v>0</v>
      </c>
      <c r="F48" s="324">
        <f>D48*E48</f>
        <v>0</v>
      </c>
      <c r="G48" s="429"/>
      <c r="H48" s="2324"/>
      <c r="I48" s="2324"/>
      <c r="J48" s="478"/>
      <c r="K48" s="478"/>
      <c r="L48" s="478"/>
      <c r="M48" s="478"/>
      <c r="N48" s="478"/>
      <c r="O48" s="478"/>
      <c r="P48" s="478"/>
      <c r="Q48" s="478"/>
      <c r="R48" s="478"/>
      <c r="S48" s="478"/>
      <c r="T48" s="478"/>
      <c r="U48" s="478"/>
      <c r="V48" s="478"/>
      <c r="W48" s="478"/>
      <c r="X48" s="478"/>
      <c r="Y48" s="478"/>
      <c r="Z48" s="478"/>
      <c r="AA48" s="478"/>
      <c r="AB48" s="478"/>
      <c r="AC48" s="478"/>
      <c r="AD48" s="478"/>
      <c r="AE48" s="478"/>
      <c r="AF48" s="478"/>
      <c r="AG48" s="478"/>
      <c r="AH48" s="478"/>
      <c r="AI48" s="478"/>
      <c r="AJ48" s="478"/>
      <c r="AK48" s="478"/>
      <c r="AL48" s="478"/>
      <c r="AM48" s="478"/>
      <c r="AN48" s="478"/>
      <c r="AO48" s="478"/>
    </row>
    <row r="49" spans="1:41" s="7" customFormat="1" ht="42" customHeight="1" thickBot="1" x14ac:dyDescent="0.25">
      <c r="A49" s="2325"/>
      <c r="B49" s="2325"/>
      <c r="C49" s="420"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49" s="239">
        <f>F!D10</f>
        <v>1</v>
      </c>
      <c r="E49" s="656">
        <v>3</v>
      </c>
      <c r="F49" s="328">
        <f>D49*E49</f>
        <v>3</v>
      </c>
      <c r="G49" s="658"/>
      <c r="H49" s="2325"/>
      <c r="I49" s="2325"/>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row>
    <row r="50" spans="1:41" s="7" customFormat="1" ht="51" customHeight="1" thickBot="1" x14ac:dyDescent="0.25">
      <c r="A50" s="2723" t="str">
        <f>F!A12</f>
        <v>F2</v>
      </c>
      <c r="B50" s="2324" t="str">
        <f>F!B12</f>
        <v xml:space="preserve">Wetland Types - Adjoining or Subordinate </v>
      </c>
      <c r="C50" s="1467" t="str">
        <f>F!C12</f>
        <v>If the AA is smaller than 1 ha, mark all other types that occupy more than 1% of the vegetated AA.  If the AA is larger than 1 ha, mark all other types which are within or adjacent to the AA and occupy more than 1 ha, as visible from the AA or as interpreted from aerial imagery.  Do not mark again the type marked in F1.</v>
      </c>
      <c r="D50" s="330"/>
      <c r="E50" s="330"/>
      <c r="F50" s="330"/>
      <c r="G50" s="1494">
        <f>SUM(D51:D54)/3</f>
        <v>0.33333333333333331</v>
      </c>
      <c r="H50" s="2723" t="s">
        <v>2374</v>
      </c>
      <c r="I50" s="2323" t="s">
        <v>1692</v>
      </c>
      <c r="J50" s="478"/>
      <c r="K50" s="478"/>
      <c r="L50" s="478"/>
      <c r="M50" s="478"/>
      <c r="N50" s="478"/>
      <c r="O50" s="478"/>
      <c r="P50" s="478"/>
      <c r="Q50" s="478"/>
      <c r="R50" s="478"/>
      <c r="S50" s="478"/>
      <c r="T50" s="478"/>
      <c r="U50" s="478"/>
      <c r="V50" s="478"/>
      <c r="W50" s="478"/>
      <c r="X50" s="478"/>
      <c r="Y50" s="478"/>
      <c r="Z50" s="478"/>
      <c r="AA50" s="478"/>
      <c r="AB50" s="478"/>
      <c r="AC50" s="478"/>
      <c r="AD50" s="478"/>
      <c r="AE50" s="478"/>
      <c r="AF50" s="478"/>
      <c r="AG50" s="478"/>
      <c r="AH50" s="478"/>
      <c r="AI50" s="478"/>
      <c r="AJ50" s="478"/>
      <c r="AK50" s="478"/>
      <c r="AL50" s="478"/>
      <c r="AM50" s="478"/>
      <c r="AN50" s="478"/>
      <c r="AO50" s="478"/>
    </row>
    <row r="51" spans="1:41" s="7" customFormat="1" ht="15" customHeight="1" x14ac:dyDescent="0.2">
      <c r="A51" s="2723"/>
      <c r="B51" s="2324"/>
      <c r="C51" s="1088" t="str">
        <f>F!C13</f>
        <v>A1.</v>
      </c>
      <c r="D51" s="205">
        <f>F!D13</f>
        <v>0</v>
      </c>
      <c r="E51" s="324"/>
      <c r="F51" s="324"/>
      <c r="G51" s="1063"/>
      <c r="H51" s="2723"/>
      <c r="I51" s="2324"/>
      <c r="J51" s="478"/>
      <c r="K51" s="478"/>
      <c r="L51" s="478"/>
      <c r="M51" s="478"/>
      <c r="N51" s="478"/>
      <c r="O51" s="478"/>
      <c r="P51" s="478"/>
      <c r="Q51" s="478"/>
      <c r="R51" s="478"/>
      <c r="S51" s="478"/>
      <c r="T51" s="478"/>
      <c r="U51" s="478"/>
      <c r="V51" s="478"/>
      <c r="W51" s="478"/>
      <c r="X51" s="478"/>
      <c r="Y51" s="478"/>
      <c r="Z51" s="478"/>
      <c r="AA51" s="478"/>
      <c r="AB51" s="478"/>
      <c r="AC51" s="478"/>
      <c r="AD51" s="478"/>
      <c r="AE51" s="478"/>
      <c r="AF51" s="478"/>
      <c r="AG51" s="478"/>
      <c r="AH51" s="478"/>
      <c r="AI51" s="478"/>
      <c r="AJ51" s="478"/>
      <c r="AK51" s="478"/>
      <c r="AL51" s="478"/>
      <c r="AM51" s="478"/>
      <c r="AN51" s="478"/>
      <c r="AO51" s="478"/>
    </row>
    <row r="52" spans="1:41" s="7" customFormat="1" ht="15" customHeight="1" x14ac:dyDescent="0.2">
      <c r="A52" s="2723"/>
      <c r="B52" s="2324"/>
      <c r="C52" s="1089" t="str">
        <f>F!C14</f>
        <v>A2.</v>
      </c>
      <c r="D52" s="205">
        <f>F!D14</f>
        <v>0</v>
      </c>
      <c r="E52" s="324"/>
      <c r="F52" s="324"/>
      <c r="G52" s="1063"/>
      <c r="H52" s="2723"/>
      <c r="I52" s="2324"/>
      <c r="J52" s="478"/>
      <c r="K52" s="478"/>
      <c r="L52" s="478"/>
      <c r="M52" s="478"/>
      <c r="N52" s="478"/>
      <c r="O52" s="478"/>
      <c r="P52" s="478"/>
      <c r="Q52" s="478"/>
      <c r="R52" s="478"/>
      <c r="S52" s="478"/>
      <c r="T52" s="478"/>
      <c r="U52" s="478"/>
      <c r="V52" s="478"/>
      <c r="W52" s="478"/>
      <c r="X52" s="478"/>
      <c r="Y52" s="478"/>
      <c r="Z52" s="478"/>
      <c r="AA52" s="478"/>
      <c r="AB52" s="478"/>
      <c r="AC52" s="478"/>
      <c r="AD52" s="478"/>
      <c r="AE52" s="478"/>
      <c r="AF52" s="478"/>
      <c r="AG52" s="478"/>
      <c r="AH52" s="478"/>
      <c r="AI52" s="478"/>
      <c r="AJ52" s="478"/>
      <c r="AK52" s="478"/>
      <c r="AL52" s="478"/>
      <c r="AM52" s="478"/>
      <c r="AN52" s="478"/>
      <c r="AO52" s="478"/>
    </row>
    <row r="53" spans="1:41" s="7" customFormat="1" ht="15" customHeight="1" x14ac:dyDescent="0.2">
      <c r="A53" s="2723"/>
      <c r="B53" s="2324"/>
      <c r="C53" s="1089" t="str">
        <f>F!C15</f>
        <v>B1.</v>
      </c>
      <c r="D53" s="205">
        <f>F!D15</f>
        <v>1</v>
      </c>
      <c r="E53" s="324"/>
      <c r="F53" s="324"/>
      <c r="G53" s="1063"/>
      <c r="H53" s="2723"/>
      <c r="I53" s="2324"/>
      <c r="J53" s="478"/>
      <c r="K53" s="478"/>
      <c r="L53" s="478"/>
      <c r="M53" s="478"/>
      <c r="N53" s="478"/>
      <c r="O53" s="478"/>
      <c r="P53" s="478"/>
      <c r="Q53" s="478"/>
      <c r="R53" s="478"/>
      <c r="S53" s="478"/>
      <c r="T53" s="478"/>
      <c r="U53" s="478"/>
      <c r="V53" s="478"/>
      <c r="W53" s="478"/>
      <c r="X53" s="478"/>
      <c r="Y53" s="478"/>
      <c r="Z53" s="478"/>
      <c r="AA53" s="478"/>
      <c r="AB53" s="478"/>
      <c r="AC53" s="478"/>
      <c r="AD53" s="478"/>
      <c r="AE53" s="478"/>
      <c r="AF53" s="478"/>
      <c r="AG53" s="478"/>
      <c r="AH53" s="478"/>
      <c r="AI53" s="478"/>
      <c r="AJ53" s="478"/>
      <c r="AK53" s="478"/>
      <c r="AL53" s="478"/>
      <c r="AM53" s="478"/>
      <c r="AN53" s="478"/>
      <c r="AO53" s="478"/>
    </row>
    <row r="54" spans="1:41" s="7" customFormat="1" ht="15" customHeight="1" thickBot="1" x14ac:dyDescent="0.25">
      <c r="A54" s="2795"/>
      <c r="B54" s="2325"/>
      <c r="C54" s="1087" t="str">
        <f>F!C16</f>
        <v>B2.</v>
      </c>
      <c r="D54" s="206">
        <f>F!D16</f>
        <v>0</v>
      </c>
      <c r="E54" s="328"/>
      <c r="F54" s="328"/>
      <c r="G54" s="1064"/>
      <c r="H54" s="2795"/>
      <c r="I54" s="2325"/>
      <c r="J54" s="478"/>
      <c r="K54" s="478"/>
      <c r="L54" s="478"/>
      <c r="M54" s="478"/>
      <c r="N54" s="478"/>
      <c r="O54" s="478"/>
      <c r="P54" s="478"/>
      <c r="Q54" s="478"/>
      <c r="R54" s="478"/>
      <c r="S54" s="478"/>
      <c r="T54" s="478"/>
      <c r="U54" s="478"/>
      <c r="V54" s="478"/>
      <c r="W54" s="478"/>
      <c r="X54" s="478"/>
      <c r="Y54" s="478"/>
      <c r="Z54" s="478"/>
      <c r="AA54" s="478"/>
      <c r="AB54" s="478"/>
      <c r="AC54" s="478"/>
      <c r="AD54" s="478"/>
      <c r="AE54" s="478"/>
      <c r="AF54" s="478"/>
      <c r="AG54" s="478"/>
      <c r="AH54" s="478"/>
      <c r="AI54" s="478"/>
      <c r="AJ54" s="478"/>
      <c r="AK54" s="478"/>
      <c r="AL54" s="478"/>
      <c r="AM54" s="478"/>
      <c r="AN54" s="478"/>
      <c r="AO54" s="478"/>
    </row>
    <row r="55" spans="1:41" ht="45" customHeight="1" thickBot="1" x14ac:dyDescent="0.25">
      <c r="A55" s="2489" t="str">
        <f>F!A83</f>
        <v>F15</v>
      </c>
      <c r="B55" s="2529" t="str">
        <f>F!B83</f>
        <v xml:space="preserve">Shorebird Feeding Habitats </v>
      </c>
      <c r="C55" s="376" t="str">
        <f>F!C83</f>
        <v>During any 2 consecutive weeks of the growing season, the extent of mudflats, bare unshaded saturated areas not covered by thatch, and unshaded waters shallower than 6 cm is:  [Include also any area that is adjacent to the AA.]</v>
      </c>
      <c r="D55" s="299"/>
      <c r="E55" s="299"/>
      <c r="F55" s="321"/>
      <c r="G55" s="466">
        <f>MAX(F56:F59)/MAX(E56:E59)</f>
        <v>0.75</v>
      </c>
      <c r="H55" s="2529" t="s">
        <v>1524</v>
      </c>
      <c r="I55" s="2323" t="s">
        <v>201</v>
      </c>
    </row>
    <row r="56" spans="1:41" ht="15" customHeight="1" x14ac:dyDescent="0.2">
      <c r="A56" s="2365"/>
      <c r="B56" s="2396"/>
      <c r="C56" s="369" t="str">
        <f>F!C84</f>
        <v>None, or &lt;100 sq. m.</v>
      </c>
      <c r="D56" s="212">
        <f>F!D84</f>
        <v>0</v>
      </c>
      <c r="E56" s="300">
        <v>0</v>
      </c>
      <c r="F56" s="324">
        <f>D56*E56</f>
        <v>0</v>
      </c>
      <c r="G56" s="548"/>
      <c r="H56" s="2404"/>
      <c r="I56" s="2324"/>
    </row>
    <row r="57" spans="1:41" ht="15" customHeight="1" x14ac:dyDescent="0.2">
      <c r="A57" s="2365"/>
      <c r="B57" s="2396"/>
      <c r="C57" s="568" t="str">
        <f>F!C85</f>
        <v>100-1000 sq. m.</v>
      </c>
      <c r="D57" s="70">
        <f>F!D85</f>
        <v>0</v>
      </c>
      <c r="E57" s="300">
        <v>2</v>
      </c>
      <c r="F57" s="324">
        <f>D57*E57</f>
        <v>0</v>
      </c>
      <c r="G57" s="549"/>
      <c r="H57" s="2404"/>
      <c r="I57" s="2324"/>
    </row>
    <row r="58" spans="1:41" ht="15" customHeight="1" x14ac:dyDescent="0.2">
      <c r="A58" s="2365"/>
      <c r="B58" s="2396"/>
      <c r="C58" s="568" t="str">
        <f>F!C86</f>
        <v>1000 – 10,000 sq. m.</v>
      </c>
      <c r="D58" s="70">
        <f>F!D86</f>
        <v>1</v>
      </c>
      <c r="E58" s="300">
        <v>3</v>
      </c>
      <c r="F58" s="324">
        <f>D58*E58</f>
        <v>3</v>
      </c>
      <c r="G58" s="549"/>
      <c r="H58" s="2404"/>
      <c r="I58" s="2324"/>
    </row>
    <row r="59" spans="1:41" ht="15" customHeight="1" thickBot="1" x14ac:dyDescent="0.25">
      <c r="A59" s="2367"/>
      <c r="B59" s="2408"/>
      <c r="C59" s="370" t="str">
        <f>F!C87</f>
        <v xml:space="preserve">&gt;10,000 sq. m. </v>
      </c>
      <c r="D59" s="152">
        <f>F!D87</f>
        <v>0</v>
      </c>
      <c r="E59" s="301">
        <v>4</v>
      </c>
      <c r="F59" s="328">
        <f>D59*E59</f>
        <v>0</v>
      </c>
      <c r="G59" s="550"/>
      <c r="H59" s="2530"/>
      <c r="I59" s="2325"/>
    </row>
    <row r="60" spans="1:41" ht="30" customHeight="1" thickBot="1" x14ac:dyDescent="0.25">
      <c r="A60" s="2489" t="str">
        <f>F!A88</f>
        <v>F16</v>
      </c>
      <c r="B60" s="2529" t="str">
        <f>F!B88</f>
        <v>Herbaceous % of Vegetated Wetland</v>
      </c>
      <c r="C60" s="368" t="str">
        <f>F!C88</f>
        <v>In aerial ("ducks eye") view, the maximum annual cover of herbaceous vegetation (all non-woody plants except moss) is:</v>
      </c>
      <c r="D60" s="304"/>
      <c r="E60" s="304"/>
      <c r="F60" s="322"/>
      <c r="G60" s="465">
        <f>MAX(F61:F65)/MAX(E61:E65)</f>
        <v>0.8</v>
      </c>
      <c r="H60" s="2529" t="s">
        <v>1330</v>
      </c>
      <c r="I60" s="2323" t="s">
        <v>200</v>
      </c>
    </row>
    <row r="61" spans="1:41" ht="27" customHeight="1" x14ac:dyDescent="0.2">
      <c r="A61" s="2365"/>
      <c r="B61" s="2396"/>
      <c r="C61" s="369" t="str">
        <f>F!C89</f>
        <v>&lt;5% of the vegetated part of the AA or &lt;0.01 hectare (whichever is less). Mark "1" here and SKIP to F20 (Invasive Plant Cover).</v>
      </c>
      <c r="D61" s="212">
        <f>F!D89</f>
        <v>0</v>
      </c>
      <c r="E61" s="300">
        <v>0</v>
      </c>
      <c r="F61" s="324">
        <f>D61*E61</f>
        <v>0</v>
      </c>
      <c r="G61" s="548"/>
      <c r="H61" s="2404"/>
      <c r="I61" s="2324"/>
    </row>
    <row r="62" spans="1:41" ht="15" customHeight="1" x14ac:dyDescent="0.2">
      <c r="A62" s="2365"/>
      <c r="B62" s="2396"/>
      <c r="C62" s="872" t="str">
        <f>F!C90</f>
        <v>5-25% of the vegetated part of the AA.</v>
      </c>
      <c r="D62" s="70">
        <f>F!D90</f>
        <v>0</v>
      </c>
      <c r="E62" s="300">
        <v>2</v>
      </c>
      <c r="F62" s="324">
        <f>D62*E62</f>
        <v>0</v>
      </c>
      <c r="G62" s="549"/>
      <c r="H62" s="2404"/>
      <c r="I62" s="2324"/>
    </row>
    <row r="63" spans="1:41" ht="15" customHeight="1" x14ac:dyDescent="0.2">
      <c r="A63" s="2365"/>
      <c r="B63" s="2396"/>
      <c r="C63" s="872" t="str">
        <f>F!C91</f>
        <v>25-50% of the vegetated part of the AA.</v>
      </c>
      <c r="D63" s="70">
        <f>F!D91</f>
        <v>0</v>
      </c>
      <c r="E63" s="300">
        <v>3</v>
      </c>
      <c r="F63" s="324">
        <f>D63*E63</f>
        <v>0</v>
      </c>
      <c r="G63" s="549"/>
      <c r="H63" s="2404"/>
      <c r="I63" s="2324"/>
    </row>
    <row r="64" spans="1:41" ht="15" customHeight="1" x14ac:dyDescent="0.2">
      <c r="A64" s="2365"/>
      <c r="B64" s="2396"/>
      <c r="C64" s="872" t="str">
        <f>F!C92</f>
        <v>50-95% of the vegetated part of the AA.</v>
      </c>
      <c r="D64" s="70">
        <f>F!D92</f>
        <v>1</v>
      </c>
      <c r="E64" s="300">
        <v>4</v>
      </c>
      <c r="F64" s="324">
        <f>D64*E64</f>
        <v>4</v>
      </c>
      <c r="G64" s="549"/>
      <c r="H64" s="2404"/>
      <c r="I64" s="2324"/>
    </row>
    <row r="65" spans="1:9" ht="15" customHeight="1" thickBot="1" x14ac:dyDescent="0.25">
      <c r="A65" s="2367"/>
      <c r="B65" s="2408"/>
      <c r="C65" s="370" t="str">
        <f>F!C93</f>
        <v>&gt;95% of the vegetated part of the AA.</v>
      </c>
      <c r="D65" s="152">
        <f>F!D93</f>
        <v>0</v>
      </c>
      <c r="E65" s="301">
        <v>5</v>
      </c>
      <c r="F65" s="328">
        <f>D65*E65</f>
        <v>0</v>
      </c>
      <c r="G65" s="550"/>
      <c r="H65" s="2530"/>
      <c r="I65" s="2325"/>
    </row>
    <row r="66" spans="1:9" s="2" customFormat="1" ht="64.5" customHeight="1" thickBot="1" x14ac:dyDescent="0.25">
      <c r="A66" s="570" t="str">
        <f>F!A119</f>
        <v>F22</v>
      </c>
      <c r="B66" s="569" t="str">
        <f>F!B119</f>
        <v>Fringe Wetland</v>
      </c>
      <c r="C66" s="3" t="str">
        <f>F!C119</f>
        <v>During most of the year, open water within or adjacent to the vegetated part of the wetland is much wider than the maximum width of the vegetated zone within the wetland. Enter "1" if true, "0" if false.</v>
      </c>
      <c r="D66" s="214">
        <f>F!D119</f>
        <v>1</v>
      </c>
      <c r="E66" s="319"/>
      <c r="F66" s="608"/>
      <c r="G66" s="335">
        <f>IF((D66=0),"",1)</f>
        <v>1</v>
      </c>
      <c r="H66" s="1075" t="s">
        <v>1643</v>
      </c>
      <c r="I66" s="73" t="s">
        <v>193</v>
      </c>
    </row>
    <row r="67" spans="1:9" ht="30" customHeight="1" thickBot="1" x14ac:dyDescent="0.25">
      <c r="A67" s="613" t="str">
        <f>F!A120</f>
        <v>F23</v>
      </c>
      <c r="B67" s="103" t="str">
        <f>F!B120</f>
        <v>Lacustrine Wetland</v>
      </c>
      <c r="C67" s="464" t="str">
        <f>F!C120</f>
        <v>The vegetated part of the AA is within or adjacent to a body of non-tidal standing open water whose size exceeds 8 hectares during most of a normal year.</v>
      </c>
      <c r="D67" s="249">
        <f>F!D120</f>
        <v>0</v>
      </c>
      <c r="E67" s="323"/>
      <c r="F67" s="323"/>
      <c r="G67" s="465">
        <f>D67</f>
        <v>0</v>
      </c>
      <c r="H67" s="73" t="s">
        <v>475</v>
      </c>
      <c r="I67" s="73" t="s">
        <v>1674</v>
      </c>
    </row>
    <row r="68" spans="1:9" s="2" customFormat="1" ht="30" customHeight="1" thickBot="1" x14ac:dyDescent="0.25">
      <c r="A68" s="2368" t="str">
        <f>F!A121</f>
        <v>F24</v>
      </c>
      <c r="B68" s="2323" t="str">
        <f>F!B121</f>
        <v>% of AA Without Surface Water</v>
      </c>
      <c r="C68" s="368" t="str">
        <f>F!C121</f>
        <v>The percentage of the AA that never contains surface water during an average year (that is, except perhaps for a few hours after snowmelt or rainstorms), but which is still a wetland, is:</v>
      </c>
      <c r="D68" s="304"/>
      <c r="E68" s="315"/>
      <c r="F68" s="427"/>
      <c r="G68" s="465">
        <f>MAX(F69:F74)/MAX(E69:E74)</f>
        <v>0.8</v>
      </c>
      <c r="H68" s="2323" t="s">
        <v>65</v>
      </c>
      <c r="I68" s="2323" t="s">
        <v>658</v>
      </c>
    </row>
    <row r="69" spans="1:9" s="2" customFormat="1" ht="27" customHeight="1" x14ac:dyDescent="0.2">
      <c r="A69" s="2369"/>
      <c r="B69" s="2324"/>
      <c r="C69" s="645" t="str">
        <f>F!C122</f>
        <v xml:space="preserve">&lt;1% . In other words, all or nearly all of the AA is covered by water permanently or at least seasonally.  </v>
      </c>
      <c r="D69" s="254">
        <f>F!D122</f>
        <v>1</v>
      </c>
      <c r="E69" s="300">
        <v>4</v>
      </c>
      <c r="F69" s="324">
        <f t="shared" ref="F69:F74" si="4">D69*E69</f>
        <v>4</v>
      </c>
      <c r="G69" s="548"/>
      <c r="H69" s="2324"/>
      <c r="I69" s="2324"/>
    </row>
    <row r="70" spans="1:9" s="2" customFormat="1" ht="15" customHeight="1" x14ac:dyDescent="0.2">
      <c r="A70" s="2369"/>
      <c r="B70" s="2324"/>
      <c r="C70" s="645" t="str">
        <f>F!C123</f>
        <v>1-25% of the AA,  or &lt;1% but &gt;0.01 ha never contains surface water.</v>
      </c>
      <c r="D70" s="254">
        <f>F!D123</f>
        <v>0</v>
      </c>
      <c r="E70" s="300">
        <v>5</v>
      </c>
      <c r="F70" s="324">
        <f t="shared" si="4"/>
        <v>0</v>
      </c>
      <c r="G70" s="548"/>
      <c r="H70" s="2324"/>
      <c r="I70" s="2324"/>
    </row>
    <row r="71" spans="1:9" s="2" customFormat="1" ht="15" customHeight="1" x14ac:dyDescent="0.2">
      <c r="A71" s="2369"/>
      <c r="B71" s="2324"/>
      <c r="C71" s="645" t="str">
        <f>F!C124</f>
        <v>25-50% of the AA never contains surface water.</v>
      </c>
      <c r="D71" s="254">
        <f>F!D124</f>
        <v>0</v>
      </c>
      <c r="E71" s="300">
        <v>3</v>
      </c>
      <c r="F71" s="324">
        <f t="shared" si="4"/>
        <v>0</v>
      </c>
      <c r="G71" s="548"/>
      <c r="H71" s="2324"/>
      <c r="I71" s="2324"/>
    </row>
    <row r="72" spans="1:9" s="2" customFormat="1" ht="15" customHeight="1" x14ac:dyDescent="0.2">
      <c r="A72" s="2369"/>
      <c r="B72" s="2324"/>
      <c r="C72" s="645" t="str">
        <f>F!C125</f>
        <v>50-75% of the AA never contains surface water.</v>
      </c>
      <c r="D72" s="254">
        <f>F!D125</f>
        <v>0</v>
      </c>
      <c r="E72" s="300">
        <v>2</v>
      </c>
      <c r="F72" s="324">
        <f t="shared" si="4"/>
        <v>0</v>
      </c>
      <c r="G72" s="548"/>
      <c r="H72" s="2324"/>
      <c r="I72" s="2324"/>
    </row>
    <row r="73" spans="1:9" s="2" customFormat="1" ht="26.25" customHeight="1" x14ac:dyDescent="0.2">
      <c r="A73" s="2369"/>
      <c r="B73" s="2324"/>
      <c r="C73" s="645" t="str">
        <f>F!C126</f>
        <v>75-99% of the AA never contains surface water, OR &gt;99% and there is at least one persistently ponded water body larger than 1 ha in the AA.</v>
      </c>
      <c r="D73" s="254">
        <f>F!D126</f>
        <v>0</v>
      </c>
      <c r="E73" s="300">
        <v>1</v>
      </c>
      <c r="F73" s="324">
        <f t="shared" si="4"/>
        <v>0</v>
      </c>
      <c r="G73" s="548"/>
      <c r="H73" s="2324"/>
      <c r="I73" s="2324"/>
    </row>
    <row r="74" spans="1:9" s="2" customFormat="1" ht="27" customHeight="1" thickBot="1" x14ac:dyDescent="0.25">
      <c r="A74" s="2370"/>
      <c r="B74" s="2325"/>
      <c r="C74" s="978" t="str">
        <f>F!C127</f>
        <v>99-100%. AND there is no persistently ponded water body larger than 1 ha within the AA. Enter "1" and SKIP to F42 (Channel Connection).</v>
      </c>
      <c r="D74" s="1350">
        <f>F!D127</f>
        <v>0</v>
      </c>
      <c r="E74" s="301">
        <v>0</v>
      </c>
      <c r="F74" s="328">
        <f t="shared" si="4"/>
        <v>0</v>
      </c>
      <c r="G74" s="621"/>
      <c r="H74" s="2325"/>
      <c r="I74" s="2325"/>
    </row>
    <row r="75" spans="1:9" ht="45" customHeight="1" thickBot="1" x14ac:dyDescent="0.25">
      <c r="A75" s="2399" t="str">
        <f>F!A128</f>
        <v>F25</v>
      </c>
      <c r="B75" s="2324" t="str">
        <f>F!B128</f>
        <v>% of AA with Persistent Surface Water</v>
      </c>
      <c r="C75" s="895"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75" s="299"/>
      <c r="E75" s="299"/>
      <c r="F75" s="321"/>
      <c r="G75" s="466">
        <f>IF((AllSat1&gt;0),"",MAX(F76:F80)/MAX(E76:E80))</f>
        <v>0.66666666666666663</v>
      </c>
      <c r="H75" s="2404" t="s">
        <v>1645</v>
      </c>
      <c r="I75" s="2324" t="s">
        <v>195</v>
      </c>
    </row>
    <row r="76" spans="1:9" ht="27" customHeight="1" x14ac:dyDescent="0.2">
      <c r="A76" s="2399"/>
      <c r="B76" s="2324"/>
      <c r="C76" s="366" t="str">
        <f>F!C129</f>
        <v>None. The AA dries up completely (no water in channels either) or never has surface water during most years.  SKIP to F27.</v>
      </c>
      <c r="D76" s="211">
        <f>F!D129</f>
        <v>0</v>
      </c>
      <c r="E76" s="299">
        <v>0</v>
      </c>
      <c r="F76" s="324">
        <f>D76*E76</f>
        <v>0</v>
      </c>
      <c r="G76" s="549"/>
      <c r="H76" s="2404"/>
      <c r="I76" s="2324"/>
    </row>
    <row r="77" spans="1:9" ht="15" customHeight="1" x14ac:dyDescent="0.2">
      <c r="A77" s="2399"/>
      <c r="B77" s="2324"/>
      <c r="C77" s="366" t="str">
        <f>F!C130</f>
        <v>1-20% of the AA.</v>
      </c>
      <c r="D77" s="211">
        <f>F!D130</f>
        <v>0</v>
      </c>
      <c r="E77" s="300">
        <v>1</v>
      </c>
      <c r="F77" s="324">
        <f>D77*E77</f>
        <v>0</v>
      </c>
      <c r="G77" s="549"/>
      <c r="H77" s="2404"/>
      <c r="I77" s="2324"/>
    </row>
    <row r="78" spans="1:9" ht="15" customHeight="1" x14ac:dyDescent="0.2">
      <c r="A78" s="2399"/>
      <c r="B78" s="2324"/>
      <c r="C78" s="366" t="str">
        <f>F!C131</f>
        <v>20-50% of the AA.</v>
      </c>
      <c r="D78" s="211">
        <f>F!D131</f>
        <v>1</v>
      </c>
      <c r="E78" s="300">
        <v>2</v>
      </c>
      <c r="F78" s="324">
        <f>D78*E78</f>
        <v>2</v>
      </c>
      <c r="G78" s="549"/>
      <c r="H78" s="2404"/>
      <c r="I78" s="2324"/>
    </row>
    <row r="79" spans="1:9" ht="15" customHeight="1" x14ac:dyDescent="0.2">
      <c r="A79" s="2399"/>
      <c r="B79" s="2324"/>
      <c r="C79" s="366" t="str">
        <f>F!C132</f>
        <v>50-95% of the AA.</v>
      </c>
      <c r="D79" s="211">
        <f>F!D132</f>
        <v>0</v>
      </c>
      <c r="E79" s="300">
        <v>3</v>
      </c>
      <c r="F79" s="324">
        <f>D79*E79</f>
        <v>0</v>
      </c>
      <c r="G79" s="549"/>
      <c r="H79" s="2404"/>
      <c r="I79" s="2324"/>
    </row>
    <row r="80" spans="1:9" ht="15" customHeight="1" thickBot="1" x14ac:dyDescent="0.25">
      <c r="A80" s="2553"/>
      <c r="B80" s="2325"/>
      <c r="C80" s="153" t="str">
        <f>F!C133</f>
        <v>&gt;95% of the AA. True for many fringe wetlands.</v>
      </c>
      <c r="D80" s="206">
        <f>F!D133</f>
        <v>0</v>
      </c>
      <c r="E80" s="301">
        <v>2</v>
      </c>
      <c r="F80" s="328">
        <f>D80*E80</f>
        <v>0</v>
      </c>
      <c r="G80" s="550"/>
      <c r="H80" s="2530"/>
      <c r="I80" s="2325"/>
    </row>
    <row r="81" spans="1:9" s="2" customFormat="1" ht="30" customHeight="1" thickBot="1" x14ac:dyDescent="0.25">
      <c r="A81" s="2554" t="str">
        <f>F!A140</f>
        <v>F27</v>
      </c>
      <c r="B81" s="2327" t="str">
        <f>F!B140</f>
        <v>% of AA that is Flooded Only Seasonally</v>
      </c>
      <c r="C81" s="376" t="str">
        <f>F!C140</f>
        <v>The percentage of the AA's area that is between the annual high water and the annual low water (surface water) is:</v>
      </c>
      <c r="D81" s="299"/>
      <c r="E81" s="299"/>
      <c r="F81" s="321"/>
      <c r="G81" s="466">
        <f>IF((AllSat1&gt;0),"",MAX(F82:F86)/MAX(E82:E86))</f>
        <v>0.5</v>
      </c>
      <c r="H81" s="2404" t="s">
        <v>1646</v>
      </c>
      <c r="I81" s="2323" t="s">
        <v>194</v>
      </c>
    </row>
    <row r="82" spans="1:9" s="2" customFormat="1" ht="15" customHeight="1" x14ac:dyDescent="0.2">
      <c r="A82" s="2554"/>
      <c r="B82" s="2327"/>
      <c r="C82" s="418" t="str">
        <f>F!C141</f>
        <v>None, or &lt;0.01 hectare and &lt;1% of the AA.  SKIP to F29.</v>
      </c>
      <c r="D82" s="571">
        <f>F!D141</f>
        <v>0</v>
      </c>
      <c r="E82" s="300">
        <v>3</v>
      </c>
      <c r="F82" s="324">
        <f>D82*E82</f>
        <v>0</v>
      </c>
      <c r="G82" s="548"/>
      <c r="H82" s="2396"/>
      <c r="I82" s="2324"/>
    </row>
    <row r="83" spans="1:9" s="2" customFormat="1" ht="15" customHeight="1" x14ac:dyDescent="0.2">
      <c r="A83" s="2554"/>
      <c r="B83" s="2327"/>
      <c r="C83" s="375" t="str">
        <f>F!C142</f>
        <v>1-20% of the AA, or &lt;1% but &gt;0.01 ha.</v>
      </c>
      <c r="D83" s="474">
        <f>F!D142</f>
        <v>0</v>
      </c>
      <c r="E83" s="300">
        <v>4</v>
      </c>
      <c r="F83" s="324">
        <f>D83*E83</f>
        <v>0</v>
      </c>
      <c r="G83" s="549"/>
      <c r="H83" s="2396"/>
      <c r="I83" s="2324"/>
    </row>
    <row r="84" spans="1:9" s="2" customFormat="1" ht="15" customHeight="1" x14ac:dyDescent="0.2">
      <c r="A84" s="2554"/>
      <c r="B84" s="2327"/>
      <c r="C84" s="375" t="str">
        <f>F!C143</f>
        <v>20-50% of the AA.</v>
      </c>
      <c r="D84" s="474">
        <f>F!D143</f>
        <v>0</v>
      </c>
      <c r="E84" s="300">
        <v>3</v>
      </c>
      <c r="F84" s="324">
        <f>D84*E84</f>
        <v>0</v>
      </c>
      <c r="G84" s="549"/>
      <c r="H84" s="2396"/>
      <c r="I84" s="2324"/>
    </row>
    <row r="85" spans="1:9" s="2" customFormat="1" ht="15" customHeight="1" x14ac:dyDescent="0.2">
      <c r="A85" s="2554"/>
      <c r="B85" s="2327"/>
      <c r="C85" s="375" t="str">
        <f>F!C144</f>
        <v>50-95% of the AA.</v>
      </c>
      <c r="D85" s="474">
        <f>F!D144</f>
        <v>1</v>
      </c>
      <c r="E85" s="300">
        <v>2</v>
      </c>
      <c r="F85" s="324">
        <f>D85*E85</f>
        <v>2</v>
      </c>
      <c r="G85" s="549"/>
      <c r="H85" s="2396"/>
      <c r="I85" s="2324"/>
    </row>
    <row r="86" spans="1:9" s="2" customFormat="1" ht="15" customHeight="1" thickBot="1" x14ac:dyDescent="0.25">
      <c r="A86" s="2554"/>
      <c r="B86" s="2327"/>
      <c r="C86" s="375" t="str">
        <f>F!C145</f>
        <v xml:space="preserve">&gt;95% of the AA. </v>
      </c>
      <c r="D86" s="474">
        <f>F!D145</f>
        <v>0</v>
      </c>
      <c r="E86" s="303">
        <v>1</v>
      </c>
      <c r="F86" s="326">
        <f>D86*E86</f>
        <v>0</v>
      </c>
      <c r="G86" s="558"/>
      <c r="H86" s="2396"/>
      <c r="I86" s="2325"/>
    </row>
    <row r="87" spans="1:9" ht="30" customHeight="1" thickBot="1" x14ac:dyDescent="0.25">
      <c r="A87" s="2489" t="str">
        <f>F!A153</f>
        <v>F29</v>
      </c>
      <c r="B87" s="2529" t="str">
        <f>F!B153</f>
        <v>Predominant Depth Class</v>
      </c>
      <c r="C87" s="368" t="str">
        <f>F!C153</f>
        <v>During most of the time when surface water is present during the growing season, its depth, averaged over the entire inundated part of the AA, is:</v>
      </c>
      <c r="D87" s="304"/>
      <c r="E87" s="304"/>
      <c r="F87" s="322"/>
      <c r="G87" s="465">
        <f>IF((AllSat1&gt;0),"",IF((TooSmall=1),"",MAX(F88:F92)/MAX(E88:E92)))</f>
        <v>1</v>
      </c>
      <c r="H87" s="2529" t="s">
        <v>1207</v>
      </c>
      <c r="I87" s="2323" t="s">
        <v>198</v>
      </c>
    </row>
    <row r="88" spans="1:9" ht="15" customHeight="1" x14ac:dyDescent="0.2">
      <c r="A88" s="2365"/>
      <c r="B88" s="2396"/>
      <c r="C88" s="369" t="str">
        <f>F!C154</f>
        <v>&lt;10 cm deep (but &gt;0).</v>
      </c>
      <c r="D88" s="212">
        <f>F!D154</f>
        <v>0</v>
      </c>
      <c r="E88" s="87">
        <v>1</v>
      </c>
      <c r="F88" s="324">
        <f t="shared" ref="F88:F96" si="5">D88*E88</f>
        <v>0</v>
      </c>
      <c r="G88" s="548"/>
      <c r="H88" s="2404"/>
      <c r="I88" s="2324"/>
    </row>
    <row r="89" spans="1:9" ht="15" customHeight="1" x14ac:dyDescent="0.2">
      <c r="A89" s="2365"/>
      <c r="B89" s="2396"/>
      <c r="C89" s="568" t="str">
        <f>F!C155</f>
        <v>10 - 50 cm deep.</v>
      </c>
      <c r="D89" s="70">
        <f>F!D155</f>
        <v>0</v>
      </c>
      <c r="E89" s="669">
        <v>3</v>
      </c>
      <c r="F89" s="324">
        <f t="shared" si="5"/>
        <v>0</v>
      </c>
      <c r="G89" s="549"/>
      <c r="H89" s="2404"/>
      <c r="I89" s="2324"/>
    </row>
    <row r="90" spans="1:9" ht="15" customHeight="1" x14ac:dyDescent="0.2">
      <c r="A90" s="2365"/>
      <c r="B90" s="2396"/>
      <c r="C90" s="568" t="str">
        <f>F!C156</f>
        <v>0.5 - 1 m deep.</v>
      </c>
      <c r="D90" s="70">
        <f>F!D156</f>
        <v>1</v>
      </c>
      <c r="E90" s="669">
        <v>7</v>
      </c>
      <c r="F90" s="324">
        <f t="shared" si="5"/>
        <v>7</v>
      </c>
      <c r="G90" s="549"/>
      <c r="H90" s="2404"/>
      <c r="I90" s="2324"/>
    </row>
    <row r="91" spans="1:9" ht="15" customHeight="1" x14ac:dyDescent="0.2">
      <c r="A91" s="2365"/>
      <c r="B91" s="2396"/>
      <c r="C91" s="568" t="str">
        <f>F!C157</f>
        <v>1 - 2 m deep.</v>
      </c>
      <c r="D91" s="70">
        <f>F!D157</f>
        <v>0</v>
      </c>
      <c r="E91" s="669">
        <v>5</v>
      </c>
      <c r="F91" s="324">
        <f t="shared" si="5"/>
        <v>0</v>
      </c>
      <c r="G91" s="549"/>
      <c r="H91" s="2404"/>
      <c r="I91" s="2324"/>
    </row>
    <row r="92" spans="1:9" ht="15" customHeight="1" thickBot="1" x14ac:dyDescent="0.25">
      <c r="A92" s="2367"/>
      <c r="B92" s="2408"/>
      <c r="C92" s="370" t="str">
        <f>F!C158</f>
        <v>&gt;2 m deep. True for many fringe wetlands.</v>
      </c>
      <c r="D92" s="152">
        <f>F!D158</f>
        <v>0</v>
      </c>
      <c r="E92" s="670">
        <v>2</v>
      </c>
      <c r="F92" s="328">
        <f t="shared" si="5"/>
        <v>0</v>
      </c>
      <c r="G92" s="550"/>
      <c r="H92" s="2530"/>
      <c r="I92" s="2325"/>
    </row>
    <row r="93" spans="1:9" ht="21" customHeight="1" thickBot="1" x14ac:dyDescent="0.25">
      <c r="A93" s="2489" t="str">
        <f>F!A159</f>
        <v>F30</v>
      </c>
      <c r="B93" s="2529" t="str">
        <f>F!B159</f>
        <v>Depth Classes - Evenness of Proportions</v>
      </c>
      <c r="C93" s="368" t="str">
        <f>F!C159</f>
        <v>When present, surface water in most of the AA usually consists of (select one):</v>
      </c>
      <c r="D93" s="304"/>
      <c r="E93" s="304"/>
      <c r="F93" s="942"/>
      <c r="G93" s="465">
        <f>IF((AllSat1&gt;0),"",IF((TooSmall=1),"",MAX(F94:F96)/MAX(E94:E96)))</f>
        <v>1</v>
      </c>
      <c r="H93" s="2529" t="s">
        <v>1208</v>
      </c>
      <c r="I93" s="2323" t="s">
        <v>2859</v>
      </c>
    </row>
    <row r="94" spans="1:9" ht="27.75" customHeight="1" x14ac:dyDescent="0.2">
      <c r="A94" s="2371"/>
      <c r="B94" s="2404"/>
      <c r="C94" s="369" t="str">
        <f>F!C160</f>
        <v xml:space="preserve">One depth class that comprises &gt;90% of the AA’s inundated area (use the classes in the question above). </v>
      </c>
      <c r="D94" s="212">
        <f>F!D160</f>
        <v>0</v>
      </c>
      <c r="E94" s="300">
        <v>0</v>
      </c>
      <c r="F94" s="671">
        <f>D93*E93</f>
        <v>0</v>
      </c>
      <c r="G94" s="548"/>
      <c r="H94" s="2404"/>
      <c r="I94" s="2324"/>
    </row>
    <row r="95" spans="1:9" ht="15" customHeight="1" x14ac:dyDescent="0.2">
      <c r="A95" s="2371"/>
      <c r="B95" s="2404"/>
      <c r="C95" s="872" t="str">
        <f>F!C161</f>
        <v>One depth class that comprises 50-90% of the AA's inundated area.</v>
      </c>
      <c r="D95" s="70">
        <f>F!D161</f>
        <v>0</v>
      </c>
      <c r="E95" s="556">
        <v>1</v>
      </c>
      <c r="F95" s="324">
        <f t="shared" si="5"/>
        <v>0</v>
      </c>
      <c r="G95" s="549"/>
      <c r="H95" s="2404"/>
      <c r="I95" s="2324"/>
    </row>
    <row r="96" spans="1:9" ht="15" customHeight="1" thickBot="1" x14ac:dyDescent="0.25">
      <c r="A96" s="2490"/>
      <c r="B96" s="2530"/>
      <c r="C96" s="370" t="str">
        <f>F!C162</f>
        <v>Neither of above. There are 3 or more depth classes and none occupy &gt;50%.</v>
      </c>
      <c r="D96" s="152">
        <f>F!D162</f>
        <v>1</v>
      </c>
      <c r="E96" s="559">
        <v>2</v>
      </c>
      <c r="F96" s="328">
        <f t="shared" si="5"/>
        <v>2</v>
      </c>
      <c r="G96" s="550"/>
      <c r="H96" s="2530"/>
      <c r="I96" s="2325"/>
    </row>
    <row r="97" spans="1:9" s="2" customFormat="1" ht="45" customHeight="1" thickBot="1" x14ac:dyDescent="0.25">
      <c r="A97" s="2806" t="str">
        <f>F!A163</f>
        <v>F31</v>
      </c>
      <c r="B97" s="2529" t="str">
        <f>F!B163</f>
        <v>% of Water That Is Ponded (not Flowing)</v>
      </c>
      <c r="C97" s="368" t="str">
        <f>F!C163</f>
        <v>During most times when surface water is present, the percentage that is (1) ponded (stagnant, or flows so slowly that fine sediment is not held in suspension) AND (2) is likely to be deeper than 0.5 m in some places, is:</v>
      </c>
      <c r="D97" s="304"/>
      <c r="E97" s="304"/>
      <c r="F97" s="322"/>
      <c r="G97" s="465">
        <f>IF((AllSat1&gt;0),"", MAX(F98:F102)/MAX(E98:E102))</f>
        <v>0</v>
      </c>
      <c r="H97" s="2529" t="s">
        <v>1644</v>
      </c>
      <c r="I97" s="2323" t="s">
        <v>197</v>
      </c>
    </row>
    <row r="98" spans="1:9" s="2" customFormat="1" ht="15" customHeight="1" x14ac:dyDescent="0.2">
      <c r="A98" s="2371"/>
      <c r="B98" s="2404"/>
      <c r="C98" s="369" t="str">
        <f>F!C164</f>
        <v>&lt;5% of the water, or it occupies &lt;100 sq.m cumulatively. Nearly all the surface water is flowing. SKIP to F34.</v>
      </c>
      <c r="D98" s="566">
        <f>F!D164</f>
        <v>1</v>
      </c>
      <c r="E98" s="300">
        <v>0</v>
      </c>
      <c r="F98" s="324">
        <f>D98*E98</f>
        <v>0</v>
      </c>
      <c r="G98" s="548"/>
      <c r="H98" s="2404"/>
      <c r="I98" s="2324"/>
    </row>
    <row r="99" spans="1:9" s="2" customFormat="1" ht="15" customHeight="1" x14ac:dyDescent="0.2">
      <c r="A99" s="2371"/>
      <c r="B99" s="2404"/>
      <c r="C99" s="568" t="str">
        <f>F!C165</f>
        <v>5-30% of the water.</v>
      </c>
      <c r="D99" s="567">
        <f>F!D165</f>
        <v>0</v>
      </c>
      <c r="E99" s="300">
        <v>3</v>
      </c>
      <c r="F99" s="324">
        <f>D99*E99</f>
        <v>0</v>
      </c>
      <c r="G99" s="549"/>
      <c r="H99" s="2404"/>
      <c r="I99" s="2324"/>
    </row>
    <row r="100" spans="1:9" s="2" customFormat="1" ht="15" customHeight="1" x14ac:dyDescent="0.2">
      <c r="A100" s="2371"/>
      <c r="B100" s="2404"/>
      <c r="C100" s="568" t="str">
        <f>F!C166</f>
        <v>30-70% of the water.</v>
      </c>
      <c r="D100" s="567">
        <f>F!D166</f>
        <v>0</v>
      </c>
      <c r="E100" s="300">
        <v>4</v>
      </c>
      <c r="F100" s="324">
        <f>D100*E100</f>
        <v>0</v>
      </c>
      <c r="G100" s="558"/>
      <c r="H100" s="2404"/>
      <c r="I100" s="2324"/>
    </row>
    <row r="101" spans="1:9" s="2" customFormat="1" ht="15" customHeight="1" x14ac:dyDescent="0.2">
      <c r="A101" s="2371"/>
      <c r="B101" s="2404"/>
      <c r="C101" s="568" t="str">
        <f>F!C167</f>
        <v>70-95% of the water.</v>
      </c>
      <c r="D101" s="567">
        <f>F!D167</f>
        <v>0</v>
      </c>
      <c r="E101" s="300">
        <v>5</v>
      </c>
      <c r="F101" s="324">
        <f>D101*E101</f>
        <v>0</v>
      </c>
      <c r="G101" s="558"/>
      <c r="H101" s="2404"/>
      <c r="I101" s="2324"/>
    </row>
    <row r="102" spans="1:9" s="2" customFormat="1" ht="15" customHeight="1" thickBot="1" x14ac:dyDescent="0.25">
      <c r="A102" s="2490"/>
      <c r="B102" s="2530"/>
      <c r="C102" s="370" t="str">
        <f>F!C168</f>
        <v>&gt;95% of the water.</v>
      </c>
      <c r="D102" s="904">
        <f>F!D168</f>
        <v>0</v>
      </c>
      <c r="E102" s="301">
        <v>5</v>
      </c>
      <c r="F102" s="328">
        <f>D102*E102</f>
        <v>0</v>
      </c>
      <c r="G102" s="550"/>
      <c r="H102" s="2530"/>
      <c r="I102" s="2325"/>
    </row>
    <row r="103" spans="1:9" ht="30" customHeight="1" thickBot="1" x14ac:dyDescent="0.25">
      <c r="A103" s="2554" t="str">
        <f>F!A170</f>
        <v>F33</v>
      </c>
      <c r="B103" s="2327" t="str">
        <f>F!B170</f>
        <v xml:space="preserve">% of Ponded Water that is Open </v>
      </c>
      <c r="C103" s="103" t="str">
        <f>F!C170</f>
        <v>In ducks-eye aerial view, the percentage of the ponded water that is open (lacking emergent vegetation during most of the growing season, and unhidden by a forest or shrub canopy) is:</v>
      </c>
      <c r="D103" s="318"/>
      <c r="E103" s="299"/>
      <c r="F103" s="321"/>
      <c r="G103" s="466" t="str">
        <f>IF((AllSat1&gt;0),"",IF((NoPonded=1),"",IF((TooSmall=1),"",MAX(F104:F109)/MAX(E104:E109))))</f>
        <v/>
      </c>
      <c r="H103" s="2404" t="s">
        <v>1648</v>
      </c>
      <c r="I103" s="2323" t="s">
        <v>196</v>
      </c>
    </row>
    <row r="104" spans="1:9" ht="27" customHeight="1" x14ac:dyDescent="0.2">
      <c r="A104" s="2554"/>
      <c r="B104" s="2327"/>
      <c r="C104" s="1138" t="str">
        <f>F!C171</f>
        <v>None, or &lt;1% of the AA and largest pool occupies &lt;0.01 hectares. Enter "1" and SKIP to F41 (Floating Algae &amp; Duckweed).</v>
      </c>
      <c r="D104" s="474">
        <f>F!D171</f>
        <v>0</v>
      </c>
      <c r="E104" s="300">
        <v>1</v>
      </c>
      <c r="F104" s="324">
        <f t="shared" ref="F104:F109" si="6">D104*E104</f>
        <v>0</v>
      </c>
      <c r="G104" s="548"/>
      <c r="H104" s="2404"/>
      <c r="I104" s="2324"/>
    </row>
    <row r="105" spans="1:9" ht="15" customHeight="1" x14ac:dyDescent="0.2">
      <c r="A105" s="2554"/>
      <c r="B105" s="2327"/>
      <c r="C105" s="949" t="str">
        <f>F!C172</f>
        <v>1-4% of the ponded water. Enter "1" and SKIP to F41 (Floating Algae &amp; Duckweed).</v>
      </c>
      <c r="D105" s="474">
        <f>F!D172</f>
        <v>0</v>
      </c>
      <c r="E105" s="300">
        <v>2</v>
      </c>
      <c r="F105" s="324">
        <f t="shared" si="6"/>
        <v>0</v>
      </c>
      <c r="G105" s="549"/>
      <c r="H105" s="2404"/>
      <c r="I105" s="2324"/>
    </row>
    <row r="106" spans="1:9" ht="15" customHeight="1" x14ac:dyDescent="0.2">
      <c r="A106" s="2554"/>
      <c r="B106" s="2327"/>
      <c r="C106" s="1122" t="str">
        <f>F!C173</f>
        <v>5-30% of the ponded water.</v>
      </c>
      <c r="D106" s="70">
        <f>F!D173</f>
        <v>0</v>
      </c>
      <c r="E106" s="300">
        <v>5</v>
      </c>
      <c r="F106" s="324">
        <f t="shared" si="6"/>
        <v>0</v>
      </c>
      <c r="G106" s="549"/>
      <c r="H106" s="2404"/>
      <c r="I106" s="2324"/>
    </row>
    <row r="107" spans="1:9" ht="15" customHeight="1" x14ac:dyDescent="0.2">
      <c r="A107" s="2554"/>
      <c r="B107" s="2327"/>
      <c r="C107" s="418" t="str">
        <f>F!C174</f>
        <v>30-70% of the ponded water.</v>
      </c>
      <c r="D107" s="571">
        <f>F!D174</f>
        <v>0</v>
      </c>
      <c r="E107" s="300">
        <v>7</v>
      </c>
      <c r="F107" s="324">
        <f t="shared" si="6"/>
        <v>0</v>
      </c>
      <c r="G107" s="549"/>
      <c r="H107" s="2404"/>
      <c r="I107" s="2324"/>
    </row>
    <row r="108" spans="1:9" ht="15" customHeight="1" x14ac:dyDescent="0.2">
      <c r="A108" s="2554"/>
      <c r="B108" s="2327"/>
      <c r="C108" s="1129" t="str">
        <f>F!C175</f>
        <v>70-99% of the ponded water.</v>
      </c>
      <c r="D108" s="474">
        <f>F!D175</f>
        <v>0</v>
      </c>
      <c r="E108" s="300">
        <v>4</v>
      </c>
      <c r="F108" s="324">
        <f t="shared" si="6"/>
        <v>0</v>
      </c>
      <c r="G108" s="558"/>
      <c r="H108" s="2404"/>
      <c r="I108" s="2324"/>
    </row>
    <row r="109" spans="1:9" ht="15" customHeight="1" thickBot="1" x14ac:dyDescent="0.25">
      <c r="A109" s="2826"/>
      <c r="B109" s="2328"/>
      <c r="C109" s="951" t="str">
        <f>F!C176</f>
        <v xml:space="preserve">100% of the ponded water. </v>
      </c>
      <c r="D109" s="152">
        <f>F!D176</f>
        <v>0</v>
      </c>
      <c r="E109" s="319">
        <v>3</v>
      </c>
      <c r="F109" s="326">
        <f t="shared" si="6"/>
        <v>0</v>
      </c>
      <c r="G109" s="558"/>
      <c r="H109" s="2404"/>
      <c r="I109" s="2325"/>
    </row>
    <row r="110" spans="1:9" ht="33" customHeight="1" thickBot="1" x14ac:dyDescent="0.25">
      <c r="A110" s="2684" t="str">
        <f>F!A195</f>
        <v>F37</v>
      </c>
      <c r="B110" s="2339" t="str">
        <f>F!B195</f>
        <v>Interspersion of Emergents &amp; Open Water</v>
      </c>
      <c r="C110" s="365" t="str">
        <f>F!C195</f>
        <v>During most of the part of the growing season when water is present, the spatial pattern of emergent vegetation within the water is mostly:</v>
      </c>
      <c r="D110" s="304"/>
      <c r="E110" s="304"/>
      <c r="F110" s="322"/>
      <c r="G110" s="465" t="str">
        <f>IF((AllSat1&gt;0),"",IF((TooSmall=1),"",IF((NoPonded=1),"",IF((NoOpenPonded+NoOpenPonded1&gt;0),"",IF((AllOpenPond=1),"",IF((NoRobustEm=1),"",MAX(F111:F113)/MAX(E111:E113)))))))</f>
        <v/>
      </c>
      <c r="H110" s="2323" t="s">
        <v>1649</v>
      </c>
      <c r="I110" s="2323" t="s">
        <v>199</v>
      </c>
    </row>
    <row r="111" spans="1:9" ht="18" customHeight="1" x14ac:dyDescent="0.2">
      <c r="A111" s="2399"/>
      <c r="B111" s="2324"/>
      <c r="C111" s="27" t="str">
        <f>F!C196</f>
        <v>Scattered. More than 30% of such vegetation forms small islands or corridors surrounded by water.</v>
      </c>
      <c r="D111" s="213">
        <f>F!D196</f>
        <v>0</v>
      </c>
      <c r="E111" s="300">
        <v>3</v>
      </c>
      <c r="F111" s="324">
        <f>D111*E111</f>
        <v>0</v>
      </c>
      <c r="G111" s="671"/>
      <c r="H111" s="2324"/>
      <c r="I111" s="2324"/>
    </row>
    <row r="112" spans="1:9" ht="18" customHeight="1" x14ac:dyDescent="0.2">
      <c r="A112" s="2399"/>
      <c r="B112" s="2324"/>
      <c r="C112" s="5" t="str">
        <f>F!C197</f>
        <v>Intermediate.</v>
      </c>
      <c r="D112" s="205">
        <f>F!D197</f>
        <v>0</v>
      </c>
      <c r="E112" s="300">
        <v>2</v>
      </c>
      <c r="F112" s="324">
        <f>D112*E112</f>
        <v>0</v>
      </c>
      <c r="G112" s="671"/>
      <c r="H112" s="2324"/>
      <c r="I112" s="2324"/>
    </row>
    <row r="113" spans="1:9" ht="30" customHeight="1" thickBot="1" x14ac:dyDescent="0.25">
      <c r="A113" s="2553"/>
      <c r="B113" s="2325"/>
      <c r="C113" s="153" t="str">
        <f>F!C198</f>
        <v>Clumped. More than 70% of such vegetation is in bands along the wetland perimeter or is clumped at one or a few sides of the surface water area.</v>
      </c>
      <c r="D113" s="206">
        <f>F!D198</f>
        <v>1</v>
      </c>
      <c r="E113" s="301">
        <v>1</v>
      </c>
      <c r="F113" s="328">
        <f>D113*E113</f>
        <v>1</v>
      </c>
      <c r="G113" s="672"/>
      <c r="H113" s="2325"/>
      <c r="I113" s="2325"/>
    </row>
    <row r="114" spans="1:9" s="2" customFormat="1" ht="66" customHeight="1" thickBot="1" x14ac:dyDescent="0.25">
      <c r="A114" s="1929" t="str">
        <f>F!A205</f>
        <v>F41</v>
      </c>
      <c r="B114" s="1931" t="str">
        <f>F!B205</f>
        <v xml:space="preserve">Floating Algae &amp; Duckweed </v>
      </c>
      <c r="C114" s="1956" t="str">
        <f>F!C205</f>
        <v>At some time of the year, mats of algae and/or duckweed are likely to cover &gt;50% of the AA's otherwise-unshaded water surface, or blanket &gt;50% of the underwater substrate. If true, enter "1" in next column. If untrue or uncertain, enter "0".</v>
      </c>
      <c r="D114" s="1955">
        <f>F!D205</f>
        <v>0</v>
      </c>
      <c r="E114" s="555"/>
      <c r="F114" s="940"/>
      <c r="G114" s="1491" t="str">
        <f>IF((AllSat1&gt;0),"",IF((TooSmall=1),"",IF((NoPonded=1),"",IF((DeepPersis=0),"",1))))</f>
        <v/>
      </c>
      <c r="H114" s="1931" t="s">
        <v>1650</v>
      </c>
      <c r="I114" s="1926" t="s">
        <v>1033</v>
      </c>
    </row>
    <row r="115" spans="1:9" s="1927" customFormat="1" ht="21" customHeight="1" thickBot="1" x14ac:dyDescent="0.25">
      <c r="A115" s="2586" t="str">
        <f>F!A224</f>
        <v>F47</v>
      </c>
      <c r="B115" s="2323" t="str">
        <f>F!B224</f>
        <v>pH Measurement</v>
      </c>
      <c r="C115" s="4" t="str">
        <f>F!C224</f>
        <v>The pH in most of the AA's surface water:</v>
      </c>
      <c r="D115" s="1050"/>
      <c r="E115" s="304"/>
      <c r="F115" s="322"/>
      <c r="G115" s="581" t="str">
        <f>IF((D118=1),"",IF((D117=1),0.5,IF((D116&gt;0&lt;4),0,IF((D116&gt;=4&lt;=7.5),0.5,1))))</f>
        <v/>
      </c>
      <c r="H115" s="2323" t="s">
        <v>2597</v>
      </c>
      <c r="I115" s="2323" t="s">
        <v>2592</v>
      </c>
    </row>
    <row r="116" spans="1:9" s="1927" customFormat="1" ht="15" customHeight="1" thickBot="1" x14ac:dyDescent="0.25">
      <c r="A116" s="2399"/>
      <c r="B116" s="2324"/>
      <c r="C116" s="545" t="str">
        <f>F!C225</f>
        <v>Was measured, and is:  [enter the reading in the column to the right.]</v>
      </c>
      <c r="D116" s="2083" t="str">
        <f>IF((F!D225=""),"",F!D225)</f>
        <v/>
      </c>
      <c r="E116" s="316"/>
      <c r="F116" s="324"/>
      <c r="G116" s="302"/>
      <c r="H116" s="2324"/>
      <c r="I116" s="2324"/>
    </row>
    <row r="117" spans="1:9" s="1927" customFormat="1" ht="27" customHeight="1" x14ac:dyDescent="0.2">
      <c r="A117" s="2399"/>
      <c r="B117" s="2324"/>
      <c r="C117" s="1469" t="str">
        <f>F!C226</f>
        <v xml:space="preserve">Was not measured but surface water is present and is darkly tea-coloured.  Or if no surface water, then mosses and plants that indicate peatland (e.g., Labrador tea) are prevalent. Enter "1". </v>
      </c>
      <c r="D117" s="213">
        <f>F!D226</f>
        <v>0</v>
      </c>
      <c r="E117" s="300"/>
      <c r="F117" s="324"/>
      <c r="G117" s="325"/>
      <c r="H117" s="2324"/>
      <c r="I117" s="2324"/>
    </row>
    <row r="118" spans="1:9" s="1927" customFormat="1" ht="15" customHeight="1" thickBot="1" x14ac:dyDescent="0.25">
      <c r="A118" s="2553"/>
      <c r="B118" s="2325"/>
      <c r="C118" s="153" t="str">
        <f>F!C227</f>
        <v>Neither of above. Enter "1".</v>
      </c>
      <c r="D118" s="206">
        <f>F!D227</f>
        <v>1</v>
      </c>
      <c r="E118" s="301"/>
      <c r="F118" s="328"/>
      <c r="G118" s="329"/>
      <c r="H118" s="2325"/>
      <c r="I118" s="2325"/>
    </row>
    <row r="119" spans="1:9" ht="21" customHeight="1" thickBot="1" x14ac:dyDescent="0.25">
      <c r="A119" s="2399" t="str">
        <f>F!A233</f>
        <v>F49</v>
      </c>
      <c r="B119" s="2324" t="str">
        <f>F!B233</f>
        <v>Beaver Probability</v>
      </c>
      <c r="C119" s="1934" t="str">
        <f>F!C233</f>
        <v>Use of the AA by beaver during the past 5 years is (select most applicable ONE):</v>
      </c>
      <c r="D119" s="299"/>
      <c r="E119" s="299"/>
      <c r="F119" s="321"/>
      <c r="G119" s="466">
        <f>IF((AllSat1&gt;0),"", MAX(F120:F122)/MAX(E120:E122))</f>
        <v>1</v>
      </c>
      <c r="H119" s="2669" t="s">
        <v>2591</v>
      </c>
      <c r="I119" s="2324" t="s">
        <v>212</v>
      </c>
    </row>
    <row r="120" spans="1:9" ht="27" customHeight="1" x14ac:dyDescent="0.2">
      <c r="A120" s="2399"/>
      <c r="B120" s="2324"/>
      <c r="C120" s="27" t="str">
        <f>F!C234</f>
        <v>Evident from direct observation or presence of gnawed limbs, dams, tracks, dens, lodges, or extensive stands of water-killed trees (snags).</v>
      </c>
      <c r="D120" s="213">
        <f>F!D234</f>
        <v>1</v>
      </c>
      <c r="E120" s="299">
        <v>3</v>
      </c>
      <c r="F120" s="324">
        <f>D120*E120</f>
        <v>3</v>
      </c>
      <c r="G120" s="548"/>
      <c r="H120" s="2663"/>
      <c r="I120" s="2324"/>
    </row>
    <row r="121" spans="1:9" ht="52.5" customHeight="1" x14ac:dyDescent="0.2">
      <c r="A121" s="2399"/>
      <c r="B121" s="2324"/>
      <c r="C121" s="5" t="str">
        <f>F!C235</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21" s="205">
        <f>F!D235</f>
        <v>0</v>
      </c>
      <c r="E121" s="299">
        <v>2</v>
      </c>
      <c r="F121" s="324">
        <f>D121*E121</f>
        <v>0</v>
      </c>
      <c r="G121" s="549"/>
      <c r="H121" s="2663"/>
      <c r="I121" s="2324"/>
    </row>
    <row r="122" spans="1:9" ht="27" customHeight="1" thickBot="1" x14ac:dyDescent="0.25">
      <c r="A122" s="2399"/>
      <c r="B122" s="2324"/>
      <c r="C122" s="366" t="str">
        <f>F!C236</f>
        <v xml:space="preserve">Unlikely because site characteristics above are deficient, and/or this is a settled area or other area where beaver are routinely removed. </v>
      </c>
      <c r="D122" s="211">
        <f>F!D236</f>
        <v>0</v>
      </c>
      <c r="E122" s="319">
        <v>0</v>
      </c>
      <c r="F122" s="326">
        <f>D122*E122</f>
        <v>0</v>
      </c>
      <c r="G122" s="558"/>
      <c r="H122" s="2694"/>
      <c r="I122" s="2325"/>
    </row>
    <row r="123" spans="1:9" ht="21" customHeight="1" thickBot="1" x14ac:dyDescent="0.25">
      <c r="A123" s="2529" t="str">
        <f>F!A241</f>
        <v>F51</v>
      </c>
      <c r="B123" s="2529" t="str">
        <f>F!B241</f>
        <v>Internal Gradient</v>
      </c>
      <c r="C123" s="368" t="str">
        <f>F!C241</f>
        <v>The gradient along most of the flow path within the AA is:</v>
      </c>
      <c r="D123" s="555"/>
      <c r="E123" s="304"/>
      <c r="F123" s="322"/>
      <c r="G123" s="465">
        <f>MAX(F124:F127)/MAX(E124:E127)</f>
        <v>1</v>
      </c>
      <c r="H123" s="2529" t="s">
        <v>9</v>
      </c>
      <c r="I123" s="2323" t="s">
        <v>202</v>
      </c>
    </row>
    <row r="124" spans="1:9" ht="15" customHeight="1" x14ac:dyDescent="0.2">
      <c r="A124" s="2396"/>
      <c r="B124" s="2396"/>
      <c r="C124" s="1242" t="str">
        <f>F!C242</f>
        <v>&lt;2% or the AA has no surface water outlet (not even seasonally).</v>
      </c>
      <c r="D124" s="70">
        <f>F!D242</f>
        <v>1</v>
      </c>
      <c r="E124" s="316">
        <v>4</v>
      </c>
      <c r="F124" s="324">
        <f>D124*E124</f>
        <v>4</v>
      </c>
      <c r="G124" s="443"/>
      <c r="H124" s="2404"/>
      <c r="I124" s="2324"/>
    </row>
    <row r="125" spans="1:9" ht="15" customHeight="1" x14ac:dyDescent="0.2">
      <c r="A125" s="2396"/>
      <c r="B125" s="2396"/>
      <c r="C125" s="1122" t="str">
        <f>F!C243</f>
        <v>2-5%.</v>
      </c>
      <c r="D125" s="70">
        <f>F!D243</f>
        <v>0</v>
      </c>
      <c r="E125" s="316">
        <v>2</v>
      </c>
      <c r="F125" s="324">
        <f>D125*E125</f>
        <v>0</v>
      </c>
      <c r="G125" s="437"/>
      <c r="H125" s="2404"/>
      <c r="I125" s="2324"/>
    </row>
    <row r="126" spans="1:9" ht="15" customHeight="1" x14ac:dyDescent="0.2">
      <c r="A126" s="2396"/>
      <c r="B126" s="2396"/>
      <c r="C126" s="1130" t="str">
        <f>F!C244</f>
        <v>6-10%.</v>
      </c>
      <c r="D126" s="70">
        <f>F!D244</f>
        <v>0</v>
      </c>
      <c r="E126" s="316">
        <v>1</v>
      </c>
      <c r="F126" s="324">
        <f>D126*E126</f>
        <v>0</v>
      </c>
      <c r="G126" s="437"/>
      <c r="H126" s="2404"/>
      <c r="I126" s="2324"/>
    </row>
    <row r="127" spans="1:9" ht="15" customHeight="1" thickBot="1" x14ac:dyDescent="0.25">
      <c r="A127" s="2408"/>
      <c r="B127" s="2408"/>
      <c r="C127" s="951" t="str">
        <f>F!C245</f>
        <v>&gt;10%.</v>
      </c>
      <c r="D127" s="152">
        <f>F!D245</f>
        <v>0</v>
      </c>
      <c r="E127" s="317">
        <v>0</v>
      </c>
      <c r="F127" s="328">
        <f>D127*E127</f>
        <v>0</v>
      </c>
      <c r="G127" s="449"/>
      <c r="H127" s="2530"/>
      <c r="I127" s="2325"/>
    </row>
    <row r="128" spans="1:9" ht="69.75" customHeight="1" thickBot="1" x14ac:dyDescent="0.25">
      <c r="A128" s="2529" t="str">
        <f>F!A282</f>
        <v>F60</v>
      </c>
      <c r="B128" s="2529" t="str">
        <f>F!B282</f>
        <v xml:space="preserve">Unvisited Core Area </v>
      </c>
      <c r="C128" s="368"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128" s="555"/>
      <c r="E128" s="427"/>
      <c r="F128" s="322"/>
      <c r="G128" s="465">
        <f>MAX(F129:F134)/MAX(E129:E134)</f>
        <v>1</v>
      </c>
      <c r="H128" s="2529" t="s">
        <v>1470</v>
      </c>
      <c r="I128" s="2323" t="s">
        <v>203</v>
      </c>
    </row>
    <row r="129" spans="1:41" ht="15" customHeight="1" x14ac:dyDescent="0.2">
      <c r="A129" s="2404"/>
      <c r="B129" s="2404"/>
      <c r="C129" s="1138" t="str">
        <f>F!C283</f>
        <v>&lt;5% and no inhabited building is within 100 m of the AA.</v>
      </c>
      <c r="D129" s="70">
        <f>F!D283</f>
        <v>0</v>
      </c>
      <c r="E129" s="324">
        <v>1</v>
      </c>
      <c r="F129" s="324">
        <f t="shared" ref="F129:F134" si="7">D129*E129</f>
        <v>0</v>
      </c>
      <c r="G129" s="429"/>
      <c r="H129" s="2404"/>
      <c r="I129" s="2324"/>
    </row>
    <row r="130" spans="1:41" ht="15" customHeight="1" x14ac:dyDescent="0.2">
      <c r="A130" s="2404"/>
      <c r="B130" s="2404"/>
      <c r="C130" s="872" t="str">
        <f>F!C284</f>
        <v>&lt;5% and inhabited building is within 100 m of the AA.</v>
      </c>
      <c r="D130" s="70">
        <f>F!D284</f>
        <v>0</v>
      </c>
      <c r="E130" s="324">
        <v>0</v>
      </c>
      <c r="F130" s="324">
        <f t="shared" si="7"/>
        <v>0</v>
      </c>
      <c r="G130" s="430"/>
      <c r="H130" s="2404"/>
      <c r="I130" s="2324"/>
    </row>
    <row r="131" spans="1:41" ht="15" customHeight="1" x14ac:dyDescent="0.2">
      <c r="A131" s="2404"/>
      <c r="B131" s="2404"/>
      <c r="C131" s="872" t="str">
        <f>F!C285</f>
        <v>5-50% and no inhabited building is within 100 m of the AA.</v>
      </c>
      <c r="D131" s="70">
        <f>F!D285</f>
        <v>0</v>
      </c>
      <c r="E131" s="324">
        <v>3</v>
      </c>
      <c r="F131" s="324">
        <f t="shared" si="7"/>
        <v>0</v>
      </c>
      <c r="G131" s="430"/>
      <c r="H131" s="2404"/>
      <c r="I131" s="2324"/>
    </row>
    <row r="132" spans="1:41" ht="15" customHeight="1" x14ac:dyDescent="0.2">
      <c r="A132" s="2404"/>
      <c r="B132" s="2404"/>
      <c r="C132" s="872" t="str">
        <f>F!C286</f>
        <v>5-50% and inhabited building is within 100 m of the AA.</v>
      </c>
      <c r="D132" s="70">
        <f>F!D286</f>
        <v>0</v>
      </c>
      <c r="E132" s="324">
        <v>2</v>
      </c>
      <c r="F132" s="324">
        <f t="shared" si="7"/>
        <v>0</v>
      </c>
      <c r="G132" s="430"/>
      <c r="H132" s="2404"/>
      <c r="I132" s="2324"/>
    </row>
    <row r="133" spans="1:41" ht="15" customHeight="1" x14ac:dyDescent="0.2">
      <c r="A133" s="2404"/>
      <c r="B133" s="2404"/>
      <c r="C133" s="872" t="str">
        <f>F!C287</f>
        <v>50-95%, with or without inhabited building nearby.</v>
      </c>
      <c r="D133" s="70">
        <f>F!D287</f>
        <v>0</v>
      </c>
      <c r="E133" s="324">
        <v>4</v>
      </c>
      <c r="F133" s="324">
        <f t="shared" si="7"/>
        <v>0</v>
      </c>
      <c r="G133" s="430"/>
      <c r="H133" s="2404"/>
      <c r="I133" s="2324"/>
    </row>
    <row r="134" spans="1:41" ht="15" customHeight="1" thickBot="1" x14ac:dyDescent="0.25">
      <c r="A134" s="2530"/>
      <c r="B134" s="2530"/>
      <c r="C134" s="978" t="str">
        <f>F!C288</f>
        <v>&gt;95% of the AA with or without inhabited building nearby.</v>
      </c>
      <c r="D134" s="1241">
        <f>F!D288</f>
        <v>1</v>
      </c>
      <c r="E134" s="328">
        <v>5</v>
      </c>
      <c r="F134" s="328">
        <f t="shared" si="7"/>
        <v>5</v>
      </c>
      <c r="G134" s="431"/>
      <c r="H134" s="2530"/>
      <c r="I134" s="2325"/>
    </row>
    <row r="135" spans="1:41" ht="33" customHeight="1" thickBot="1" x14ac:dyDescent="0.25">
      <c r="A135" s="2404" t="str">
        <f>F!A289</f>
        <v>F61</v>
      </c>
      <c r="B135" s="2404" t="str">
        <f>F!B289</f>
        <v>Frequently Visited Area</v>
      </c>
      <c r="C135" s="368" t="str">
        <f>F!C289</f>
        <v>The part of the AA visited by humans almost daily for several weeks during an average growing season probably comprises:  [See note above.]</v>
      </c>
      <c r="D135" s="1058"/>
      <c r="E135" s="330"/>
      <c r="F135" s="321"/>
      <c r="G135" s="466">
        <f>MAX(F136:F139)/MAX(E136:E139)</f>
        <v>1</v>
      </c>
      <c r="H135" s="2404" t="s">
        <v>87</v>
      </c>
      <c r="I135" s="2323" t="s">
        <v>204</v>
      </c>
    </row>
    <row r="136" spans="1:41" ht="15" customHeight="1" x14ac:dyDescent="0.2">
      <c r="A136" s="2404"/>
      <c r="B136" s="2404"/>
      <c r="C136" s="1242" t="str">
        <f>F!C290</f>
        <v>&lt;5%. If F60 was answered "&gt;95%" (mostly never visited), SKIP to F64.</v>
      </c>
      <c r="D136" s="70">
        <f>F!D290</f>
        <v>1</v>
      </c>
      <c r="E136" s="932">
        <v>2</v>
      </c>
      <c r="F136" s="324">
        <f>D136*E136</f>
        <v>2</v>
      </c>
      <c r="G136" s="429"/>
      <c r="H136" s="2404"/>
      <c r="I136" s="2324"/>
    </row>
    <row r="137" spans="1:41" ht="15" customHeight="1" x14ac:dyDescent="0.2">
      <c r="A137" s="2404"/>
      <c r="B137" s="2404"/>
      <c r="C137" s="1122" t="str">
        <f>F!C291</f>
        <v>5-50%.</v>
      </c>
      <c r="D137" s="571">
        <f>F!D291</f>
        <v>0</v>
      </c>
      <c r="E137" s="932">
        <v>1</v>
      </c>
      <c r="F137" s="324">
        <f>D137*E137</f>
        <v>0</v>
      </c>
      <c r="G137" s="430"/>
      <c r="H137" s="2404"/>
      <c r="I137" s="2324"/>
    </row>
    <row r="138" spans="1:41" ht="15" customHeight="1" x14ac:dyDescent="0.2">
      <c r="A138" s="2404"/>
      <c r="B138" s="2404"/>
      <c r="C138" s="1130" t="str">
        <f>F!C292</f>
        <v>50-95%.</v>
      </c>
      <c r="D138" s="474">
        <f>F!D292</f>
        <v>0</v>
      </c>
      <c r="E138" s="932">
        <v>0</v>
      </c>
      <c r="F138" s="324">
        <f>D138*E138</f>
        <v>0</v>
      </c>
      <c r="G138" s="430"/>
      <c r="H138" s="2404"/>
      <c r="I138" s="2324"/>
    </row>
    <row r="139" spans="1:41" ht="15" customHeight="1" thickBot="1" x14ac:dyDescent="0.25">
      <c r="A139" s="2404"/>
      <c r="B139" s="2404"/>
      <c r="C139" s="951" t="str">
        <f>F!C293</f>
        <v>&gt;95% of the AA.</v>
      </c>
      <c r="D139" s="152">
        <f>F!D293</f>
        <v>0</v>
      </c>
      <c r="E139" s="1003">
        <v>0</v>
      </c>
      <c r="F139" s="326">
        <f>D139*E139</f>
        <v>0</v>
      </c>
      <c r="G139" s="439"/>
      <c r="H139" s="2404"/>
      <c r="I139" s="2325"/>
    </row>
    <row r="140" spans="1:41" ht="60" customHeight="1" thickBot="1" x14ac:dyDescent="0.25">
      <c r="A140" s="368" t="str">
        <f>F!A295</f>
        <v>F63</v>
      </c>
      <c r="B140" s="368" t="str">
        <f>F!B295</f>
        <v>BMP - Wildlife Protection</v>
      </c>
      <c r="C140" s="464" t="str">
        <f>F!C295</f>
        <v xml:space="preserve">Fences, observation blinds, platforms, paved trails, exclusion periods, and/or well-enforced prohibitions on motorised boats, off-leash pets, and off road vehicles appear to effectively exclude or divert visitors and their pets from the AA at critical times in order to minimize disturbance of wildlife (except during hunting seasons). Enter "1" if true. </v>
      </c>
      <c r="D140" s="194">
        <f>F!D295</f>
        <v>0</v>
      </c>
      <c r="E140" s="611"/>
      <c r="F140" s="333"/>
      <c r="G140" s="465" t="str">
        <f>IF((D134+D136&gt;1),"", D140)</f>
        <v/>
      </c>
      <c r="H140" s="4" t="s">
        <v>1106</v>
      </c>
      <c r="I140" s="73" t="s">
        <v>1042</v>
      </c>
    </row>
    <row r="141" spans="1:41" s="106" customFormat="1" ht="36" customHeight="1" thickBot="1" x14ac:dyDescent="0.25">
      <c r="A141" s="1183" t="s">
        <v>88</v>
      </c>
      <c r="B141" s="1184" t="s">
        <v>1899</v>
      </c>
      <c r="C141" s="1186" t="s">
        <v>1165</v>
      </c>
      <c r="D141" s="1185" t="s">
        <v>45</v>
      </c>
      <c r="E141" s="1318" t="s">
        <v>1189</v>
      </c>
      <c r="F141" s="1284" t="s">
        <v>1190</v>
      </c>
      <c r="G141" s="1319" t="s">
        <v>2555</v>
      </c>
      <c r="H141" s="1184" t="s">
        <v>1118</v>
      </c>
      <c r="I141" s="1184" t="s">
        <v>2424</v>
      </c>
      <c r="J141" s="147"/>
      <c r="K141" s="147"/>
      <c r="L141" s="147"/>
      <c r="M141" s="147"/>
      <c r="N141" s="147"/>
      <c r="O141" s="147"/>
      <c r="P141" s="147"/>
      <c r="Q141" s="147"/>
      <c r="R141" s="147"/>
      <c r="S141" s="147"/>
      <c r="T141" s="147"/>
      <c r="U141" s="147"/>
      <c r="V141" s="147"/>
      <c r="W141" s="147"/>
      <c r="X141" s="147"/>
      <c r="Y141" s="147"/>
      <c r="Z141" s="147"/>
      <c r="AA141" s="147"/>
      <c r="AB141" s="147"/>
      <c r="AC141" s="147"/>
      <c r="AD141" s="147"/>
      <c r="AE141" s="147"/>
      <c r="AF141" s="147"/>
      <c r="AG141" s="147"/>
      <c r="AH141" s="147"/>
      <c r="AI141" s="147"/>
      <c r="AJ141" s="147"/>
      <c r="AK141" s="147"/>
      <c r="AL141" s="147"/>
      <c r="AM141" s="147"/>
      <c r="AN141" s="147"/>
      <c r="AO141" s="147"/>
    </row>
    <row r="142" spans="1:41" s="14" customFormat="1" ht="116.45" customHeight="1" thickBot="1" x14ac:dyDescent="0.25">
      <c r="A142" s="371" t="str">
        <f>OF!A39</f>
        <v>OF6</v>
      </c>
      <c r="B142" s="371" t="str">
        <f>OF!B39</f>
        <v>Herbaceous Uniqueness</v>
      </c>
      <c r="C142" s="1345" t="str">
        <f>OF!C39</f>
        <v xml:space="preserve">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 NOTE: Exclude lawns, row crops, heavily grazed lands, forest, shrublands. Include moss as well as grasslike plants in this use of "herbaceous vegetation"]
</v>
      </c>
      <c r="D142" s="869">
        <f>OF!D39</f>
        <v>3</v>
      </c>
      <c r="E142" s="333"/>
      <c r="F142" s="427"/>
      <c r="G142" s="673">
        <f>D142/3</f>
        <v>1</v>
      </c>
      <c r="H142" s="1451" t="s">
        <v>2229</v>
      </c>
      <c r="I142" s="1287" t="s">
        <v>1675</v>
      </c>
      <c r="J142" s="11"/>
    </row>
    <row r="143" spans="1:41" s="14" customFormat="1" ht="30" customHeight="1" thickBot="1" x14ac:dyDescent="0.25">
      <c r="A143" s="2368" t="str">
        <f>OF!A50</f>
        <v>OF10</v>
      </c>
      <c r="B143" s="2326" t="str">
        <f>OF!B50</f>
        <v>Distance by Road to Nearest Population Center</v>
      </c>
      <c r="C143" s="368" t="str">
        <f>OF!C50</f>
        <v>Measured along the maintained road nearest the AA, the distance to the nearest population center is:</v>
      </c>
      <c r="D143" s="304"/>
      <c r="E143" s="331"/>
      <c r="F143" s="305"/>
      <c r="G143" s="673">
        <f>MAX(F144:F148)/MAX(E144:E148)</f>
        <v>0.75</v>
      </c>
      <c r="H143" s="2323" t="s">
        <v>1092</v>
      </c>
      <c r="I143" s="2757" t="s">
        <v>981</v>
      </c>
      <c r="J143" s="11"/>
    </row>
    <row r="144" spans="1:41" s="14" customFormat="1" ht="15" customHeight="1" x14ac:dyDescent="0.2">
      <c r="A144" s="2369"/>
      <c r="B144" s="2327"/>
      <c r="C144" s="369" t="str">
        <f>OF!C51</f>
        <v>&lt;100 m.</v>
      </c>
      <c r="D144" s="212">
        <f>OF!D51</f>
        <v>0</v>
      </c>
      <c r="E144" s="618">
        <v>4</v>
      </c>
      <c r="F144" s="324">
        <f>D144*E144</f>
        <v>0</v>
      </c>
      <c r="G144" s="429"/>
      <c r="H144" s="2324"/>
      <c r="I144" s="2758"/>
      <c r="J144" s="11"/>
    </row>
    <row r="145" spans="1:10" s="14" customFormat="1" ht="15" customHeight="1" x14ac:dyDescent="0.2">
      <c r="A145" s="2369"/>
      <c r="B145" s="2327"/>
      <c r="C145" s="568" t="str">
        <f>OF!C52</f>
        <v>100 - 500 m.</v>
      </c>
      <c r="D145" s="70">
        <f>OF!D52</f>
        <v>1</v>
      </c>
      <c r="E145" s="618">
        <v>3</v>
      </c>
      <c r="F145" s="324">
        <f>D145*E145</f>
        <v>3</v>
      </c>
      <c r="G145" s="429"/>
      <c r="H145" s="2324"/>
      <c r="I145" s="2758"/>
      <c r="J145" s="11"/>
    </row>
    <row r="146" spans="1:10" s="14" customFormat="1" ht="15" customHeight="1" x14ac:dyDescent="0.2">
      <c r="A146" s="2369"/>
      <c r="B146" s="2327"/>
      <c r="C146" s="568" t="str">
        <f>OF!C53</f>
        <v>0.5- 1 km.</v>
      </c>
      <c r="D146" s="70">
        <f>OF!D53</f>
        <v>0</v>
      </c>
      <c r="E146" s="618">
        <v>2</v>
      </c>
      <c r="F146" s="324">
        <f>D146*E146</f>
        <v>0</v>
      </c>
      <c r="G146" s="429"/>
      <c r="H146" s="2324"/>
      <c r="I146" s="2758"/>
      <c r="J146" s="11"/>
    </row>
    <row r="147" spans="1:10" s="14" customFormat="1" ht="15" customHeight="1" x14ac:dyDescent="0.2">
      <c r="A147" s="2369"/>
      <c r="B147" s="2327"/>
      <c r="C147" s="568" t="str">
        <f>OF!C54</f>
        <v>1 - 5 km.</v>
      </c>
      <c r="D147" s="70">
        <f>OF!D54</f>
        <v>0</v>
      </c>
      <c r="E147" s="618">
        <v>1</v>
      </c>
      <c r="F147" s="324">
        <f>D147*E147</f>
        <v>0</v>
      </c>
      <c r="G147" s="429"/>
      <c r="H147" s="2324"/>
      <c r="I147" s="2758"/>
      <c r="J147" s="11"/>
    </row>
    <row r="148" spans="1:10" s="14" customFormat="1" ht="15" customHeight="1" thickBot="1" x14ac:dyDescent="0.25">
      <c r="A148" s="2369"/>
      <c r="B148" s="2327"/>
      <c r="C148" s="375" t="str">
        <f>OF!C55</f>
        <v>&gt;5 km.</v>
      </c>
      <c r="D148" s="474">
        <f>OF!D55</f>
        <v>0</v>
      </c>
      <c r="E148" s="332">
        <v>0</v>
      </c>
      <c r="F148" s="326">
        <f>D148*E148</f>
        <v>0</v>
      </c>
      <c r="G148" s="607"/>
      <c r="H148" s="2324"/>
      <c r="I148" s="2759"/>
      <c r="J148" s="11"/>
    </row>
    <row r="149" spans="1:10" s="14" customFormat="1" ht="30" customHeight="1" thickBot="1" x14ac:dyDescent="0.25">
      <c r="A149" s="2668" t="str">
        <f>OF!A64</f>
        <v>OF13</v>
      </c>
      <c r="B149" s="2326" t="str">
        <f>OF!B64</f>
        <v>Distance to Ponded Water</v>
      </c>
      <c r="C149" s="103" t="str">
        <f>OF!C64</f>
        <v>The distance from the AA center to the closest (but separate) ponded water body visible in GoogleEarth imagery is:</v>
      </c>
      <c r="D149" s="331"/>
      <c r="E149" s="427"/>
      <c r="F149" s="304"/>
      <c r="G149" s="447">
        <f>MAX(F150:F156)/MAX(E150:E156)</f>
        <v>0.5</v>
      </c>
      <c r="H149" s="2323" t="s">
        <v>2365</v>
      </c>
      <c r="I149" s="2838" t="s">
        <v>2364</v>
      </c>
      <c r="J149" s="11"/>
    </row>
    <row r="150" spans="1:10" s="14" customFormat="1" ht="27" customHeight="1" x14ac:dyDescent="0.2">
      <c r="A150" s="2554"/>
      <c r="B150" s="2327"/>
      <c r="C150" s="369" t="str">
        <f>OF!C65</f>
        <v xml:space="preserve">&lt;50 m, and not separated by any width of paved roads, stretches of open water, row crops, lawn, bare ground, or impervious surface. </v>
      </c>
      <c r="D150" s="70">
        <f>OF!D65</f>
        <v>0</v>
      </c>
      <c r="E150" s="324">
        <v>0</v>
      </c>
      <c r="F150" s="300">
        <f t="shared" ref="F150:F156" si="8">D150*E150</f>
        <v>0</v>
      </c>
      <c r="G150" s="302"/>
      <c r="H150" s="2324"/>
      <c r="I150" s="2839"/>
      <c r="J150" s="11"/>
    </row>
    <row r="151" spans="1:10" s="14" customFormat="1" ht="15" customHeight="1" x14ac:dyDescent="0.2">
      <c r="A151" s="2554"/>
      <c r="B151" s="2327"/>
      <c r="C151" s="872" t="str">
        <f>OF!C66</f>
        <v>&lt;50 m, but completely separated by those features.</v>
      </c>
      <c r="D151" s="70">
        <f>OF!D66</f>
        <v>0</v>
      </c>
      <c r="E151" s="324">
        <v>0</v>
      </c>
      <c r="F151" s="300">
        <f t="shared" si="8"/>
        <v>0</v>
      </c>
      <c r="G151" s="325"/>
      <c r="H151" s="2324"/>
      <c r="I151" s="2839"/>
      <c r="J151" s="11"/>
    </row>
    <row r="152" spans="1:10" s="14" customFormat="1" ht="15" customHeight="1" x14ac:dyDescent="0.2">
      <c r="A152" s="2554"/>
      <c r="B152" s="2327"/>
      <c r="C152" s="872" t="str">
        <f>OF!C67</f>
        <v>50-500 m, and not separated.</v>
      </c>
      <c r="D152" s="70">
        <f>OF!D67</f>
        <v>0</v>
      </c>
      <c r="E152" s="324">
        <v>1</v>
      </c>
      <c r="F152" s="300">
        <f t="shared" si="8"/>
        <v>0</v>
      </c>
      <c r="G152" s="325"/>
      <c r="H152" s="2324"/>
      <c r="I152" s="2839"/>
      <c r="J152" s="11"/>
    </row>
    <row r="153" spans="1:10" s="14" customFormat="1" ht="15" customHeight="1" x14ac:dyDescent="0.2">
      <c r="A153" s="2554"/>
      <c r="B153" s="2327"/>
      <c r="C153" s="872" t="str">
        <f>OF!C68</f>
        <v>50-500 m, but separated by those features.</v>
      </c>
      <c r="D153" s="70">
        <f>OF!D68</f>
        <v>0</v>
      </c>
      <c r="E153" s="324">
        <v>1</v>
      </c>
      <c r="F153" s="300">
        <f t="shared" si="8"/>
        <v>0</v>
      </c>
      <c r="G153" s="325"/>
      <c r="H153" s="2324"/>
      <c r="I153" s="2839"/>
      <c r="J153" s="11"/>
    </row>
    <row r="154" spans="1:10" s="14" customFormat="1" ht="15" customHeight="1" x14ac:dyDescent="0.2">
      <c r="A154" s="2554"/>
      <c r="B154" s="2327"/>
      <c r="C154" s="872" t="str">
        <f>OF!C69</f>
        <v>0.5 - 1 km, and not separated.</v>
      </c>
      <c r="D154" s="70">
        <f>OF!D69</f>
        <v>0</v>
      </c>
      <c r="E154" s="324">
        <v>2</v>
      </c>
      <c r="F154" s="300">
        <f t="shared" si="8"/>
        <v>0</v>
      </c>
      <c r="G154" s="325"/>
      <c r="H154" s="2324"/>
      <c r="I154" s="2839"/>
      <c r="J154" s="11"/>
    </row>
    <row r="155" spans="1:10" s="14" customFormat="1" ht="15" customHeight="1" x14ac:dyDescent="0.2">
      <c r="A155" s="2554"/>
      <c r="B155" s="2327"/>
      <c r="C155" s="872" t="str">
        <f>OF!C70</f>
        <v>0.5 - 1 km, but separated by those features.</v>
      </c>
      <c r="D155" s="70">
        <f>OF!D70</f>
        <v>1</v>
      </c>
      <c r="E155" s="324">
        <v>2</v>
      </c>
      <c r="F155" s="300">
        <f t="shared" si="8"/>
        <v>2</v>
      </c>
      <c r="G155" s="325"/>
      <c r="H155" s="2324"/>
      <c r="I155" s="2839"/>
      <c r="J155" s="11"/>
    </row>
    <row r="156" spans="1:10" s="14" customFormat="1" ht="15" customHeight="1" thickBot="1" x14ac:dyDescent="0.25">
      <c r="A156" s="2590"/>
      <c r="B156" s="2328"/>
      <c r="C156" s="370" t="str">
        <f>OF!C71</f>
        <v>None of the above (the closest patches or corridors that large are &gt;1 km away).</v>
      </c>
      <c r="D156" s="152">
        <f>OF!D71</f>
        <v>0</v>
      </c>
      <c r="E156" s="328">
        <v>4</v>
      </c>
      <c r="F156" s="301">
        <f t="shared" si="8"/>
        <v>0</v>
      </c>
      <c r="G156" s="329"/>
      <c r="H156" s="2325"/>
      <c r="I156" s="2840"/>
      <c r="J156" s="11"/>
    </row>
    <row r="157" spans="1:10" s="14" customFormat="1" ht="30" customHeight="1" thickBot="1" x14ac:dyDescent="0.25">
      <c r="A157" s="1521" t="str">
        <f>OF!A139</f>
        <v>OF29</v>
      </c>
      <c r="B157" s="1521" t="str">
        <f>OF!B139</f>
        <v>Species of Conservation Concern</v>
      </c>
      <c r="C157" s="978" t="str">
        <f>OF!C142</f>
        <v>Presence of one or more of the waterbird species (WBF, WBN) of conservation concern as listed in the Wildlife_Rare worksheet of the accompanying SuppInfo file.</v>
      </c>
      <c r="D157" s="1350">
        <f>OF!D142</f>
        <v>0</v>
      </c>
      <c r="E157" s="656"/>
      <c r="F157" s="1528"/>
      <c r="G157" s="441">
        <f>D157</f>
        <v>0</v>
      </c>
      <c r="H157" s="1520" t="s">
        <v>1317</v>
      </c>
      <c r="I157" s="1287" t="s">
        <v>211</v>
      </c>
      <c r="J157" s="11"/>
    </row>
    <row r="158" spans="1:10" ht="30" customHeight="1" thickBot="1" x14ac:dyDescent="0.25">
      <c r="A158" s="613" t="str">
        <f>OF!A145</f>
        <v>OF30</v>
      </c>
      <c r="B158" s="103" t="str">
        <f>OF!B145</f>
        <v>Important Bird Area (IBA)</v>
      </c>
      <c r="C158" s="859" t="str">
        <f>OF!C145</f>
        <v xml:space="preserve">In Google Earth, open the KMZ file that accompanies this calculator, called IBAs_Canada.  The AA is all or part of an officially designated IBA. Enter 1= yes, 0= no. </v>
      </c>
      <c r="D158" s="869">
        <f>OF!D145</f>
        <v>0</v>
      </c>
      <c r="E158" s="333"/>
      <c r="F158" s="333"/>
      <c r="G158" s="447">
        <f>D158</f>
        <v>0</v>
      </c>
      <c r="H158" s="73" t="s">
        <v>86</v>
      </c>
      <c r="I158" s="73" t="s">
        <v>1161</v>
      </c>
    </row>
    <row r="159" spans="1:10" ht="45" customHeight="1" thickBot="1" x14ac:dyDescent="0.25">
      <c r="A159" s="2666" t="str">
        <f>F!A274</f>
        <v>F58</v>
      </c>
      <c r="B159" s="2666" t="str">
        <f>F!B274</f>
        <v>Visibility</v>
      </c>
      <c r="C159" s="582" t="str">
        <f>F!C274</f>
        <v>The maximum percentage of the wetland that is visible from the best vantage point on public roads, public parking lots, public buildings, or public maintained trails that intersect, adjoin, or are within 100 m of the AA (select one) is:</v>
      </c>
      <c r="D159" s="299"/>
      <c r="E159" s="618"/>
      <c r="F159" s="674"/>
      <c r="G159" s="2108">
        <f>MAX(F160:F162)/MAX(E160:E162)</f>
        <v>1</v>
      </c>
      <c r="H159" s="2669" t="s">
        <v>1471</v>
      </c>
      <c r="I159" s="2323" t="s">
        <v>980</v>
      </c>
    </row>
    <row r="160" spans="1:10" ht="15" customHeight="1" x14ac:dyDescent="0.2">
      <c r="A160" s="2666"/>
      <c r="B160" s="2666"/>
      <c r="C160" s="1348" t="str">
        <f>F!C275</f>
        <v>&lt;25%.</v>
      </c>
      <c r="D160" s="930">
        <f>F!D275</f>
        <v>0</v>
      </c>
      <c r="E160" s="618">
        <v>0</v>
      </c>
      <c r="F160" s="324">
        <f>D160*E160</f>
        <v>0</v>
      </c>
      <c r="G160" s="674"/>
      <c r="H160" s="2663"/>
      <c r="I160" s="2324"/>
    </row>
    <row r="161" spans="1:10" ht="15" customHeight="1" x14ac:dyDescent="0.2">
      <c r="A161" s="2666"/>
      <c r="B161" s="2666"/>
      <c r="C161" s="1346" t="str">
        <f>F!C276</f>
        <v>25-50%.</v>
      </c>
      <c r="D161" s="930">
        <f>F!D276</f>
        <v>0</v>
      </c>
      <c r="E161" s="618">
        <v>1</v>
      </c>
      <c r="F161" s="324">
        <f>D161*E161</f>
        <v>0</v>
      </c>
      <c r="G161" s="674"/>
      <c r="H161" s="2663"/>
      <c r="I161" s="2324"/>
    </row>
    <row r="162" spans="1:10" ht="15" customHeight="1" thickBot="1" x14ac:dyDescent="0.25">
      <c r="A162" s="2666"/>
      <c r="B162" s="2666"/>
      <c r="C162" s="1347" t="str">
        <f>F!C277</f>
        <v>&gt;50%.</v>
      </c>
      <c r="D162" s="1349">
        <f>F!D277</f>
        <v>1</v>
      </c>
      <c r="E162" s="332">
        <v>2</v>
      </c>
      <c r="F162" s="326">
        <f>D162*E162</f>
        <v>2</v>
      </c>
      <c r="G162" s="662"/>
      <c r="H162" s="2694"/>
      <c r="I162" s="2325"/>
    </row>
    <row r="163" spans="1:10" s="14" customFormat="1" ht="30" customHeight="1" thickBot="1" x14ac:dyDescent="0.25">
      <c r="A163" s="103" t="str">
        <f>F!A296</f>
        <v>F64</v>
      </c>
      <c r="B163" s="103" t="str">
        <f>F!B296</f>
        <v xml:space="preserve">Consumptive Uses (Provisioning Services)  </v>
      </c>
      <c r="C163" s="859" t="str">
        <f>F!C299</f>
        <v>Waterfowl hunting.</v>
      </c>
      <c r="D163" s="869">
        <f>F!D299</f>
        <v>0</v>
      </c>
      <c r="E163" s="333"/>
      <c r="F163" s="323"/>
      <c r="G163" s="651">
        <f>D163</f>
        <v>0</v>
      </c>
      <c r="H163" s="4" t="s">
        <v>42</v>
      </c>
      <c r="I163" s="1287" t="s">
        <v>210</v>
      </c>
      <c r="J163" s="11"/>
    </row>
    <row r="164" spans="1:10" s="11" customFormat="1" ht="21" customHeight="1" thickBot="1" x14ac:dyDescent="0.25">
      <c r="A164" s="996"/>
      <c r="B164" s="996"/>
      <c r="C164" s="996"/>
      <c r="D164" s="2767"/>
      <c r="E164" s="2767"/>
      <c r="F164" s="2767"/>
      <c r="G164" s="2767"/>
      <c r="H164" s="2767"/>
      <c r="I164" s="1435"/>
    </row>
    <row r="165" spans="1:10" ht="21" customHeight="1" x14ac:dyDescent="0.2">
      <c r="A165" s="478"/>
      <c r="B165" s="478"/>
      <c r="C165" s="1311"/>
      <c r="D165" s="2835" t="s">
        <v>613</v>
      </c>
      <c r="E165" s="2836"/>
      <c r="F165" s="2837"/>
      <c r="G165" s="1269">
        <f>AVERAGE(SatPct12,ISOwet12, MAX(SeasWpct12, PermWpct12), Depth12, DepthEven12)</f>
        <v>0.69333333333333336</v>
      </c>
      <c r="H165" s="1422" t="s">
        <v>1530</v>
      </c>
      <c r="I165" s="1423" t="s">
        <v>2146</v>
      </c>
    </row>
    <row r="166" spans="1:10" ht="21" customHeight="1" x14ac:dyDescent="0.2">
      <c r="A166" s="478"/>
      <c r="B166" s="478"/>
      <c r="C166" s="1311"/>
      <c r="D166" s="2827" t="s">
        <v>121</v>
      </c>
      <c r="E166" s="2828"/>
      <c r="F166" s="2829"/>
      <c r="G166" s="1270">
        <f>AVERAGE(Interspers12, AreaTotal12,AVERAGE(ABpct12, EmPct12))</f>
        <v>0.4</v>
      </c>
      <c r="H166" s="1543" t="s">
        <v>2366</v>
      </c>
      <c r="I166" s="1424" t="s">
        <v>2147</v>
      </c>
    </row>
    <row r="167" spans="1:10" ht="25.5" customHeight="1" x14ac:dyDescent="0.2">
      <c r="A167" s="478"/>
      <c r="B167" s="478"/>
      <c r="C167" s="478"/>
      <c r="D167" s="1360" t="s">
        <v>149</v>
      </c>
      <c r="E167" s="1953"/>
      <c r="F167" s="1954"/>
      <c r="G167" s="1270">
        <f>AVERAGE(Wettype12,Acid12,warmth12,Fringe12a, Lake12a,Gradient12, Algae12, TidalProx12,Fish12a)</f>
        <v>0.77083333333333337</v>
      </c>
      <c r="H167" s="1543" t="s">
        <v>2590</v>
      </c>
      <c r="I167" s="1424" t="s">
        <v>2148</v>
      </c>
    </row>
    <row r="168" spans="1:10" ht="28.5" customHeight="1" x14ac:dyDescent="0.2">
      <c r="A168" s="478"/>
      <c r="B168" s="478"/>
      <c r="C168" s="478"/>
      <c r="D168" s="2827" t="s">
        <v>118</v>
      </c>
      <c r="E168" s="2828"/>
      <c r="F168" s="2829"/>
      <c r="G168" s="1270">
        <f>IF((Fen_ + Marsh=0),"",AVERAGE(WetTypeDiv12,Beaver12, PondProx12,BigPondProx12))</f>
        <v>0.42499999999999999</v>
      </c>
      <c r="H168" s="1543" t="s">
        <v>2453</v>
      </c>
      <c r="I168" s="1424" t="s">
        <v>2149</v>
      </c>
    </row>
    <row r="169" spans="1:10" ht="21" customHeight="1" thickBot="1" x14ac:dyDescent="0.25">
      <c r="A169" s="478"/>
      <c r="B169" s="478"/>
      <c r="C169" s="478"/>
      <c r="D169" s="2832" t="s">
        <v>1142</v>
      </c>
      <c r="E169" s="2833"/>
      <c r="F169" s="2834"/>
      <c r="G169" s="1271">
        <f>AVERAGE(Core12a, Core12b, _BMP12,_Tox12)</f>
        <v>1</v>
      </c>
      <c r="H169" s="1425" t="s">
        <v>1043</v>
      </c>
      <c r="I169" s="1426" t="s">
        <v>2150</v>
      </c>
    </row>
    <row r="170" spans="1:10" ht="21" customHeight="1" thickBot="1" x14ac:dyDescent="0.25">
      <c r="A170" s="478"/>
      <c r="B170" s="478"/>
      <c r="C170" s="478"/>
      <c r="D170" s="2816"/>
      <c r="E170" s="2816"/>
      <c r="F170" s="2816"/>
      <c r="G170" s="2816"/>
      <c r="H170" s="2785"/>
      <c r="I170" s="1431"/>
    </row>
    <row r="171" spans="1:10" ht="52.5" customHeight="1" thickBot="1" x14ac:dyDescent="0.25">
      <c r="A171" s="2785"/>
      <c r="B171" s="2815"/>
      <c r="C171" s="2557" t="s">
        <v>56</v>
      </c>
      <c r="D171" s="2558"/>
      <c r="E171" s="2559"/>
      <c r="F171" s="1453" t="s">
        <v>52</v>
      </c>
      <c r="G171" s="1272">
        <f>IF((AllSat1=1),0,IF((TooSmall=1),0,IF((TooSteep=1),0,10*(AVERAGE(Lscape12,Stress12,Produc12)+2*MAX(Mudflat12,AVERAGE(Struc12,Hydro12)))/3)))</f>
        <v>7.439814814814814</v>
      </c>
      <c r="H171" s="2525" t="s">
        <v>2454</v>
      </c>
      <c r="I171" s="2526"/>
    </row>
    <row r="172" spans="1:10" ht="30" customHeight="1" thickBot="1" x14ac:dyDescent="0.25">
      <c r="A172" s="2785"/>
      <c r="B172" s="2815"/>
      <c r="C172" s="2557" t="s">
        <v>1912</v>
      </c>
      <c r="D172" s="2558"/>
      <c r="E172" s="2559"/>
      <c r="F172" s="1453" t="s">
        <v>2219</v>
      </c>
      <c r="G172" s="1279">
        <f>10*(IF((Rare12=1),1, IF((IBird12v=1),1, MAX(HerbUniq12,DistPond12,AVERAGE(DuckHunt,PopCtr12,Visib12)))))</f>
        <v>10</v>
      </c>
      <c r="H172" s="2525" t="s">
        <v>2455</v>
      </c>
      <c r="I172" s="2526"/>
    </row>
    <row r="173" spans="1:10" ht="21" customHeight="1" thickBot="1" x14ac:dyDescent="0.25">
      <c r="A173" s="2785"/>
      <c r="B173" s="2785"/>
      <c r="C173" s="2785"/>
      <c r="D173" s="2785"/>
      <c r="E173" s="2785"/>
      <c r="F173" s="2785"/>
      <c r="G173" s="2785"/>
      <c r="H173" s="2785"/>
    </row>
    <row r="174" spans="1:10" ht="21" customHeight="1" thickBot="1" x14ac:dyDescent="0.3">
      <c r="A174" s="8"/>
      <c r="B174" s="8"/>
      <c r="C174" s="8"/>
      <c r="D174" s="8"/>
      <c r="E174" s="8"/>
      <c r="F174" s="8"/>
      <c r="G174" s="997"/>
      <c r="H174" s="2830" t="s">
        <v>669</v>
      </c>
      <c r="I174" s="2831"/>
    </row>
    <row r="175" spans="1:10" ht="27" customHeight="1" x14ac:dyDescent="0.2">
      <c r="A175" s="8"/>
      <c r="B175" s="8"/>
      <c r="C175" s="8"/>
      <c r="D175" s="8"/>
      <c r="E175" s="8"/>
      <c r="F175" s="8"/>
      <c r="G175" s="8"/>
      <c r="H175" s="2727" t="s">
        <v>1032</v>
      </c>
      <c r="I175" s="2728"/>
    </row>
    <row r="176" spans="1:10" ht="27.75" customHeight="1" x14ac:dyDescent="0.2">
      <c r="A176" s="8"/>
      <c r="B176" s="8"/>
      <c r="C176" s="8"/>
      <c r="D176" s="8"/>
      <c r="E176" s="8"/>
      <c r="F176" s="8"/>
      <c r="G176" s="8"/>
      <c r="H176" s="2531" t="s">
        <v>858</v>
      </c>
      <c r="I176" s="2532"/>
    </row>
    <row r="177" spans="1:41" ht="42" customHeight="1" x14ac:dyDescent="0.2">
      <c r="A177" s="8"/>
      <c r="B177" s="8"/>
      <c r="C177" s="8"/>
      <c r="D177" s="8"/>
      <c r="E177" s="8"/>
      <c r="F177" s="8"/>
      <c r="G177" s="8"/>
      <c r="H177" s="2537" t="s">
        <v>859</v>
      </c>
      <c r="I177" s="2538"/>
    </row>
    <row r="178" spans="1:41" ht="27" customHeight="1" x14ac:dyDescent="0.2">
      <c r="A178" s="8"/>
      <c r="B178" s="8"/>
      <c r="C178" s="8"/>
      <c r="D178" s="8"/>
      <c r="E178" s="8"/>
      <c r="F178" s="8"/>
      <c r="G178" s="8"/>
      <c r="H178" s="2531" t="s">
        <v>860</v>
      </c>
      <c r="I178" s="2532"/>
    </row>
    <row r="179" spans="1:41" ht="27" customHeight="1" x14ac:dyDescent="0.2">
      <c r="A179" s="8"/>
      <c r="B179" s="8"/>
      <c r="C179" s="8"/>
      <c r="D179" s="8"/>
      <c r="E179" s="8"/>
      <c r="F179" s="8"/>
      <c r="G179" s="8"/>
      <c r="H179" s="2645" t="s">
        <v>2604</v>
      </c>
      <c r="I179" s="2817"/>
      <c r="J179" s="1928"/>
      <c r="K179" s="1928"/>
      <c r="L179" s="1928"/>
      <c r="M179" s="1928"/>
      <c r="N179" s="1928"/>
      <c r="O179" s="1928"/>
      <c r="P179" s="1928"/>
      <c r="Q179" s="1928"/>
      <c r="R179" s="1928"/>
      <c r="S179" s="1928"/>
      <c r="T179" s="1928"/>
      <c r="U179" s="1928"/>
      <c r="V179" s="1928"/>
      <c r="W179" s="1928"/>
      <c r="X179" s="1928"/>
      <c r="Y179" s="1928"/>
      <c r="Z179" s="1928"/>
      <c r="AA179" s="1928"/>
      <c r="AB179" s="1928"/>
      <c r="AC179" s="1928"/>
      <c r="AD179" s="1928"/>
      <c r="AE179" s="1928"/>
      <c r="AF179" s="1928"/>
      <c r="AG179" s="1928"/>
      <c r="AH179" s="1928"/>
      <c r="AI179" s="1928"/>
      <c r="AJ179" s="1928"/>
      <c r="AK179" s="1928"/>
      <c r="AL179" s="1928"/>
      <c r="AM179" s="1928"/>
      <c r="AN179" s="1928"/>
      <c r="AO179" s="1928"/>
    </row>
    <row r="180" spans="1:41" ht="27" customHeight="1" x14ac:dyDescent="0.2">
      <c r="A180" s="8"/>
      <c r="B180" s="8"/>
      <c r="C180" s="8"/>
      <c r="D180" s="8"/>
      <c r="E180" s="8"/>
      <c r="F180" s="8"/>
      <c r="G180" s="8"/>
      <c r="H180" s="2531" t="s">
        <v>1034</v>
      </c>
      <c r="I180" s="2532"/>
    </row>
    <row r="181" spans="1:41" ht="27" customHeight="1" x14ac:dyDescent="0.2">
      <c r="A181" s="8"/>
      <c r="B181" s="8"/>
      <c r="C181" s="8"/>
      <c r="D181" s="8"/>
      <c r="E181" s="8"/>
      <c r="F181" s="8"/>
      <c r="G181" s="8"/>
      <c r="H181" s="2531" t="s">
        <v>861</v>
      </c>
      <c r="I181" s="2532"/>
    </row>
    <row r="182" spans="1:41" ht="42" customHeight="1" x14ac:dyDescent="0.2">
      <c r="A182" s="8"/>
      <c r="B182" s="8"/>
      <c r="C182" s="8"/>
      <c r="D182" s="8"/>
      <c r="E182" s="8"/>
      <c r="F182" s="8"/>
      <c r="G182" s="8"/>
      <c r="H182" s="2531" t="s">
        <v>1750</v>
      </c>
      <c r="I182" s="2532"/>
    </row>
    <row r="183" spans="1:41" ht="27" customHeight="1" x14ac:dyDescent="0.2">
      <c r="A183" s="8"/>
      <c r="B183" s="8"/>
      <c r="C183" s="8"/>
      <c r="D183" s="8"/>
      <c r="E183" s="8"/>
      <c r="F183" s="8"/>
      <c r="G183" s="8"/>
      <c r="H183" s="2537" t="s">
        <v>862</v>
      </c>
      <c r="I183" s="2538"/>
    </row>
    <row r="184" spans="1:41" ht="27" customHeight="1" x14ac:dyDescent="0.2">
      <c r="A184" s="8"/>
      <c r="B184" s="8"/>
      <c r="C184" s="8"/>
      <c r="D184" s="8"/>
      <c r="E184" s="8"/>
      <c r="F184" s="8"/>
      <c r="G184" s="8"/>
      <c r="H184" s="2701" t="s">
        <v>1104</v>
      </c>
      <c r="I184" s="2702"/>
    </row>
    <row r="185" spans="1:41" ht="42" customHeight="1" x14ac:dyDescent="0.2">
      <c r="A185" s="8"/>
      <c r="B185" s="8"/>
      <c r="C185" s="8"/>
      <c r="D185" s="8"/>
      <c r="E185" s="8"/>
      <c r="F185" s="8"/>
      <c r="G185" s="8"/>
      <c r="H185" s="2701" t="s">
        <v>1105</v>
      </c>
      <c r="I185" s="2702"/>
    </row>
    <row r="186" spans="1:41" ht="27" customHeight="1" x14ac:dyDescent="0.2">
      <c r="A186" s="8"/>
      <c r="B186" s="8"/>
      <c r="C186" s="8"/>
      <c r="D186" s="8"/>
      <c r="E186" s="8"/>
      <c r="F186" s="8"/>
      <c r="G186" s="8"/>
      <c r="H186" s="2531" t="s">
        <v>863</v>
      </c>
      <c r="I186" s="2532"/>
    </row>
    <row r="187" spans="1:41" ht="27" customHeight="1" thickBot="1" x14ac:dyDescent="0.25">
      <c r="A187" s="8"/>
      <c r="B187" s="8"/>
      <c r="C187" s="8"/>
      <c r="D187" s="8"/>
      <c r="E187" s="8"/>
      <c r="F187" s="8"/>
      <c r="G187" s="8"/>
      <c r="H187" s="2570" t="s">
        <v>864</v>
      </c>
      <c r="I187" s="2571"/>
    </row>
    <row r="188" spans="1:41" x14ac:dyDescent="0.2">
      <c r="A188" s="8"/>
      <c r="B188" s="8"/>
      <c r="C188" s="8"/>
      <c r="D188" s="8"/>
      <c r="E188" s="8"/>
      <c r="F188" s="8"/>
      <c r="G188" s="8"/>
      <c r="H188" s="975"/>
    </row>
    <row r="189" spans="1:41" x14ac:dyDescent="0.2">
      <c r="A189" s="8"/>
      <c r="B189" s="3"/>
      <c r="C189" s="12"/>
      <c r="D189" s="659"/>
      <c r="E189" s="589"/>
      <c r="F189" s="589"/>
      <c r="G189" s="652"/>
      <c r="H189" s="1080"/>
    </row>
    <row r="190" spans="1:41" x14ac:dyDescent="0.2">
      <c r="A190" s="8"/>
      <c r="B190" s="3"/>
      <c r="C190" s="12"/>
      <c r="D190" s="659"/>
      <c r="E190" s="589"/>
      <c r="F190" s="589"/>
      <c r="G190" s="652"/>
      <c r="H190" s="1094"/>
    </row>
    <row r="191" spans="1:41" ht="13.5" thickBot="1" x14ac:dyDescent="0.25">
      <c r="A191" s="8"/>
      <c r="B191" s="3"/>
      <c r="C191" s="12"/>
      <c r="D191" s="659"/>
      <c r="E191" s="589"/>
      <c r="F191" s="589"/>
      <c r="G191" s="652"/>
      <c r="H191" s="1094"/>
    </row>
    <row r="192" spans="1:41" ht="13.5" thickBot="1" x14ac:dyDescent="0.25">
      <c r="A192" s="8"/>
      <c r="B192" s="3"/>
      <c r="C192" s="1340"/>
      <c r="D192" s="659"/>
      <c r="E192" s="589"/>
      <c r="F192" s="589"/>
      <c r="G192" s="652"/>
      <c r="H192" s="1094"/>
    </row>
    <row r="193" spans="1:8" x14ac:dyDescent="0.2">
      <c r="A193" s="8"/>
      <c r="B193" s="3"/>
      <c r="C193" s="12"/>
      <c r="D193" s="659"/>
      <c r="E193" s="589"/>
      <c r="F193" s="589"/>
      <c r="G193" s="652"/>
      <c r="H193" s="1094"/>
    </row>
    <row r="194" spans="1:8" x14ac:dyDescent="0.2">
      <c r="A194" s="8"/>
      <c r="B194" s="3"/>
      <c r="C194" s="12"/>
      <c r="D194" s="659"/>
      <c r="E194" s="589"/>
      <c r="F194" s="589"/>
      <c r="G194" s="652"/>
      <c r="H194" s="1094"/>
    </row>
    <row r="195" spans="1:8" x14ac:dyDescent="0.2">
      <c r="A195" s="8"/>
      <c r="B195" s="3"/>
      <c r="C195" s="12"/>
      <c r="D195" s="659"/>
      <c r="E195" s="589"/>
      <c r="F195" s="589"/>
      <c r="G195" s="652"/>
      <c r="H195" s="1094"/>
    </row>
    <row r="196" spans="1:8" x14ac:dyDescent="0.2">
      <c r="A196" s="8"/>
      <c r="B196" s="3"/>
      <c r="C196" s="12"/>
      <c r="D196" s="659"/>
      <c r="E196" s="589"/>
      <c r="F196" s="589"/>
      <c r="G196" s="652"/>
      <c r="H196" s="1094"/>
    </row>
    <row r="197" spans="1:8" x14ac:dyDescent="0.2">
      <c r="A197" s="8"/>
      <c r="B197" s="3"/>
      <c r="C197" s="12"/>
      <c r="D197" s="659"/>
      <c r="E197" s="589"/>
      <c r="F197" s="589"/>
      <c r="G197" s="652"/>
      <c r="H197" s="1094"/>
    </row>
    <row r="198" spans="1:8" x14ac:dyDescent="0.2">
      <c r="A198" s="8"/>
      <c r="B198" s="3"/>
      <c r="C198" s="12"/>
      <c r="D198" s="659"/>
      <c r="E198" s="589"/>
      <c r="F198" s="589"/>
      <c r="G198" s="652"/>
      <c r="H198" s="1094"/>
    </row>
    <row r="199" spans="1:8" x14ac:dyDescent="0.2">
      <c r="A199" s="8"/>
      <c r="B199" s="3"/>
      <c r="C199" s="12"/>
      <c r="D199" s="659"/>
      <c r="E199" s="589"/>
      <c r="F199" s="589"/>
      <c r="G199" s="652"/>
      <c r="H199" s="1094"/>
    </row>
    <row r="200" spans="1:8" x14ac:dyDescent="0.2">
      <c r="A200" s="8"/>
      <c r="B200" s="3"/>
      <c r="C200" s="12"/>
      <c r="D200" s="659"/>
      <c r="E200" s="589"/>
      <c r="F200" s="589"/>
      <c r="G200" s="652"/>
      <c r="H200" s="1094"/>
    </row>
    <row r="201" spans="1:8" x14ac:dyDescent="0.2">
      <c r="A201" s="8"/>
      <c r="B201" s="3"/>
      <c r="C201" s="12"/>
      <c r="D201" s="659"/>
      <c r="E201" s="589"/>
      <c r="F201" s="589"/>
      <c r="G201" s="652"/>
      <c r="H201" s="1094"/>
    </row>
    <row r="202" spans="1:8" x14ac:dyDescent="0.2">
      <c r="A202" s="8"/>
      <c r="B202" s="3"/>
      <c r="C202" s="12"/>
      <c r="D202" s="659"/>
      <c r="E202" s="589"/>
      <c r="F202" s="589"/>
      <c r="G202" s="652"/>
      <c r="H202" s="1094"/>
    </row>
    <row r="203" spans="1:8" x14ac:dyDescent="0.2">
      <c r="A203" s="8"/>
      <c r="B203" s="3"/>
      <c r="C203" s="12"/>
      <c r="D203" s="659"/>
      <c r="E203" s="589"/>
      <c r="F203" s="589"/>
      <c r="G203" s="652"/>
      <c r="H203" s="1094"/>
    </row>
    <row r="204" spans="1:8" x14ac:dyDescent="0.2">
      <c r="A204" s="8"/>
      <c r="B204" s="3"/>
      <c r="C204" s="12"/>
      <c r="D204" s="659"/>
      <c r="E204" s="589"/>
      <c r="F204" s="589"/>
      <c r="G204" s="652"/>
      <c r="H204" s="1094"/>
    </row>
    <row r="205" spans="1:8" x14ac:dyDescent="0.2">
      <c r="A205" s="8"/>
      <c r="B205" s="3"/>
      <c r="C205" s="12"/>
      <c r="D205" s="659"/>
      <c r="E205" s="589"/>
      <c r="F205" s="589"/>
      <c r="G205" s="652"/>
      <c r="H205" s="1094"/>
    </row>
    <row r="206" spans="1:8" x14ac:dyDescent="0.2">
      <c r="A206" s="8"/>
      <c r="B206" s="3"/>
      <c r="C206" s="12"/>
      <c r="D206" s="659"/>
      <c r="E206" s="589"/>
      <c r="F206" s="589"/>
      <c r="G206" s="652"/>
      <c r="H206" s="1094"/>
    </row>
    <row r="207" spans="1:8" x14ac:dyDescent="0.2">
      <c r="A207" s="8"/>
      <c r="B207" s="3"/>
      <c r="C207" s="12"/>
      <c r="D207" s="659"/>
      <c r="E207" s="589"/>
      <c r="F207" s="589"/>
      <c r="G207" s="652"/>
      <c r="H207" s="1094"/>
    </row>
    <row r="208" spans="1:8" x14ac:dyDescent="0.2">
      <c r="A208" s="8"/>
      <c r="B208" s="3"/>
      <c r="C208" s="12"/>
      <c r="D208" s="659"/>
      <c r="E208" s="589"/>
      <c r="F208" s="589"/>
      <c r="G208" s="652"/>
      <c r="H208" s="1094"/>
    </row>
    <row r="209" spans="1:8" x14ac:dyDescent="0.2">
      <c r="A209" s="8"/>
      <c r="B209" s="3"/>
      <c r="C209" s="12"/>
      <c r="D209" s="659"/>
      <c r="E209" s="589"/>
      <c r="F209" s="589"/>
      <c r="G209" s="652"/>
      <c r="H209" s="1094"/>
    </row>
    <row r="210" spans="1:8" x14ac:dyDescent="0.2">
      <c r="A210" s="8"/>
      <c r="B210" s="3"/>
      <c r="C210" s="12"/>
      <c r="D210" s="659"/>
      <c r="E210" s="589"/>
      <c r="F210" s="589"/>
      <c r="G210" s="652"/>
      <c r="H210" s="20"/>
    </row>
    <row r="211" spans="1:8" x14ac:dyDescent="0.2">
      <c r="A211" s="8"/>
      <c r="B211" s="3"/>
      <c r="C211" s="12"/>
      <c r="D211" s="659"/>
      <c r="E211" s="589"/>
      <c r="F211" s="589"/>
      <c r="G211" s="652"/>
      <c r="H211" s="20"/>
    </row>
    <row r="212" spans="1:8" x14ac:dyDescent="0.2">
      <c r="A212" s="8"/>
      <c r="B212" s="3"/>
      <c r="C212" s="12"/>
      <c r="D212" s="659"/>
      <c r="E212" s="589"/>
      <c r="F212" s="589"/>
      <c r="G212" s="652"/>
      <c r="H212" s="20"/>
    </row>
    <row r="213" spans="1:8" x14ac:dyDescent="0.2">
      <c r="A213" s="8"/>
      <c r="B213" s="3"/>
      <c r="C213" s="12"/>
      <c r="D213" s="659"/>
      <c r="E213" s="589"/>
      <c r="F213" s="589"/>
      <c r="G213" s="652"/>
      <c r="H213" s="20"/>
    </row>
    <row r="214" spans="1:8" x14ac:dyDescent="0.2">
      <c r="A214" s="8"/>
      <c r="B214" s="3"/>
      <c r="C214" s="12"/>
      <c r="D214" s="659"/>
      <c r="E214" s="589"/>
      <c r="F214" s="589"/>
      <c r="G214" s="652"/>
      <c r="H214" s="20"/>
    </row>
    <row r="215" spans="1:8" x14ac:dyDescent="0.2">
      <c r="A215" s="8"/>
      <c r="B215" s="3"/>
      <c r="C215" s="12"/>
      <c r="D215" s="659"/>
      <c r="E215" s="589"/>
      <c r="F215" s="589"/>
      <c r="G215" s="652"/>
      <c r="H215" s="20"/>
    </row>
    <row r="216" spans="1:8" x14ac:dyDescent="0.2">
      <c r="A216" s="8"/>
      <c r="B216" s="3"/>
      <c r="C216" s="12"/>
      <c r="D216" s="659"/>
      <c r="E216" s="589"/>
      <c r="F216" s="589"/>
      <c r="G216" s="652"/>
      <c r="H216" s="20"/>
    </row>
    <row r="217" spans="1:8" x14ac:dyDescent="0.2">
      <c r="A217" s="8"/>
      <c r="B217" s="3"/>
      <c r="C217" s="12"/>
      <c r="D217" s="659"/>
      <c r="E217" s="589"/>
      <c r="F217" s="589"/>
      <c r="G217" s="652"/>
      <c r="H217" s="20"/>
    </row>
    <row r="218" spans="1:8" x14ac:dyDescent="0.2">
      <c r="A218" s="8"/>
      <c r="B218" s="3"/>
      <c r="C218" s="12"/>
      <c r="D218" s="659"/>
      <c r="E218" s="589"/>
      <c r="F218" s="589"/>
      <c r="G218" s="652"/>
      <c r="H218" s="20"/>
    </row>
    <row r="219" spans="1:8" x14ac:dyDescent="0.2">
      <c r="A219" s="8"/>
      <c r="B219" s="3"/>
      <c r="C219" s="12"/>
      <c r="D219" s="659"/>
      <c r="E219" s="589"/>
      <c r="F219" s="589"/>
      <c r="G219" s="652"/>
      <c r="H219" s="20"/>
    </row>
    <row r="220" spans="1:8" x14ac:dyDescent="0.2">
      <c r="A220" s="8"/>
      <c r="B220" s="3"/>
      <c r="C220" s="12"/>
      <c r="D220" s="659"/>
      <c r="E220" s="589"/>
      <c r="F220" s="589"/>
      <c r="G220" s="652"/>
      <c r="H220" s="20"/>
    </row>
    <row r="221" spans="1:8" x14ac:dyDescent="0.2">
      <c r="A221" s="8"/>
      <c r="B221" s="3"/>
      <c r="C221" s="12"/>
      <c r="D221" s="659"/>
      <c r="E221" s="589"/>
      <c r="F221" s="589"/>
      <c r="G221" s="652"/>
      <c r="H221" s="20"/>
    </row>
    <row r="222" spans="1:8" x14ac:dyDescent="0.2">
      <c r="A222" s="8"/>
      <c r="B222" s="3"/>
      <c r="C222" s="12"/>
      <c r="D222" s="659"/>
      <c r="E222" s="589"/>
      <c r="F222" s="589"/>
      <c r="G222" s="652"/>
      <c r="H222" s="20"/>
    </row>
    <row r="223" spans="1:8" x14ac:dyDescent="0.2">
      <c r="A223" s="8"/>
      <c r="B223" s="3"/>
      <c r="C223" s="12"/>
      <c r="D223" s="659"/>
      <c r="E223" s="589"/>
      <c r="F223" s="589"/>
      <c r="G223" s="652"/>
      <c r="H223" s="20"/>
    </row>
    <row r="224" spans="1:8" x14ac:dyDescent="0.2">
      <c r="A224" s="8"/>
      <c r="B224" s="3"/>
      <c r="C224" s="12"/>
      <c r="D224" s="659"/>
      <c r="E224" s="589"/>
      <c r="F224" s="589"/>
      <c r="G224" s="652"/>
      <c r="H224" s="20"/>
    </row>
    <row r="225" spans="1:8" x14ac:dyDescent="0.2">
      <c r="A225" s="8"/>
      <c r="B225" s="3"/>
      <c r="C225" s="12"/>
      <c r="D225" s="659"/>
      <c r="E225" s="589"/>
      <c r="F225" s="589"/>
      <c r="G225" s="652"/>
      <c r="H225" s="20"/>
    </row>
    <row r="226" spans="1:8" x14ac:dyDescent="0.2">
      <c r="A226" s="8"/>
      <c r="B226" s="3"/>
      <c r="C226" s="12"/>
      <c r="D226" s="659"/>
      <c r="E226" s="589"/>
      <c r="F226" s="589"/>
      <c r="G226" s="652"/>
      <c r="H226" s="20"/>
    </row>
    <row r="227" spans="1:8" x14ac:dyDescent="0.2">
      <c r="A227" s="8"/>
      <c r="B227" s="3"/>
      <c r="C227" s="12"/>
      <c r="D227" s="659"/>
      <c r="E227" s="589"/>
      <c r="F227" s="589"/>
      <c r="G227" s="652"/>
      <c r="H227" s="20"/>
    </row>
    <row r="228" spans="1:8" x14ac:dyDescent="0.2">
      <c r="A228" s="8"/>
      <c r="B228" s="3"/>
      <c r="C228" s="12"/>
      <c r="D228" s="659"/>
      <c r="E228" s="589"/>
      <c r="F228" s="589"/>
      <c r="G228" s="652"/>
      <c r="H228" s="20"/>
    </row>
    <row r="229" spans="1:8" x14ac:dyDescent="0.2">
      <c r="A229" s="8"/>
      <c r="B229" s="3"/>
      <c r="C229" s="12"/>
      <c r="D229" s="659"/>
      <c r="E229" s="589"/>
      <c r="F229" s="589"/>
      <c r="G229" s="652"/>
      <c r="H229" s="20"/>
    </row>
    <row r="230" spans="1:8" x14ac:dyDescent="0.2">
      <c r="A230" s="8"/>
      <c r="B230" s="3"/>
      <c r="C230" s="12"/>
      <c r="D230" s="659"/>
      <c r="E230" s="589"/>
      <c r="F230" s="589"/>
      <c r="G230" s="652"/>
      <c r="H230" s="20"/>
    </row>
    <row r="231" spans="1:8" x14ac:dyDescent="0.2">
      <c r="A231" s="8"/>
      <c r="B231" s="3"/>
      <c r="C231" s="12"/>
      <c r="D231" s="659"/>
      <c r="E231" s="589"/>
      <c r="F231" s="589"/>
      <c r="G231" s="652"/>
      <c r="H231" s="20"/>
    </row>
    <row r="232" spans="1:8" x14ac:dyDescent="0.2">
      <c r="A232" s="8"/>
      <c r="B232" s="3"/>
      <c r="C232" s="12"/>
      <c r="D232" s="659"/>
      <c r="E232" s="589"/>
      <c r="F232" s="589"/>
      <c r="G232" s="652"/>
      <c r="H232" s="20"/>
    </row>
    <row r="233" spans="1:8" x14ac:dyDescent="0.2">
      <c r="A233" s="8"/>
      <c r="B233" s="3"/>
      <c r="C233" s="12"/>
      <c r="D233" s="659"/>
      <c r="E233" s="589"/>
      <c r="F233" s="589"/>
      <c r="G233" s="652"/>
      <c r="H233" s="20"/>
    </row>
    <row r="234" spans="1:8" x14ac:dyDescent="0.2">
      <c r="A234" s="8"/>
      <c r="B234" s="3"/>
      <c r="C234" s="12"/>
      <c r="D234" s="659"/>
      <c r="E234" s="589"/>
      <c r="F234" s="589"/>
      <c r="G234" s="652"/>
      <c r="H234" s="20"/>
    </row>
    <row r="235" spans="1:8" x14ac:dyDescent="0.2">
      <c r="A235" s="8"/>
      <c r="B235" s="3"/>
      <c r="C235" s="12"/>
      <c r="D235" s="659"/>
      <c r="E235" s="589"/>
      <c r="F235" s="589"/>
      <c r="G235" s="652"/>
      <c r="H235" s="20"/>
    </row>
    <row r="236" spans="1:8" x14ac:dyDescent="0.2">
      <c r="A236" s="8"/>
      <c r="B236" s="3"/>
      <c r="C236" s="12"/>
      <c r="D236" s="659"/>
      <c r="E236" s="589"/>
      <c r="F236" s="589"/>
      <c r="G236" s="652"/>
      <c r="H236" s="20"/>
    </row>
    <row r="237" spans="1:8" x14ac:dyDescent="0.2">
      <c r="A237" s="8"/>
      <c r="B237" s="3"/>
      <c r="C237" s="12"/>
      <c r="D237" s="659"/>
      <c r="E237" s="589"/>
      <c r="F237" s="589"/>
      <c r="G237" s="652"/>
      <c r="H237" s="20"/>
    </row>
    <row r="238" spans="1:8" x14ac:dyDescent="0.2">
      <c r="A238" s="8"/>
      <c r="B238" s="3"/>
      <c r="C238" s="12"/>
      <c r="D238" s="659"/>
      <c r="E238" s="589"/>
      <c r="F238" s="589"/>
      <c r="G238" s="652"/>
      <c r="H238" s="20"/>
    </row>
    <row r="239" spans="1:8" x14ac:dyDescent="0.2">
      <c r="A239" s="8"/>
      <c r="B239" s="3"/>
      <c r="C239" s="12"/>
      <c r="D239" s="659"/>
      <c r="E239" s="589"/>
      <c r="F239" s="589"/>
      <c r="G239" s="652"/>
      <c r="H239" s="20"/>
    </row>
    <row r="240" spans="1:8" x14ac:dyDescent="0.2">
      <c r="A240" s="8"/>
      <c r="B240" s="3"/>
      <c r="C240" s="12"/>
      <c r="D240" s="659"/>
      <c r="E240" s="589"/>
      <c r="F240" s="589"/>
      <c r="G240" s="652"/>
      <c r="H240" s="20"/>
    </row>
    <row r="241" spans="1:8" x14ac:dyDescent="0.2">
      <c r="A241" s="8"/>
      <c r="B241" s="3"/>
      <c r="C241" s="12"/>
      <c r="D241" s="659"/>
      <c r="E241" s="589"/>
      <c r="F241" s="589"/>
      <c r="G241" s="652"/>
      <c r="H241" s="20"/>
    </row>
    <row r="242" spans="1:8" x14ac:dyDescent="0.2">
      <c r="A242" s="8"/>
      <c r="B242" s="3"/>
      <c r="C242" s="12"/>
      <c r="D242" s="659"/>
      <c r="E242" s="589"/>
      <c r="F242" s="589"/>
      <c r="G242" s="652"/>
      <c r="H242" s="20"/>
    </row>
    <row r="243" spans="1:8" x14ac:dyDescent="0.2">
      <c r="A243" s="8"/>
      <c r="B243" s="3"/>
      <c r="C243" s="12"/>
      <c r="D243" s="659"/>
      <c r="E243" s="589"/>
      <c r="F243" s="589"/>
      <c r="G243" s="652"/>
      <c r="H243" s="20"/>
    </row>
    <row r="244" spans="1:8" x14ac:dyDescent="0.2">
      <c r="A244" s="8"/>
      <c r="B244" s="3"/>
      <c r="C244" s="12"/>
      <c r="D244" s="659"/>
      <c r="E244" s="589"/>
      <c r="F244" s="589"/>
      <c r="G244" s="652"/>
      <c r="H244" s="20"/>
    </row>
    <row r="245" spans="1:8" x14ac:dyDescent="0.2">
      <c r="A245" s="8"/>
      <c r="B245" s="3"/>
      <c r="C245" s="12"/>
      <c r="D245" s="659"/>
      <c r="E245" s="589"/>
      <c r="F245" s="589"/>
      <c r="G245" s="652"/>
      <c r="H245" s="20"/>
    </row>
    <row r="246" spans="1:8" x14ac:dyDescent="0.2">
      <c r="A246" s="8"/>
      <c r="B246" s="3"/>
      <c r="C246" s="12"/>
      <c r="D246" s="659"/>
      <c r="E246" s="589"/>
      <c r="F246" s="589"/>
      <c r="G246" s="652"/>
      <c r="H246" s="20"/>
    </row>
    <row r="247" spans="1:8" x14ac:dyDescent="0.2">
      <c r="A247" s="8"/>
      <c r="B247" s="3"/>
      <c r="C247" s="12"/>
      <c r="D247" s="659"/>
      <c r="E247" s="589"/>
      <c r="F247" s="589"/>
      <c r="G247" s="652"/>
      <c r="H247" s="20"/>
    </row>
    <row r="248" spans="1:8" x14ac:dyDescent="0.2">
      <c r="A248" s="8"/>
      <c r="B248" s="3"/>
      <c r="C248" s="12"/>
      <c r="D248" s="659"/>
      <c r="E248" s="659"/>
      <c r="F248" s="659"/>
      <c r="G248" s="653"/>
      <c r="H248" s="20"/>
    </row>
    <row r="249" spans="1:8" x14ac:dyDescent="0.2">
      <c r="A249" s="8"/>
      <c r="B249" s="3"/>
      <c r="C249" s="12"/>
      <c r="D249" s="659"/>
      <c r="E249" s="659"/>
      <c r="F249" s="659"/>
      <c r="G249" s="653"/>
      <c r="H249" s="20"/>
    </row>
    <row r="250" spans="1:8" x14ac:dyDescent="0.2">
      <c r="A250" s="8"/>
      <c r="B250" s="3"/>
      <c r="C250" s="12"/>
      <c r="D250" s="659"/>
      <c r="E250" s="659"/>
      <c r="F250" s="659"/>
      <c r="G250" s="653"/>
      <c r="H250" s="20"/>
    </row>
    <row r="251" spans="1:8" x14ac:dyDescent="0.2">
      <c r="A251" s="8"/>
      <c r="B251" s="3"/>
      <c r="C251" s="12"/>
      <c r="D251" s="659"/>
      <c r="E251" s="659"/>
      <c r="F251" s="659"/>
      <c r="G251" s="653"/>
      <c r="H251" s="20"/>
    </row>
    <row r="252" spans="1:8" x14ac:dyDescent="0.2">
      <c r="A252" s="8"/>
      <c r="B252" s="3"/>
      <c r="C252" s="12"/>
      <c r="D252" s="659"/>
      <c r="E252" s="659"/>
      <c r="F252" s="659"/>
      <c r="G252" s="653"/>
      <c r="H252" s="20"/>
    </row>
    <row r="253" spans="1:8" x14ac:dyDescent="0.2">
      <c r="A253" s="8"/>
      <c r="B253" s="3"/>
      <c r="C253" s="12"/>
      <c r="D253" s="659"/>
      <c r="E253" s="659"/>
      <c r="F253" s="659"/>
      <c r="G253" s="653"/>
      <c r="H253" s="20"/>
    </row>
    <row r="254" spans="1:8" x14ac:dyDescent="0.2">
      <c r="A254" s="8"/>
      <c r="B254" s="3"/>
      <c r="C254" s="12"/>
      <c r="D254" s="659"/>
      <c r="E254" s="659"/>
      <c r="F254" s="659"/>
      <c r="G254" s="653"/>
      <c r="H254" s="20"/>
    </row>
    <row r="255" spans="1:8" x14ac:dyDescent="0.2">
      <c r="A255" s="8"/>
      <c r="B255" s="3"/>
      <c r="C255" s="12"/>
      <c r="D255" s="659"/>
      <c r="E255" s="659"/>
      <c r="F255" s="659"/>
      <c r="G255" s="653"/>
      <c r="H255" s="20"/>
    </row>
    <row r="256" spans="1:8" x14ac:dyDescent="0.2">
      <c r="A256" s="8"/>
      <c r="B256" s="3"/>
      <c r="C256" s="12"/>
      <c r="D256" s="659"/>
      <c r="E256" s="659"/>
      <c r="F256" s="659"/>
      <c r="G256" s="653"/>
      <c r="H256" s="20"/>
    </row>
    <row r="257" spans="1:8" x14ac:dyDescent="0.2">
      <c r="A257" s="8"/>
      <c r="B257" s="3"/>
      <c r="C257" s="12"/>
      <c r="D257" s="659"/>
      <c r="E257" s="659"/>
      <c r="F257" s="659"/>
      <c r="G257" s="653"/>
      <c r="H257" s="20"/>
    </row>
    <row r="258" spans="1:8" x14ac:dyDescent="0.2">
      <c r="A258" s="8"/>
      <c r="B258" s="3"/>
      <c r="C258" s="12"/>
      <c r="D258" s="659"/>
      <c r="E258" s="659"/>
      <c r="F258" s="659"/>
      <c r="G258" s="653"/>
      <c r="H258" s="20"/>
    </row>
    <row r="259" spans="1:8" x14ac:dyDescent="0.2">
      <c r="A259" s="8"/>
      <c r="B259" s="3"/>
      <c r="C259" s="12"/>
      <c r="D259" s="659"/>
      <c r="E259" s="659"/>
      <c r="F259" s="659"/>
      <c r="G259" s="653"/>
      <c r="H259" s="20"/>
    </row>
    <row r="260" spans="1:8" x14ac:dyDescent="0.2">
      <c r="A260" s="8"/>
      <c r="B260" s="3"/>
      <c r="C260" s="12"/>
      <c r="D260" s="659"/>
      <c r="E260" s="659"/>
      <c r="F260" s="659"/>
      <c r="G260" s="653"/>
      <c r="H260" s="20"/>
    </row>
    <row r="261" spans="1:8" x14ac:dyDescent="0.2">
      <c r="A261" s="8"/>
      <c r="B261" s="3"/>
      <c r="C261" s="12"/>
      <c r="D261" s="659"/>
      <c r="E261" s="659"/>
      <c r="F261" s="659"/>
      <c r="G261" s="653"/>
      <c r="H261" s="20"/>
    </row>
    <row r="262" spans="1:8" x14ac:dyDescent="0.2">
      <c r="A262" s="8"/>
      <c r="B262" s="3"/>
      <c r="C262" s="12"/>
      <c r="D262" s="659"/>
      <c r="E262" s="659"/>
      <c r="F262" s="659"/>
      <c r="G262" s="653"/>
      <c r="H262" s="20"/>
    </row>
    <row r="263" spans="1:8" x14ac:dyDescent="0.2">
      <c r="A263" s="8"/>
      <c r="B263" s="3"/>
      <c r="C263" s="12"/>
      <c r="D263" s="659"/>
      <c r="E263" s="659"/>
      <c r="F263" s="659"/>
      <c r="G263" s="653"/>
      <c r="H263" s="20"/>
    </row>
    <row r="264" spans="1:8" x14ac:dyDescent="0.2">
      <c r="A264" s="8"/>
      <c r="B264" s="3"/>
      <c r="C264" s="12"/>
      <c r="D264" s="659"/>
      <c r="E264" s="659"/>
      <c r="F264" s="659"/>
      <c r="G264" s="653"/>
      <c r="H264" s="20"/>
    </row>
    <row r="265" spans="1:8" x14ac:dyDescent="0.2">
      <c r="A265" s="8"/>
      <c r="B265" s="3"/>
      <c r="C265" s="12"/>
      <c r="D265" s="659"/>
      <c r="E265" s="659"/>
      <c r="F265" s="659"/>
      <c r="G265" s="653"/>
      <c r="H265" s="20"/>
    </row>
    <row r="266" spans="1:8" x14ac:dyDescent="0.2">
      <c r="A266" s="8"/>
      <c r="B266" s="3"/>
      <c r="C266" s="12"/>
      <c r="D266" s="659"/>
      <c r="E266" s="659"/>
      <c r="F266" s="659"/>
      <c r="G266" s="653"/>
      <c r="H266" s="20"/>
    </row>
    <row r="267" spans="1:8" x14ac:dyDescent="0.2">
      <c r="A267" s="8"/>
      <c r="B267" s="3"/>
      <c r="C267" s="12"/>
      <c r="D267" s="659"/>
      <c r="E267" s="659"/>
      <c r="F267" s="659"/>
      <c r="G267" s="653"/>
      <c r="H267" s="20"/>
    </row>
    <row r="268" spans="1:8" x14ac:dyDescent="0.2">
      <c r="A268" s="8"/>
      <c r="B268" s="3"/>
      <c r="C268" s="12"/>
      <c r="D268" s="659"/>
      <c r="E268" s="659"/>
      <c r="F268" s="659"/>
      <c r="G268" s="653"/>
      <c r="H268" s="20"/>
    </row>
    <row r="269" spans="1:8" x14ac:dyDescent="0.2">
      <c r="A269" s="8"/>
      <c r="B269" s="3"/>
      <c r="C269" s="12"/>
      <c r="D269" s="659"/>
      <c r="E269" s="659"/>
      <c r="F269" s="659"/>
      <c r="G269" s="653"/>
      <c r="H269" s="20"/>
    </row>
    <row r="270" spans="1:8" x14ac:dyDescent="0.2">
      <c r="A270" s="8"/>
      <c r="B270" s="3"/>
      <c r="C270" s="12"/>
      <c r="D270" s="659"/>
      <c r="E270" s="659"/>
      <c r="F270" s="659"/>
      <c r="G270" s="653"/>
      <c r="H270" s="20"/>
    </row>
    <row r="271" spans="1:8" x14ac:dyDescent="0.2">
      <c r="A271" s="8"/>
      <c r="B271" s="3"/>
      <c r="C271" s="12"/>
      <c r="D271" s="659"/>
      <c r="E271" s="659"/>
      <c r="F271" s="659"/>
      <c r="G271" s="653"/>
      <c r="H271" s="20"/>
    </row>
    <row r="272" spans="1:8" x14ac:dyDescent="0.2">
      <c r="A272" s="8"/>
      <c r="B272" s="3"/>
      <c r="C272" s="12"/>
      <c r="D272" s="659"/>
      <c r="E272" s="659"/>
      <c r="F272" s="659"/>
      <c r="G272" s="653"/>
      <c r="H272" s="20"/>
    </row>
    <row r="273" spans="1:8" x14ac:dyDescent="0.2">
      <c r="A273" s="8"/>
      <c r="B273" s="3"/>
      <c r="C273" s="12"/>
      <c r="D273" s="659"/>
      <c r="E273" s="659"/>
      <c r="F273" s="659"/>
      <c r="G273" s="653"/>
      <c r="H273" s="20"/>
    </row>
    <row r="274" spans="1:8" x14ac:dyDescent="0.2">
      <c r="A274" s="8"/>
      <c r="B274" s="3"/>
      <c r="C274" s="12"/>
      <c r="D274" s="659"/>
      <c r="E274" s="659"/>
      <c r="F274" s="659"/>
      <c r="G274" s="653"/>
      <c r="H274" s="20"/>
    </row>
    <row r="275" spans="1:8" x14ac:dyDescent="0.2">
      <c r="A275" s="8"/>
      <c r="B275" s="3"/>
      <c r="C275" s="12"/>
      <c r="D275" s="659"/>
      <c r="E275" s="659"/>
      <c r="F275" s="659"/>
      <c r="G275" s="653"/>
      <c r="H275" s="20"/>
    </row>
    <row r="276" spans="1:8" x14ac:dyDescent="0.2">
      <c r="A276" s="8"/>
      <c r="B276" s="3"/>
      <c r="C276" s="12"/>
      <c r="D276" s="659"/>
      <c r="E276" s="659"/>
      <c r="F276" s="659"/>
      <c r="G276" s="653"/>
      <c r="H276" s="20"/>
    </row>
    <row r="277" spans="1:8" x14ac:dyDescent="0.2">
      <c r="A277" s="8"/>
      <c r="B277" s="3"/>
      <c r="C277" s="12"/>
      <c r="D277" s="659"/>
      <c r="E277" s="659"/>
      <c r="F277" s="659"/>
      <c r="G277" s="653"/>
      <c r="H277" s="20"/>
    </row>
    <row r="278" spans="1:8" x14ac:dyDescent="0.2">
      <c r="A278" s="8"/>
      <c r="B278" s="3"/>
      <c r="C278" s="12"/>
      <c r="D278" s="659"/>
      <c r="E278" s="659"/>
      <c r="F278" s="659"/>
      <c r="G278" s="653"/>
      <c r="H278" s="20"/>
    </row>
    <row r="279" spans="1:8" x14ac:dyDescent="0.2">
      <c r="A279" s="8"/>
      <c r="B279" s="3"/>
      <c r="C279" s="12"/>
      <c r="D279" s="659"/>
      <c r="E279" s="659"/>
      <c r="F279" s="659"/>
      <c r="G279" s="653"/>
      <c r="H279" s="20"/>
    </row>
    <row r="280" spans="1:8" x14ac:dyDescent="0.2">
      <c r="A280" s="8"/>
      <c r="B280" s="3"/>
      <c r="C280" s="12"/>
      <c r="D280" s="659"/>
      <c r="E280" s="659"/>
      <c r="F280" s="659"/>
      <c r="G280" s="653"/>
      <c r="H280" s="20"/>
    </row>
    <row r="281" spans="1:8" x14ac:dyDescent="0.2">
      <c r="A281" s="8"/>
      <c r="B281" s="3"/>
      <c r="C281" s="12"/>
      <c r="D281" s="659"/>
      <c r="E281" s="659"/>
      <c r="F281" s="659"/>
      <c r="G281" s="653"/>
      <c r="H281" s="20"/>
    </row>
    <row r="282" spans="1:8" x14ac:dyDescent="0.2">
      <c r="A282" s="8"/>
      <c r="B282" s="3"/>
      <c r="C282" s="12"/>
      <c r="D282" s="659"/>
      <c r="E282" s="659"/>
      <c r="F282" s="659"/>
      <c r="G282" s="653"/>
      <c r="H282" s="20"/>
    </row>
    <row r="283" spans="1:8" x14ac:dyDescent="0.2">
      <c r="A283" s="8"/>
      <c r="B283" s="3"/>
      <c r="C283" s="12"/>
      <c r="D283" s="659"/>
      <c r="E283" s="659"/>
      <c r="F283" s="659"/>
      <c r="G283" s="653"/>
      <c r="H283" s="20"/>
    </row>
    <row r="284" spans="1:8" x14ac:dyDescent="0.2">
      <c r="A284" s="8"/>
      <c r="B284" s="3"/>
      <c r="C284" s="12"/>
      <c r="D284" s="659"/>
      <c r="E284" s="659"/>
      <c r="F284" s="659"/>
      <c r="G284" s="653"/>
      <c r="H284" s="20"/>
    </row>
    <row r="285" spans="1:8" x14ac:dyDescent="0.2">
      <c r="A285" s="8"/>
      <c r="B285" s="3"/>
      <c r="C285" s="12"/>
      <c r="D285" s="659"/>
      <c r="E285" s="659"/>
      <c r="F285" s="659"/>
      <c r="G285" s="653"/>
      <c r="H285" s="20"/>
    </row>
    <row r="286" spans="1:8" x14ac:dyDescent="0.2">
      <c r="A286" s="8"/>
      <c r="B286" s="3"/>
      <c r="C286" s="12"/>
      <c r="D286" s="659"/>
      <c r="E286" s="659"/>
      <c r="F286" s="659"/>
      <c r="G286" s="653"/>
      <c r="H286" s="20"/>
    </row>
    <row r="287" spans="1:8" x14ac:dyDescent="0.2">
      <c r="A287" s="8"/>
      <c r="B287" s="3"/>
      <c r="C287" s="12"/>
      <c r="D287" s="659"/>
      <c r="E287" s="659"/>
      <c r="F287" s="659"/>
      <c r="G287" s="653"/>
      <c r="H287" s="20"/>
    </row>
    <row r="288" spans="1:8" x14ac:dyDescent="0.2">
      <c r="A288" s="8"/>
      <c r="B288" s="3"/>
      <c r="C288" s="12"/>
      <c r="D288" s="659"/>
      <c r="E288" s="659"/>
      <c r="F288" s="659"/>
      <c r="G288" s="653"/>
      <c r="H288" s="20"/>
    </row>
    <row r="289" spans="1:8" x14ac:dyDescent="0.2">
      <c r="A289" s="8"/>
      <c r="B289" s="3"/>
      <c r="C289" s="12"/>
      <c r="D289" s="659"/>
      <c r="E289" s="659"/>
      <c r="F289" s="659"/>
      <c r="G289" s="653"/>
      <c r="H289" s="20"/>
    </row>
    <row r="290" spans="1:8" x14ac:dyDescent="0.2">
      <c r="A290" s="8"/>
      <c r="B290" s="3"/>
      <c r="C290" s="12"/>
      <c r="D290" s="659"/>
      <c r="E290" s="659"/>
      <c r="F290" s="659"/>
      <c r="G290" s="653"/>
      <c r="H290" s="20"/>
    </row>
    <row r="291" spans="1:8" x14ac:dyDescent="0.2">
      <c r="A291" s="8"/>
      <c r="B291" s="3"/>
      <c r="C291" s="12"/>
      <c r="D291" s="659"/>
      <c r="E291" s="659"/>
      <c r="F291" s="659"/>
      <c r="G291" s="653"/>
      <c r="H291" s="20"/>
    </row>
    <row r="292" spans="1:8" x14ac:dyDescent="0.2">
      <c r="A292" s="8"/>
      <c r="B292" s="3"/>
      <c r="C292" s="12"/>
      <c r="D292" s="659"/>
      <c r="E292" s="659"/>
      <c r="F292" s="659"/>
      <c r="G292" s="653"/>
      <c r="H292" s="20"/>
    </row>
    <row r="293" spans="1:8" x14ac:dyDescent="0.2">
      <c r="A293" s="8"/>
      <c r="B293" s="3"/>
      <c r="C293" s="12"/>
      <c r="D293" s="659"/>
      <c r="E293" s="659"/>
      <c r="F293" s="659"/>
      <c r="G293" s="653"/>
      <c r="H293" s="20"/>
    </row>
    <row r="294" spans="1:8" x14ac:dyDescent="0.2">
      <c r="A294" s="8"/>
      <c r="B294" s="3"/>
      <c r="C294" s="12"/>
      <c r="D294" s="659"/>
      <c r="E294" s="659"/>
      <c r="F294" s="659"/>
      <c r="G294" s="653"/>
      <c r="H294" s="20"/>
    </row>
    <row r="295" spans="1:8" x14ac:dyDescent="0.2">
      <c r="A295" s="8"/>
      <c r="B295" s="3"/>
      <c r="C295" s="12"/>
      <c r="D295" s="659"/>
      <c r="E295" s="659"/>
      <c r="F295" s="659"/>
      <c r="G295" s="653"/>
      <c r="H295" s="20"/>
    </row>
    <row r="296" spans="1:8" x14ac:dyDescent="0.2">
      <c r="A296" s="8"/>
      <c r="B296" s="3"/>
      <c r="C296" s="12"/>
      <c r="D296" s="659"/>
      <c r="E296" s="659"/>
      <c r="F296" s="659"/>
      <c r="G296" s="653"/>
      <c r="H296" s="20"/>
    </row>
    <row r="297" spans="1:8" x14ac:dyDescent="0.2">
      <c r="A297" s="8"/>
      <c r="B297" s="3"/>
      <c r="C297" s="12"/>
      <c r="D297" s="659"/>
      <c r="E297" s="659"/>
      <c r="F297" s="659"/>
      <c r="G297" s="653"/>
      <c r="H297" s="20"/>
    </row>
    <row r="298" spans="1:8" x14ac:dyDescent="0.2">
      <c r="A298" s="8"/>
      <c r="B298" s="3"/>
      <c r="C298" s="12"/>
      <c r="D298" s="659"/>
      <c r="E298" s="659"/>
      <c r="F298" s="659"/>
      <c r="G298" s="653"/>
      <c r="H298" s="20"/>
    </row>
    <row r="299" spans="1:8" x14ac:dyDescent="0.2">
      <c r="A299" s="8"/>
      <c r="B299" s="3"/>
      <c r="C299" s="12"/>
      <c r="D299" s="659"/>
      <c r="E299" s="659"/>
      <c r="F299" s="659"/>
      <c r="G299" s="653"/>
      <c r="H299" s="20"/>
    </row>
    <row r="300" spans="1:8" x14ac:dyDescent="0.2">
      <c r="A300" s="8"/>
      <c r="B300" s="3"/>
      <c r="C300" s="12"/>
      <c r="D300" s="659"/>
      <c r="E300" s="659"/>
      <c r="F300" s="659"/>
      <c r="G300" s="653"/>
      <c r="H300" s="20"/>
    </row>
    <row r="301" spans="1:8" x14ac:dyDescent="0.2">
      <c r="A301" s="8"/>
      <c r="B301" s="3"/>
      <c r="C301" s="12"/>
      <c r="D301" s="659"/>
      <c r="E301" s="659"/>
      <c r="F301" s="659"/>
      <c r="G301" s="653"/>
      <c r="H301" s="20"/>
    </row>
    <row r="302" spans="1:8" x14ac:dyDescent="0.2">
      <c r="A302" s="8"/>
      <c r="B302" s="3"/>
      <c r="C302" s="12"/>
      <c r="D302" s="659"/>
      <c r="E302" s="659"/>
      <c r="F302" s="659"/>
      <c r="G302" s="653"/>
      <c r="H302" s="20"/>
    </row>
    <row r="303" spans="1:8" x14ac:dyDescent="0.2">
      <c r="A303" s="8"/>
      <c r="B303" s="3"/>
      <c r="C303" s="12"/>
      <c r="D303" s="659"/>
      <c r="E303" s="659"/>
      <c r="F303" s="659"/>
      <c r="G303" s="653"/>
      <c r="H303" s="20"/>
    </row>
    <row r="304" spans="1:8" x14ac:dyDescent="0.2">
      <c r="A304" s="8"/>
      <c r="B304" s="3"/>
      <c r="C304" s="12"/>
      <c r="D304" s="659"/>
      <c r="E304" s="659"/>
      <c r="F304" s="659"/>
      <c r="G304" s="653"/>
      <c r="H304" s="20"/>
    </row>
    <row r="305" spans="1:8" x14ac:dyDescent="0.2">
      <c r="A305" s="8"/>
      <c r="B305" s="3"/>
      <c r="C305" s="12"/>
      <c r="D305" s="659"/>
      <c r="E305" s="659"/>
      <c r="F305" s="659"/>
      <c r="G305" s="653"/>
      <c r="H305" s="20"/>
    </row>
    <row r="306" spans="1:8" x14ac:dyDescent="0.2">
      <c r="A306" s="8"/>
      <c r="B306" s="3"/>
      <c r="C306" s="12"/>
      <c r="D306" s="659"/>
      <c r="E306" s="659"/>
      <c r="F306" s="659"/>
      <c r="G306" s="653"/>
      <c r="H306" s="20"/>
    </row>
    <row r="307" spans="1:8" x14ac:dyDescent="0.2">
      <c r="A307" s="8"/>
      <c r="B307" s="3"/>
      <c r="C307" s="12"/>
      <c r="D307" s="659"/>
      <c r="E307" s="659"/>
      <c r="F307" s="659"/>
      <c r="G307" s="653"/>
      <c r="H307" s="20"/>
    </row>
    <row r="308" spans="1:8" x14ac:dyDescent="0.2">
      <c r="A308" s="8"/>
      <c r="B308" s="3"/>
      <c r="C308" s="12"/>
      <c r="D308" s="659"/>
      <c r="E308" s="659"/>
      <c r="F308" s="659"/>
      <c r="G308" s="653"/>
      <c r="H308" s="20"/>
    </row>
    <row r="309" spans="1:8" x14ac:dyDescent="0.2">
      <c r="A309" s="8"/>
      <c r="B309" s="3"/>
      <c r="C309" s="12"/>
      <c r="D309" s="659"/>
      <c r="E309" s="659"/>
      <c r="F309" s="659"/>
      <c r="G309" s="653"/>
      <c r="H309" s="20"/>
    </row>
    <row r="310" spans="1:8" x14ac:dyDescent="0.2">
      <c r="A310" s="8"/>
      <c r="B310" s="3"/>
      <c r="C310" s="12"/>
      <c r="D310" s="659"/>
      <c r="E310" s="659"/>
      <c r="F310" s="659"/>
      <c r="G310" s="653"/>
      <c r="H310" s="20"/>
    </row>
    <row r="311" spans="1:8" x14ac:dyDescent="0.2">
      <c r="A311" s="8"/>
      <c r="B311" s="3"/>
      <c r="C311" s="12"/>
      <c r="D311" s="659"/>
      <c r="E311" s="659"/>
      <c r="F311" s="659"/>
      <c r="G311" s="653"/>
      <c r="H311" s="20"/>
    </row>
    <row r="312" spans="1:8" x14ac:dyDescent="0.2">
      <c r="A312" s="8"/>
      <c r="B312" s="3"/>
      <c r="C312" s="12"/>
      <c r="D312" s="659"/>
      <c r="E312" s="659"/>
      <c r="F312" s="659"/>
      <c r="G312" s="653"/>
      <c r="H312" s="20"/>
    </row>
    <row r="313" spans="1:8" x14ac:dyDescent="0.2">
      <c r="A313" s="8"/>
      <c r="B313" s="3"/>
      <c r="C313" s="12"/>
      <c r="D313" s="659"/>
      <c r="E313" s="659"/>
      <c r="F313" s="659"/>
      <c r="G313" s="653"/>
      <c r="H313" s="20"/>
    </row>
    <row r="314" spans="1:8" x14ac:dyDescent="0.2">
      <c r="A314" s="8"/>
      <c r="B314" s="3"/>
      <c r="C314" s="12"/>
      <c r="D314" s="659"/>
      <c r="E314" s="659"/>
      <c r="F314" s="659"/>
      <c r="G314" s="653"/>
      <c r="H314" s="20"/>
    </row>
    <row r="315" spans="1:8" x14ac:dyDescent="0.2">
      <c r="A315" s="8"/>
      <c r="B315" s="3"/>
      <c r="C315" s="12"/>
      <c r="D315" s="659"/>
      <c r="E315" s="659"/>
      <c r="F315" s="659"/>
      <c r="G315" s="653"/>
      <c r="H315" s="20"/>
    </row>
    <row r="316" spans="1:8" x14ac:dyDescent="0.2">
      <c r="A316" s="8"/>
      <c r="B316" s="3"/>
      <c r="C316" s="12"/>
      <c r="D316" s="659"/>
      <c r="E316" s="659"/>
      <c r="F316" s="659"/>
      <c r="G316" s="653"/>
      <c r="H316" s="20"/>
    </row>
    <row r="317" spans="1:8" x14ac:dyDescent="0.2">
      <c r="A317" s="8"/>
      <c r="B317" s="3"/>
      <c r="C317" s="12"/>
      <c r="D317" s="659"/>
      <c r="E317" s="659"/>
      <c r="F317" s="659"/>
      <c r="G317" s="653"/>
      <c r="H317" s="20"/>
    </row>
    <row r="318" spans="1:8" x14ac:dyDescent="0.2">
      <c r="A318" s="8"/>
      <c r="B318" s="3"/>
      <c r="C318" s="12"/>
      <c r="D318" s="659"/>
      <c r="E318" s="659"/>
      <c r="F318" s="659"/>
      <c r="G318" s="653"/>
      <c r="H318" s="20"/>
    </row>
    <row r="319" spans="1:8" x14ac:dyDescent="0.2">
      <c r="A319" s="8"/>
      <c r="B319" s="3"/>
      <c r="C319" s="12"/>
      <c r="D319" s="659"/>
      <c r="E319" s="659"/>
      <c r="F319" s="659"/>
      <c r="G319" s="653"/>
      <c r="H319" s="20"/>
    </row>
    <row r="320" spans="1:8" x14ac:dyDescent="0.2">
      <c r="A320" s="8"/>
      <c r="B320" s="3"/>
      <c r="C320" s="12"/>
      <c r="D320" s="659"/>
      <c r="E320" s="659"/>
      <c r="F320" s="659"/>
      <c r="G320" s="653"/>
      <c r="H320" s="20"/>
    </row>
    <row r="321" spans="1:8" x14ac:dyDescent="0.2">
      <c r="A321" s="8"/>
      <c r="B321" s="3"/>
      <c r="C321" s="12"/>
      <c r="D321" s="659"/>
      <c r="E321" s="659"/>
      <c r="F321" s="659"/>
      <c r="G321" s="653"/>
      <c r="H321" s="20"/>
    </row>
    <row r="322" spans="1:8" x14ac:dyDescent="0.2">
      <c r="A322" s="8"/>
      <c r="B322" s="3"/>
      <c r="C322" s="12"/>
      <c r="D322" s="659"/>
      <c r="E322" s="659"/>
      <c r="F322" s="659"/>
      <c r="G322" s="653"/>
      <c r="H322" s="20"/>
    </row>
    <row r="323" spans="1:8" x14ac:dyDescent="0.2">
      <c r="A323" s="8"/>
      <c r="B323" s="3"/>
      <c r="C323" s="12"/>
      <c r="D323" s="659"/>
      <c r="E323" s="659"/>
      <c r="F323" s="659"/>
      <c r="G323" s="653"/>
      <c r="H323" s="20"/>
    </row>
    <row r="324" spans="1:8" x14ac:dyDescent="0.2">
      <c r="A324" s="8"/>
      <c r="B324" s="3"/>
      <c r="C324" s="12"/>
      <c r="D324" s="659"/>
      <c r="E324" s="659"/>
      <c r="F324" s="659"/>
      <c r="G324" s="653"/>
      <c r="H324" s="20"/>
    </row>
    <row r="325" spans="1:8" x14ac:dyDescent="0.2">
      <c r="A325" s="8"/>
      <c r="B325" s="3"/>
      <c r="C325" s="12"/>
      <c r="D325" s="659"/>
      <c r="E325" s="659"/>
      <c r="F325" s="659"/>
      <c r="G325" s="653"/>
      <c r="H325" s="20"/>
    </row>
    <row r="326" spans="1:8" x14ac:dyDescent="0.2">
      <c r="A326" s="8"/>
      <c r="B326" s="3"/>
      <c r="C326" s="12"/>
      <c r="D326" s="659"/>
      <c r="E326" s="659"/>
      <c r="F326" s="659"/>
      <c r="G326" s="653"/>
      <c r="H326" s="20"/>
    </row>
    <row r="327" spans="1:8" x14ac:dyDescent="0.2">
      <c r="A327" s="8"/>
      <c r="B327" s="3"/>
      <c r="C327" s="12"/>
      <c r="D327" s="659"/>
      <c r="E327" s="659"/>
      <c r="F327" s="659"/>
      <c r="G327" s="653"/>
      <c r="H327" s="20"/>
    </row>
    <row r="328" spans="1:8" x14ac:dyDescent="0.2">
      <c r="A328" s="8"/>
      <c r="B328" s="3"/>
      <c r="C328" s="12"/>
      <c r="D328" s="659"/>
      <c r="E328" s="659"/>
      <c r="F328" s="659"/>
      <c r="G328" s="653"/>
      <c r="H328" s="20"/>
    </row>
    <row r="329" spans="1:8" x14ac:dyDescent="0.2">
      <c r="A329" s="8"/>
      <c r="B329" s="3"/>
      <c r="C329" s="12"/>
      <c r="D329" s="659"/>
      <c r="E329" s="659"/>
      <c r="F329" s="659"/>
      <c r="G329" s="653"/>
      <c r="H329" s="20"/>
    </row>
    <row r="330" spans="1:8" x14ac:dyDescent="0.2">
      <c r="A330" s="8"/>
      <c r="B330" s="3"/>
      <c r="C330" s="12"/>
      <c r="D330" s="659"/>
      <c r="E330" s="659"/>
      <c r="F330" s="659"/>
      <c r="G330" s="653"/>
      <c r="H330" s="20"/>
    </row>
    <row r="331" spans="1:8" x14ac:dyDescent="0.2">
      <c r="A331" s="8"/>
      <c r="B331" s="3"/>
      <c r="C331" s="12"/>
      <c r="D331" s="659"/>
      <c r="E331" s="659"/>
      <c r="F331" s="659"/>
      <c r="G331" s="653"/>
      <c r="H331" s="20"/>
    </row>
    <row r="332" spans="1:8" x14ac:dyDescent="0.2">
      <c r="A332" s="8"/>
      <c r="B332" s="3"/>
      <c r="C332" s="12"/>
      <c r="D332" s="659"/>
      <c r="E332" s="659"/>
      <c r="F332" s="659"/>
      <c r="G332" s="653"/>
      <c r="H332" s="20"/>
    </row>
    <row r="333" spans="1:8" x14ac:dyDescent="0.2">
      <c r="A333" s="8"/>
      <c r="B333" s="3"/>
      <c r="C333" s="12"/>
      <c r="D333" s="659"/>
      <c r="E333" s="659"/>
      <c r="F333" s="659"/>
      <c r="G333" s="653"/>
      <c r="H333" s="20"/>
    </row>
    <row r="334" spans="1:8" x14ac:dyDescent="0.2">
      <c r="A334" s="8"/>
      <c r="B334" s="3"/>
      <c r="C334" s="12"/>
      <c r="D334" s="659"/>
      <c r="E334" s="659"/>
      <c r="F334" s="659"/>
      <c r="G334" s="653"/>
      <c r="H334" s="20"/>
    </row>
    <row r="335" spans="1:8" x14ac:dyDescent="0.2">
      <c r="A335" s="8"/>
      <c r="B335" s="3"/>
      <c r="C335" s="12"/>
      <c r="D335" s="659"/>
      <c r="E335" s="659"/>
      <c r="F335" s="659"/>
      <c r="G335" s="653"/>
      <c r="H335" s="20"/>
    </row>
    <row r="336" spans="1:8" x14ac:dyDescent="0.2">
      <c r="A336" s="8"/>
      <c r="B336" s="3"/>
      <c r="C336" s="12"/>
      <c r="D336" s="659"/>
      <c r="E336" s="659"/>
      <c r="F336" s="659"/>
      <c r="G336" s="653"/>
      <c r="H336" s="20"/>
    </row>
    <row r="337" spans="1:8" x14ac:dyDescent="0.2">
      <c r="A337" s="8"/>
      <c r="B337" s="3"/>
      <c r="C337" s="12"/>
      <c r="D337" s="659"/>
      <c r="E337" s="659"/>
      <c r="F337" s="659"/>
      <c r="G337" s="653"/>
      <c r="H337" s="20"/>
    </row>
    <row r="338" spans="1:8" x14ac:dyDescent="0.2">
      <c r="A338" s="8"/>
      <c r="B338" s="3"/>
      <c r="C338" s="12"/>
      <c r="D338" s="659"/>
      <c r="E338" s="659"/>
      <c r="F338" s="659"/>
      <c r="G338" s="653"/>
      <c r="H338" s="20"/>
    </row>
    <row r="339" spans="1:8" x14ac:dyDescent="0.2">
      <c r="A339" s="8"/>
      <c r="B339" s="3"/>
      <c r="C339" s="12"/>
      <c r="D339" s="659"/>
      <c r="E339" s="659"/>
      <c r="F339" s="659"/>
      <c r="G339" s="653"/>
      <c r="H339" s="20"/>
    </row>
    <row r="340" spans="1:8" x14ac:dyDescent="0.2">
      <c r="A340" s="8"/>
      <c r="B340" s="3"/>
      <c r="C340" s="12"/>
      <c r="D340" s="659"/>
      <c r="E340" s="659"/>
      <c r="F340" s="659"/>
      <c r="G340" s="653"/>
      <c r="H340" s="20"/>
    </row>
    <row r="341" spans="1:8" x14ac:dyDescent="0.2">
      <c r="A341" s="8"/>
      <c r="B341" s="3"/>
      <c r="C341" s="12"/>
      <c r="D341" s="659"/>
      <c r="E341" s="659"/>
      <c r="F341" s="659"/>
      <c r="G341" s="653"/>
      <c r="H341" s="20"/>
    </row>
    <row r="342" spans="1:8" x14ac:dyDescent="0.2">
      <c r="A342" s="8"/>
      <c r="B342" s="3"/>
      <c r="C342" s="12"/>
      <c r="D342" s="659"/>
      <c r="E342" s="659"/>
      <c r="F342" s="659"/>
      <c r="G342" s="653"/>
      <c r="H342" s="20"/>
    </row>
    <row r="343" spans="1:8" x14ac:dyDescent="0.2">
      <c r="A343" s="8"/>
      <c r="B343" s="3"/>
      <c r="C343" s="12"/>
      <c r="D343" s="659"/>
      <c r="E343" s="659"/>
      <c r="F343" s="659"/>
      <c r="G343" s="653"/>
      <c r="H343" s="20"/>
    </row>
    <row r="344" spans="1:8" x14ac:dyDescent="0.2">
      <c r="A344" s="8"/>
      <c r="B344" s="3"/>
      <c r="C344" s="12"/>
      <c r="D344" s="659"/>
      <c r="E344" s="659"/>
      <c r="F344" s="659"/>
      <c r="G344" s="653"/>
      <c r="H344" s="20"/>
    </row>
    <row r="345" spans="1:8" x14ac:dyDescent="0.2">
      <c r="A345" s="8"/>
      <c r="B345" s="3"/>
      <c r="C345" s="12"/>
      <c r="D345" s="659"/>
      <c r="E345" s="659"/>
      <c r="F345" s="659"/>
      <c r="G345" s="653"/>
      <c r="H345" s="20"/>
    </row>
    <row r="346" spans="1:8" x14ac:dyDescent="0.2">
      <c r="A346" s="8"/>
      <c r="B346" s="3"/>
      <c r="C346" s="12"/>
      <c r="D346" s="659"/>
      <c r="E346" s="659"/>
      <c r="F346" s="659"/>
      <c r="G346" s="653"/>
      <c r="H346" s="20"/>
    </row>
    <row r="347" spans="1:8" x14ac:dyDescent="0.2">
      <c r="A347" s="8"/>
      <c r="B347" s="3"/>
      <c r="C347" s="12"/>
      <c r="D347" s="659"/>
      <c r="E347" s="659"/>
      <c r="F347" s="659"/>
      <c r="G347" s="653"/>
      <c r="H347" s="20"/>
    </row>
    <row r="348" spans="1:8" x14ac:dyDescent="0.2">
      <c r="A348" s="8"/>
      <c r="B348" s="3"/>
      <c r="C348" s="12"/>
      <c r="D348" s="659"/>
      <c r="E348" s="659"/>
      <c r="F348" s="659"/>
      <c r="G348" s="653"/>
      <c r="H348" s="20"/>
    </row>
    <row r="349" spans="1:8" x14ac:dyDescent="0.2">
      <c r="A349" s="8"/>
      <c r="B349" s="3"/>
      <c r="C349" s="12"/>
      <c r="D349" s="659"/>
      <c r="E349" s="659"/>
      <c r="F349" s="659"/>
      <c r="G349" s="653"/>
      <c r="H349" s="20"/>
    </row>
    <row r="350" spans="1:8" x14ac:dyDescent="0.2">
      <c r="A350" s="8"/>
      <c r="B350" s="3"/>
      <c r="C350" s="12"/>
      <c r="D350" s="659"/>
      <c r="E350" s="659"/>
      <c r="F350" s="659"/>
      <c r="G350" s="653"/>
      <c r="H350" s="20"/>
    </row>
    <row r="351" spans="1:8" x14ac:dyDescent="0.2">
      <c r="A351" s="8"/>
      <c r="B351" s="3"/>
      <c r="C351" s="12"/>
      <c r="D351" s="659"/>
      <c r="E351" s="659"/>
      <c r="F351" s="659"/>
      <c r="G351" s="653"/>
      <c r="H351" s="20"/>
    </row>
    <row r="352" spans="1:8" x14ac:dyDescent="0.2">
      <c r="A352" s="8"/>
      <c r="B352" s="3"/>
      <c r="C352" s="12"/>
      <c r="D352" s="659"/>
      <c r="E352" s="659"/>
      <c r="F352" s="659"/>
      <c r="G352" s="653"/>
      <c r="H352" s="20"/>
    </row>
    <row r="353" spans="1:8" x14ac:dyDescent="0.2">
      <c r="A353" s="8"/>
      <c r="B353" s="3"/>
      <c r="C353" s="12"/>
      <c r="D353" s="659"/>
      <c r="E353" s="659"/>
      <c r="F353" s="659"/>
      <c r="G353" s="653"/>
      <c r="H353" s="20"/>
    </row>
    <row r="354" spans="1:8" x14ac:dyDescent="0.2">
      <c r="A354" s="8"/>
      <c r="B354" s="3"/>
      <c r="C354" s="12"/>
      <c r="D354" s="659"/>
      <c r="E354" s="659"/>
      <c r="F354" s="659"/>
      <c r="G354" s="653"/>
      <c r="H354" s="20"/>
    </row>
    <row r="355" spans="1:8" x14ac:dyDescent="0.2">
      <c r="A355" s="8"/>
      <c r="B355" s="3"/>
      <c r="C355" s="12"/>
      <c r="D355" s="659"/>
      <c r="E355" s="659"/>
      <c r="F355" s="659"/>
      <c r="G355" s="653"/>
      <c r="H355" s="20"/>
    </row>
    <row r="356" spans="1:8" x14ac:dyDescent="0.2">
      <c r="A356" s="8"/>
      <c r="B356" s="3"/>
      <c r="C356" s="12"/>
      <c r="D356" s="659"/>
      <c r="E356" s="659"/>
      <c r="F356" s="659"/>
      <c r="G356" s="653"/>
      <c r="H356" s="20"/>
    </row>
    <row r="357" spans="1:8" x14ac:dyDescent="0.2">
      <c r="A357" s="8"/>
      <c r="B357" s="3"/>
      <c r="C357" s="12"/>
      <c r="D357" s="659"/>
      <c r="E357" s="659"/>
      <c r="F357" s="659"/>
      <c r="G357" s="653"/>
      <c r="H357" s="20"/>
    </row>
    <row r="358" spans="1:8" x14ac:dyDescent="0.2">
      <c r="A358" s="8"/>
      <c r="B358" s="3"/>
      <c r="C358" s="12"/>
      <c r="D358" s="659"/>
      <c r="E358" s="659"/>
      <c r="F358" s="659"/>
      <c r="G358" s="653"/>
      <c r="H358" s="20"/>
    </row>
    <row r="359" spans="1:8" x14ac:dyDescent="0.2">
      <c r="A359" s="8"/>
      <c r="B359" s="3"/>
      <c r="C359" s="12"/>
      <c r="D359" s="659"/>
      <c r="E359" s="659"/>
      <c r="F359" s="659"/>
      <c r="G359" s="653"/>
      <c r="H359" s="20"/>
    </row>
    <row r="360" spans="1:8" x14ac:dyDescent="0.2">
      <c r="A360" s="8"/>
      <c r="B360" s="3"/>
      <c r="C360" s="12"/>
      <c r="D360" s="659"/>
      <c r="E360" s="659"/>
      <c r="F360" s="659"/>
      <c r="G360" s="653"/>
      <c r="H360" s="20"/>
    </row>
    <row r="361" spans="1:8" x14ac:dyDescent="0.2">
      <c r="A361" s="8"/>
      <c r="B361" s="3"/>
      <c r="C361" s="12"/>
      <c r="D361" s="659"/>
      <c r="E361" s="659"/>
      <c r="F361" s="659"/>
      <c r="G361" s="653"/>
      <c r="H361" s="20"/>
    </row>
    <row r="362" spans="1:8" x14ac:dyDescent="0.2">
      <c r="A362" s="8"/>
      <c r="B362" s="3"/>
      <c r="C362" s="12"/>
      <c r="D362" s="659"/>
      <c r="E362" s="659"/>
      <c r="F362" s="659"/>
      <c r="G362" s="653"/>
      <c r="H362" s="20"/>
    </row>
    <row r="363" spans="1:8" x14ac:dyDescent="0.2">
      <c r="A363" s="8"/>
      <c r="B363" s="3"/>
      <c r="C363" s="12"/>
      <c r="D363" s="659"/>
      <c r="E363" s="659"/>
      <c r="F363" s="659"/>
      <c r="G363" s="653"/>
      <c r="H363" s="20"/>
    </row>
    <row r="364" spans="1:8" x14ac:dyDescent="0.2">
      <c r="A364" s="8"/>
      <c r="B364" s="3"/>
      <c r="C364" s="12"/>
      <c r="D364" s="659"/>
      <c r="E364" s="659"/>
      <c r="F364" s="659"/>
      <c r="G364" s="653"/>
      <c r="H364" s="20"/>
    </row>
    <row r="365" spans="1:8" x14ac:dyDescent="0.2">
      <c r="A365" s="8"/>
      <c r="B365" s="3"/>
      <c r="C365" s="12"/>
      <c r="D365" s="659"/>
      <c r="E365" s="659"/>
      <c r="F365" s="659"/>
      <c r="G365" s="653"/>
      <c r="H365" s="20"/>
    </row>
    <row r="366" spans="1:8" x14ac:dyDescent="0.2">
      <c r="A366" s="8"/>
      <c r="B366" s="3"/>
      <c r="C366" s="12"/>
      <c r="D366" s="659"/>
      <c r="E366" s="659"/>
      <c r="F366" s="659"/>
      <c r="G366" s="653"/>
      <c r="H366" s="20"/>
    </row>
    <row r="367" spans="1:8" x14ac:dyDescent="0.2">
      <c r="A367" s="8"/>
      <c r="B367" s="3"/>
      <c r="C367" s="12"/>
      <c r="D367" s="659"/>
      <c r="E367" s="659"/>
      <c r="F367" s="659"/>
      <c r="G367" s="653"/>
      <c r="H367" s="20"/>
    </row>
    <row r="368" spans="1:8" x14ac:dyDescent="0.2">
      <c r="A368" s="8"/>
      <c r="B368" s="3"/>
      <c r="C368" s="12"/>
      <c r="D368" s="659"/>
      <c r="E368" s="659"/>
      <c r="F368" s="659"/>
      <c r="G368" s="653"/>
      <c r="H368" s="20"/>
    </row>
    <row r="369" spans="1:8" x14ac:dyDescent="0.2">
      <c r="A369" s="8"/>
      <c r="B369" s="3"/>
      <c r="C369" s="12"/>
      <c r="D369" s="659"/>
      <c r="E369" s="659"/>
      <c r="F369" s="659"/>
      <c r="G369" s="653"/>
      <c r="H369" s="20"/>
    </row>
    <row r="370" spans="1:8" x14ac:dyDescent="0.2">
      <c r="A370" s="8"/>
      <c r="B370" s="3"/>
      <c r="C370" s="12"/>
      <c r="D370" s="659"/>
      <c r="E370" s="659"/>
      <c r="F370" s="659"/>
      <c r="G370" s="653"/>
      <c r="H370" s="20"/>
    </row>
    <row r="371" spans="1:8" x14ac:dyDescent="0.2">
      <c r="A371" s="8"/>
      <c r="B371" s="3"/>
      <c r="C371" s="12"/>
      <c r="D371" s="659"/>
      <c r="E371" s="659"/>
      <c r="F371" s="659"/>
      <c r="G371" s="653"/>
      <c r="H371" s="20"/>
    </row>
    <row r="372" spans="1:8" x14ac:dyDescent="0.2">
      <c r="A372" s="8"/>
      <c r="B372" s="3"/>
      <c r="C372" s="12"/>
      <c r="D372" s="659"/>
      <c r="E372" s="659"/>
      <c r="F372" s="659"/>
      <c r="G372" s="653"/>
      <c r="H372" s="20"/>
    </row>
    <row r="373" spans="1:8" x14ac:dyDescent="0.2">
      <c r="A373" s="8"/>
      <c r="B373" s="3"/>
      <c r="C373" s="12"/>
      <c r="D373" s="659"/>
      <c r="E373" s="659"/>
      <c r="F373" s="659"/>
      <c r="G373" s="653"/>
      <c r="H373" s="20"/>
    </row>
    <row r="374" spans="1:8" x14ac:dyDescent="0.2">
      <c r="A374" s="8"/>
      <c r="B374" s="3"/>
      <c r="C374" s="12"/>
      <c r="D374" s="659"/>
      <c r="E374" s="659"/>
      <c r="F374" s="659"/>
      <c r="G374" s="653"/>
      <c r="H374" s="20"/>
    </row>
    <row r="375" spans="1:8" x14ac:dyDescent="0.2">
      <c r="A375" s="8"/>
      <c r="B375" s="3"/>
      <c r="C375" s="12"/>
      <c r="D375" s="659"/>
      <c r="E375" s="659"/>
      <c r="F375" s="659"/>
      <c r="G375" s="653"/>
      <c r="H375" s="20"/>
    </row>
    <row r="376" spans="1:8" x14ac:dyDescent="0.2">
      <c r="A376" s="8"/>
      <c r="B376" s="3"/>
      <c r="C376" s="12"/>
      <c r="D376" s="659"/>
      <c r="E376" s="659"/>
      <c r="F376" s="659"/>
      <c r="G376" s="653"/>
      <c r="H376" s="20"/>
    </row>
    <row r="377" spans="1:8" x14ac:dyDescent="0.2">
      <c r="A377" s="8"/>
      <c r="B377" s="3"/>
      <c r="C377" s="12"/>
      <c r="D377" s="659"/>
      <c r="E377" s="659"/>
      <c r="F377" s="659"/>
      <c r="G377" s="653"/>
      <c r="H377" s="20"/>
    </row>
    <row r="378" spans="1:8" x14ac:dyDescent="0.2">
      <c r="A378" s="8"/>
      <c r="B378" s="3"/>
      <c r="C378" s="12"/>
      <c r="D378" s="659"/>
      <c r="E378" s="659"/>
      <c r="F378" s="659"/>
      <c r="G378" s="653"/>
      <c r="H378" s="20"/>
    </row>
    <row r="379" spans="1:8" x14ac:dyDescent="0.2">
      <c r="A379" s="8"/>
      <c r="B379" s="3"/>
      <c r="C379" s="12"/>
      <c r="D379" s="659"/>
      <c r="E379" s="659"/>
      <c r="F379" s="659"/>
      <c r="G379" s="653"/>
      <c r="H379" s="20"/>
    </row>
    <row r="380" spans="1:8" x14ac:dyDescent="0.2">
      <c r="A380" s="8"/>
      <c r="B380" s="3"/>
      <c r="C380" s="12"/>
      <c r="D380" s="659"/>
      <c r="E380" s="659"/>
      <c r="F380" s="659"/>
      <c r="G380" s="653"/>
      <c r="H380" s="20"/>
    </row>
    <row r="381" spans="1:8" x14ac:dyDescent="0.2">
      <c r="A381" s="8"/>
      <c r="B381" s="3"/>
      <c r="C381" s="12"/>
      <c r="D381" s="659"/>
      <c r="E381" s="659"/>
      <c r="F381" s="659"/>
      <c r="G381" s="653"/>
      <c r="H381" s="20"/>
    </row>
    <row r="382" spans="1:8" x14ac:dyDescent="0.2">
      <c r="A382" s="8"/>
      <c r="B382" s="3"/>
      <c r="C382" s="12"/>
      <c r="D382" s="659"/>
      <c r="E382" s="659"/>
      <c r="F382" s="659"/>
      <c r="G382" s="653"/>
      <c r="H382" s="20"/>
    </row>
    <row r="383" spans="1:8" x14ac:dyDescent="0.2">
      <c r="A383" s="8"/>
      <c r="B383" s="3"/>
      <c r="C383" s="12"/>
      <c r="D383" s="659"/>
      <c r="E383" s="659"/>
      <c r="F383" s="659"/>
      <c r="G383" s="653"/>
      <c r="H383" s="20"/>
    </row>
    <row r="384" spans="1:8" x14ac:dyDescent="0.2">
      <c r="A384" s="8"/>
      <c r="B384" s="3"/>
      <c r="C384" s="12"/>
      <c r="D384" s="659"/>
      <c r="E384" s="659"/>
      <c r="F384" s="659"/>
      <c r="G384" s="653"/>
      <c r="H384" s="20"/>
    </row>
    <row r="385" spans="1:8" x14ac:dyDescent="0.2">
      <c r="A385" s="8"/>
      <c r="B385" s="3"/>
      <c r="C385" s="12"/>
      <c r="D385" s="659"/>
      <c r="E385" s="659"/>
      <c r="F385" s="659"/>
      <c r="G385" s="653"/>
      <c r="H385" s="20"/>
    </row>
    <row r="386" spans="1:8" x14ac:dyDescent="0.2">
      <c r="A386" s="8"/>
      <c r="B386" s="3"/>
      <c r="C386" s="12"/>
      <c r="D386" s="659"/>
      <c r="E386" s="659"/>
      <c r="F386" s="659"/>
      <c r="G386" s="653"/>
      <c r="H386" s="20"/>
    </row>
    <row r="387" spans="1:8" x14ac:dyDescent="0.2">
      <c r="A387" s="8"/>
      <c r="B387" s="3"/>
      <c r="C387" s="12"/>
      <c r="D387" s="659"/>
      <c r="E387" s="659"/>
      <c r="F387" s="659"/>
      <c r="G387" s="653"/>
      <c r="H387" s="20"/>
    </row>
    <row r="388" spans="1:8" x14ac:dyDescent="0.2">
      <c r="A388" s="8"/>
      <c r="B388" s="3"/>
      <c r="C388" s="12"/>
      <c r="D388" s="659"/>
      <c r="E388" s="659"/>
      <c r="F388" s="659"/>
      <c r="G388" s="653"/>
      <c r="H388" s="20"/>
    </row>
    <row r="389" spans="1:8" x14ac:dyDescent="0.2">
      <c r="A389" s="8"/>
      <c r="B389" s="3"/>
      <c r="C389" s="12"/>
      <c r="D389" s="659"/>
      <c r="E389" s="659"/>
      <c r="F389" s="659"/>
      <c r="G389" s="653"/>
      <c r="H389" s="20"/>
    </row>
    <row r="390" spans="1:8" x14ac:dyDescent="0.2">
      <c r="A390" s="8"/>
      <c r="B390" s="3"/>
      <c r="C390" s="12"/>
      <c r="D390" s="659"/>
      <c r="E390" s="659"/>
      <c r="F390" s="659"/>
      <c r="G390" s="653"/>
      <c r="H390" s="20"/>
    </row>
    <row r="391" spans="1:8" x14ac:dyDescent="0.2">
      <c r="A391" s="8"/>
      <c r="B391" s="3"/>
      <c r="C391" s="12"/>
      <c r="D391" s="659"/>
      <c r="E391" s="659"/>
      <c r="F391" s="659"/>
      <c r="G391" s="653"/>
      <c r="H391" s="20"/>
    </row>
    <row r="392" spans="1:8" x14ac:dyDescent="0.2">
      <c r="A392" s="8"/>
      <c r="B392" s="3"/>
      <c r="C392" s="12"/>
      <c r="D392" s="659"/>
      <c r="E392" s="659"/>
      <c r="F392" s="659"/>
      <c r="G392" s="653"/>
      <c r="H392" s="20"/>
    </row>
    <row r="393" spans="1:8" x14ac:dyDescent="0.2">
      <c r="A393" s="8"/>
      <c r="B393" s="3"/>
      <c r="C393" s="12"/>
      <c r="D393" s="659"/>
      <c r="E393" s="659"/>
      <c r="F393" s="659"/>
      <c r="G393" s="653"/>
      <c r="H393" s="20"/>
    </row>
    <row r="394" spans="1:8" x14ac:dyDescent="0.2">
      <c r="A394" s="8"/>
      <c r="B394" s="3"/>
      <c r="C394" s="12"/>
      <c r="D394" s="659"/>
      <c r="E394" s="659"/>
      <c r="F394" s="659"/>
      <c r="G394" s="653"/>
      <c r="H394" s="20"/>
    </row>
    <row r="395" spans="1:8" x14ac:dyDescent="0.2">
      <c r="A395" s="8"/>
      <c r="B395" s="3"/>
      <c r="C395" s="12"/>
      <c r="D395" s="659"/>
      <c r="E395" s="659"/>
      <c r="F395" s="659"/>
      <c r="G395" s="653"/>
      <c r="H395" s="20"/>
    </row>
    <row r="396" spans="1:8" x14ac:dyDescent="0.2">
      <c r="A396" s="8"/>
      <c r="B396" s="3"/>
      <c r="C396" s="12"/>
      <c r="D396" s="659"/>
      <c r="E396" s="659"/>
      <c r="F396" s="659"/>
      <c r="G396" s="653"/>
      <c r="H396" s="20"/>
    </row>
    <row r="397" spans="1:8" x14ac:dyDescent="0.2">
      <c r="A397" s="8"/>
      <c r="B397" s="3"/>
      <c r="C397" s="12"/>
      <c r="D397" s="659"/>
      <c r="E397" s="659"/>
      <c r="F397" s="659"/>
      <c r="G397" s="653"/>
      <c r="H397" s="20"/>
    </row>
    <row r="398" spans="1:8" x14ac:dyDescent="0.2">
      <c r="A398" s="8"/>
      <c r="B398" s="3"/>
      <c r="C398" s="12"/>
      <c r="D398" s="659"/>
      <c r="E398" s="659"/>
      <c r="F398" s="659"/>
      <c r="G398" s="653"/>
      <c r="H398" s="20"/>
    </row>
    <row r="399" spans="1:8" x14ac:dyDescent="0.2">
      <c r="A399" s="8"/>
      <c r="B399" s="3"/>
      <c r="C399" s="12"/>
      <c r="D399" s="659"/>
      <c r="E399" s="659"/>
      <c r="F399" s="659"/>
      <c r="G399" s="653"/>
      <c r="H399" s="20"/>
    </row>
    <row r="400" spans="1:8" x14ac:dyDescent="0.2">
      <c r="A400" s="8"/>
      <c r="B400" s="3"/>
      <c r="C400" s="12"/>
      <c r="D400" s="659"/>
      <c r="E400" s="659"/>
      <c r="F400" s="659"/>
      <c r="G400" s="653"/>
      <c r="H400" s="20"/>
    </row>
    <row r="401" spans="1:8" x14ac:dyDescent="0.2">
      <c r="A401" s="8"/>
      <c r="B401" s="3"/>
      <c r="C401" s="12"/>
      <c r="D401" s="659"/>
      <c r="E401" s="659"/>
      <c r="F401" s="659"/>
      <c r="G401" s="653"/>
      <c r="H401" s="20"/>
    </row>
    <row r="402" spans="1:8" x14ac:dyDescent="0.2">
      <c r="A402" s="8"/>
      <c r="B402" s="3"/>
      <c r="C402" s="12"/>
      <c r="D402" s="659"/>
      <c r="E402" s="659"/>
      <c r="F402" s="659"/>
      <c r="G402" s="653"/>
      <c r="H402" s="20"/>
    </row>
    <row r="403" spans="1:8" x14ac:dyDescent="0.2">
      <c r="A403" s="8"/>
      <c r="B403" s="3"/>
      <c r="C403" s="12"/>
      <c r="D403" s="659"/>
      <c r="E403" s="659"/>
      <c r="F403" s="659"/>
      <c r="G403" s="653"/>
      <c r="H403" s="20"/>
    </row>
    <row r="404" spans="1:8" x14ac:dyDescent="0.2">
      <c r="A404" s="8"/>
      <c r="B404" s="3"/>
      <c r="C404" s="12"/>
      <c r="D404" s="659"/>
      <c r="E404" s="659"/>
      <c r="F404" s="659"/>
      <c r="G404" s="653"/>
      <c r="H404" s="20"/>
    </row>
    <row r="405" spans="1:8" x14ac:dyDescent="0.2">
      <c r="A405" s="8"/>
      <c r="B405" s="3"/>
      <c r="C405" s="12"/>
      <c r="D405" s="659"/>
      <c r="E405" s="659"/>
      <c r="F405" s="659"/>
      <c r="G405" s="653"/>
      <c r="H405" s="20"/>
    </row>
    <row r="406" spans="1:8" x14ac:dyDescent="0.2">
      <c r="A406" s="8"/>
      <c r="B406" s="3"/>
      <c r="C406" s="12"/>
      <c r="D406" s="659"/>
      <c r="E406" s="659"/>
      <c r="F406" s="659"/>
      <c r="G406" s="653"/>
      <c r="H406" s="20"/>
    </row>
    <row r="407" spans="1:8" x14ac:dyDescent="0.2">
      <c r="A407" s="8"/>
      <c r="B407" s="3"/>
      <c r="C407" s="12"/>
      <c r="D407" s="659"/>
      <c r="E407" s="659"/>
      <c r="F407" s="659"/>
      <c r="G407" s="653"/>
      <c r="H407" s="20"/>
    </row>
    <row r="408" spans="1:8" x14ac:dyDescent="0.2">
      <c r="A408" s="8"/>
      <c r="B408" s="3"/>
      <c r="C408" s="12"/>
      <c r="D408" s="659"/>
      <c r="E408" s="659"/>
      <c r="F408" s="659"/>
      <c r="G408" s="653"/>
      <c r="H408" s="20"/>
    </row>
    <row r="409" spans="1:8" x14ac:dyDescent="0.2">
      <c r="A409" s="8"/>
      <c r="B409" s="3"/>
      <c r="C409" s="12"/>
      <c r="D409" s="659"/>
      <c r="E409" s="659"/>
      <c r="F409" s="659"/>
      <c r="G409" s="653"/>
      <c r="H409" s="20"/>
    </row>
    <row r="410" spans="1:8" x14ac:dyDescent="0.2">
      <c r="A410" s="8"/>
      <c r="B410" s="3"/>
      <c r="C410" s="12"/>
      <c r="D410" s="659"/>
      <c r="E410" s="659"/>
      <c r="F410" s="659"/>
      <c r="G410" s="653"/>
      <c r="H410" s="20"/>
    </row>
    <row r="411" spans="1:8" x14ac:dyDescent="0.2">
      <c r="A411" s="8"/>
      <c r="B411" s="3"/>
      <c r="C411" s="12"/>
      <c r="D411" s="659"/>
      <c r="E411" s="659"/>
      <c r="F411" s="659"/>
      <c r="G411" s="653"/>
      <c r="H411" s="20"/>
    </row>
    <row r="412" spans="1:8" x14ac:dyDescent="0.2">
      <c r="A412" s="8"/>
      <c r="B412" s="3"/>
      <c r="C412" s="12"/>
      <c r="D412" s="659"/>
      <c r="E412" s="659"/>
      <c r="F412" s="659"/>
      <c r="G412" s="653"/>
      <c r="H412" s="20"/>
    </row>
    <row r="413" spans="1:8" x14ac:dyDescent="0.2">
      <c r="A413" s="8"/>
      <c r="B413" s="3"/>
      <c r="C413" s="12"/>
      <c r="D413" s="659"/>
      <c r="E413" s="659"/>
      <c r="F413" s="659"/>
      <c r="G413" s="653"/>
      <c r="H413" s="20"/>
    </row>
    <row r="414" spans="1:8" x14ac:dyDescent="0.2">
      <c r="A414" s="8"/>
      <c r="B414" s="3"/>
      <c r="C414" s="12"/>
      <c r="D414" s="659"/>
      <c r="E414" s="659"/>
      <c r="F414" s="659"/>
      <c r="G414" s="653"/>
      <c r="H414" s="20"/>
    </row>
    <row r="415" spans="1:8" x14ac:dyDescent="0.2">
      <c r="A415" s="8"/>
      <c r="B415" s="3"/>
      <c r="C415" s="12"/>
      <c r="D415" s="659"/>
      <c r="E415" s="659"/>
      <c r="F415" s="659"/>
      <c r="G415" s="653"/>
      <c r="H415" s="20"/>
    </row>
    <row r="416" spans="1:8" x14ac:dyDescent="0.2">
      <c r="A416" s="8"/>
      <c r="B416" s="3"/>
      <c r="C416" s="12"/>
      <c r="D416" s="659"/>
      <c r="E416" s="659"/>
      <c r="F416" s="659"/>
      <c r="G416" s="653"/>
      <c r="H416" s="20"/>
    </row>
    <row r="417" spans="1:8" x14ac:dyDescent="0.2">
      <c r="A417" s="8"/>
      <c r="B417" s="3"/>
      <c r="C417" s="12"/>
      <c r="D417" s="659"/>
      <c r="E417" s="659"/>
      <c r="F417" s="659"/>
      <c r="G417" s="653"/>
      <c r="H417" s="20"/>
    </row>
    <row r="418" spans="1:8" x14ac:dyDescent="0.2">
      <c r="A418" s="8"/>
      <c r="B418" s="3"/>
      <c r="C418" s="12"/>
      <c r="D418" s="659"/>
      <c r="E418" s="659"/>
      <c r="F418" s="659"/>
      <c r="G418" s="653"/>
      <c r="H418" s="20"/>
    </row>
    <row r="419" spans="1:8" x14ac:dyDescent="0.2">
      <c r="A419" s="8"/>
      <c r="B419" s="3"/>
      <c r="C419" s="12"/>
      <c r="D419" s="659"/>
      <c r="E419" s="659"/>
      <c r="F419" s="659"/>
      <c r="G419" s="653"/>
      <c r="H419" s="20"/>
    </row>
    <row r="420" spans="1:8" x14ac:dyDescent="0.2">
      <c r="A420" s="3"/>
      <c r="B420" s="3"/>
      <c r="C420" s="3"/>
      <c r="D420" s="659"/>
      <c r="E420" s="659"/>
      <c r="F420" s="659"/>
      <c r="G420" s="653"/>
      <c r="H420" s="20"/>
    </row>
    <row r="421" spans="1:8" x14ac:dyDescent="0.2">
      <c r="A421" s="3"/>
      <c r="B421" s="3"/>
      <c r="C421" s="3"/>
      <c r="D421" s="659"/>
      <c r="E421" s="659"/>
      <c r="F421" s="659"/>
      <c r="G421" s="653"/>
      <c r="H421" s="20"/>
    </row>
    <row r="422" spans="1:8" x14ac:dyDescent="0.2">
      <c r="A422" s="3"/>
      <c r="B422" s="3"/>
      <c r="C422" s="3"/>
      <c r="D422" s="659"/>
      <c r="E422" s="659"/>
      <c r="F422" s="659"/>
      <c r="G422" s="653"/>
      <c r="H422" s="20"/>
    </row>
    <row r="423" spans="1:8" x14ac:dyDescent="0.2">
      <c r="A423" s="3"/>
      <c r="B423" s="3"/>
      <c r="C423" s="3"/>
      <c r="D423" s="659"/>
      <c r="E423" s="659"/>
      <c r="F423" s="659"/>
      <c r="G423" s="653"/>
      <c r="H423" s="20"/>
    </row>
    <row r="424" spans="1:8" x14ac:dyDescent="0.2">
      <c r="A424" s="3"/>
      <c r="B424" s="3"/>
      <c r="C424" s="3"/>
      <c r="D424" s="659"/>
      <c r="E424" s="659"/>
      <c r="F424" s="659"/>
      <c r="G424" s="653"/>
      <c r="H424" s="20"/>
    </row>
    <row r="425" spans="1:8" x14ac:dyDescent="0.2">
      <c r="A425" s="3"/>
      <c r="B425" s="3"/>
      <c r="C425" s="3"/>
      <c r="D425" s="659"/>
      <c r="E425" s="659"/>
      <c r="F425" s="659"/>
      <c r="G425" s="653"/>
      <c r="H425" s="20"/>
    </row>
    <row r="426" spans="1:8" x14ac:dyDescent="0.2">
      <c r="A426" s="3"/>
      <c r="B426" s="3"/>
      <c r="C426" s="3"/>
      <c r="D426" s="659"/>
      <c r="E426" s="659"/>
      <c r="F426" s="659"/>
      <c r="G426" s="653"/>
      <c r="H426" s="20"/>
    </row>
    <row r="427" spans="1:8" x14ac:dyDescent="0.2">
      <c r="A427" s="3"/>
      <c r="B427" s="3"/>
      <c r="C427" s="3"/>
      <c r="D427" s="659"/>
      <c r="E427" s="659"/>
      <c r="F427" s="659"/>
      <c r="G427" s="653"/>
      <c r="H427" s="20"/>
    </row>
    <row r="428" spans="1:8" x14ac:dyDescent="0.2">
      <c r="A428" s="3"/>
      <c r="B428" s="3"/>
      <c r="C428" s="3"/>
      <c r="D428" s="659"/>
      <c r="E428" s="659"/>
      <c r="F428" s="659"/>
      <c r="G428" s="653"/>
      <c r="H428" s="20"/>
    </row>
    <row r="429" spans="1:8" x14ac:dyDescent="0.2">
      <c r="A429" s="3"/>
      <c r="B429" s="3"/>
      <c r="C429" s="3"/>
      <c r="D429" s="659"/>
      <c r="E429" s="659"/>
      <c r="F429" s="659"/>
      <c r="G429" s="653"/>
      <c r="H429" s="20"/>
    </row>
    <row r="430" spans="1:8" x14ac:dyDescent="0.2">
      <c r="A430" s="3"/>
      <c r="B430" s="3"/>
      <c r="C430" s="3"/>
      <c r="D430" s="659"/>
      <c r="E430" s="659"/>
      <c r="F430" s="659"/>
      <c r="G430" s="653"/>
      <c r="H430" s="20"/>
    </row>
    <row r="431" spans="1:8" x14ac:dyDescent="0.2">
      <c r="A431" s="3"/>
      <c r="B431" s="3"/>
      <c r="C431" s="3"/>
      <c r="D431" s="659"/>
      <c r="E431" s="659"/>
      <c r="F431" s="659"/>
      <c r="G431" s="653"/>
      <c r="H431" s="20"/>
    </row>
    <row r="432" spans="1:8" x14ac:dyDescent="0.2">
      <c r="A432" s="3"/>
      <c r="B432" s="3"/>
      <c r="C432" s="3"/>
      <c r="D432" s="659"/>
      <c r="E432" s="659"/>
      <c r="F432" s="659"/>
      <c r="G432" s="653"/>
      <c r="H432" s="20"/>
    </row>
    <row r="433" spans="1:8" x14ac:dyDescent="0.2">
      <c r="A433" s="3"/>
      <c r="B433" s="3"/>
      <c r="C433" s="3"/>
      <c r="D433" s="659"/>
      <c r="E433" s="659"/>
      <c r="F433" s="659"/>
      <c r="G433" s="653"/>
      <c r="H433" s="20"/>
    </row>
    <row r="434" spans="1:8" x14ac:dyDescent="0.2">
      <c r="A434" s="3"/>
      <c r="B434" s="3"/>
      <c r="C434" s="3"/>
      <c r="D434" s="659"/>
      <c r="E434" s="659"/>
      <c r="F434" s="659"/>
      <c r="G434" s="653"/>
      <c r="H434" s="20"/>
    </row>
    <row r="435" spans="1:8" x14ac:dyDescent="0.2">
      <c r="A435" s="3"/>
      <c r="B435" s="3"/>
      <c r="C435" s="3"/>
      <c r="D435" s="659"/>
      <c r="E435" s="659"/>
      <c r="F435" s="659"/>
      <c r="G435" s="653"/>
      <c r="H435" s="20"/>
    </row>
    <row r="436" spans="1:8" x14ac:dyDescent="0.2">
      <c r="A436" s="3"/>
      <c r="B436" s="3"/>
      <c r="C436" s="3"/>
      <c r="D436" s="659"/>
      <c r="E436" s="659"/>
      <c r="F436" s="659"/>
      <c r="G436" s="653"/>
      <c r="H436" s="20"/>
    </row>
    <row r="437" spans="1:8" x14ac:dyDescent="0.2">
      <c r="A437" s="3"/>
      <c r="B437" s="3"/>
      <c r="C437" s="3"/>
      <c r="D437" s="659"/>
      <c r="E437" s="659"/>
      <c r="F437" s="659"/>
      <c r="G437" s="653"/>
      <c r="H437" s="20"/>
    </row>
    <row r="438" spans="1:8" x14ac:dyDescent="0.2">
      <c r="A438" s="3"/>
      <c r="B438" s="3"/>
      <c r="C438" s="3"/>
      <c r="D438" s="659"/>
      <c r="E438" s="659"/>
      <c r="F438" s="659"/>
      <c r="G438" s="653"/>
      <c r="H438" s="20"/>
    </row>
    <row r="439" spans="1:8" x14ac:dyDescent="0.2">
      <c r="A439" s="3"/>
      <c r="B439" s="3"/>
      <c r="C439" s="3"/>
      <c r="D439" s="659"/>
      <c r="E439" s="659"/>
      <c r="F439" s="659"/>
      <c r="G439" s="653"/>
      <c r="H439" s="20"/>
    </row>
    <row r="440" spans="1:8" x14ac:dyDescent="0.2">
      <c r="A440" s="3"/>
      <c r="B440" s="3"/>
      <c r="C440" s="3"/>
      <c r="D440" s="659"/>
      <c r="E440" s="659"/>
      <c r="F440" s="659"/>
      <c r="G440" s="653"/>
      <c r="H440" s="20"/>
    </row>
    <row r="441" spans="1:8" x14ac:dyDescent="0.2">
      <c r="A441" s="3"/>
      <c r="B441" s="3"/>
      <c r="C441" s="3"/>
      <c r="D441" s="659"/>
      <c r="E441" s="659"/>
      <c r="F441" s="659"/>
      <c r="G441" s="653"/>
      <c r="H441" s="20"/>
    </row>
    <row r="442" spans="1:8" x14ac:dyDescent="0.2">
      <c r="A442" s="3"/>
      <c r="B442" s="3"/>
      <c r="C442" s="3"/>
      <c r="D442" s="659"/>
      <c r="E442" s="659"/>
      <c r="F442" s="659"/>
      <c r="G442" s="653"/>
      <c r="H442" s="20"/>
    </row>
    <row r="443" spans="1:8" x14ac:dyDescent="0.2">
      <c r="A443" s="3"/>
      <c r="B443" s="3"/>
      <c r="C443" s="3"/>
      <c r="D443" s="659"/>
      <c r="E443" s="659"/>
      <c r="F443" s="659"/>
      <c r="G443" s="653"/>
      <c r="H443" s="20"/>
    </row>
    <row r="444" spans="1:8" x14ac:dyDescent="0.2">
      <c r="A444" s="3"/>
      <c r="B444" s="3"/>
      <c r="C444" s="3"/>
      <c r="D444" s="659"/>
      <c r="E444" s="659"/>
      <c r="F444" s="659"/>
      <c r="G444" s="653"/>
      <c r="H444" s="20"/>
    </row>
    <row r="445" spans="1:8" x14ac:dyDescent="0.2">
      <c r="A445" s="3"/>
      <c r="B445" s="3"/>
      <c r="C445" s="3"/>
      <c r="D445" s="659"/>
      <c r="E445" s="659"/>
      <c r="F445" s="659"/>
      <c r="G445" s="653"/>
      <c r="H445" s="20"/>
    </row>
    <row r="446" spans="1:8" x14ac:dyDescent="0.2">
      <c r="A446" s="3"/>
      <c r="B446" s="3"/>
      <c r="C446" s="3"/>
      <c r="D446" s="659"/>
      <c r="E446" s="659"/>
      <c r="F446" s="659"/>
      <c r="G446" s="653"/>
      <c r="H446" s="20"/>
    </row>
    <row r="447" spans="1:8" x14ac:dyDescent="0.2">
      <c r="A447" s="3"/>
      <c r="B447" s="3"/>
      <c r="C447" s="3"/>
      <c r="D447" s="659"/>
      <c r="E447" s="659"/>
      <c r="F447" s="659"/>
      <c r="G447" s="653"/>
      <c r="H447" s="20"/>
    </row>
    <row r="448" spans="1:8" x14ac:dyDescent="0.2">
      <c r="A448" s="3"/>
      <c r="B448" s="3"/>
      <c r="C448" s="3"/>
      <c r="D448" s="659"/>
      <c r="E448" s="659"/>
      <c r="F448" s="659"/>
      <c r="G448" s="653"/>
      <c r="H448" s="20"/>
    </row>
    <row r="449" spans="1:8" x14ac:dyDescent="0.2">
      <c r="A449" s="3"/>
      <c r="B449" s="3"/>
      <c r="C449" s="3"/>
      <c r="D449" s="659"/>
      <c r="E449" s="659"/>
      <c r="F449" s="659"/>
      <c r="G449" s="653"/>
      <c r="H449" s="20"/>
    </row>
    <row r="450" spans="1:8" x14ac:dyDescent="0.2">
      <c r="A450" s="3"/>
      <c r="B450" s="3"/>
      <c r="C450" s="3"/>
      <c r="D450" s="659"/>
      <c r="E450" s="659"/>
      <c r="F450" s="659"/>
      <c r="G450" s="653"/>
      <c r="H450" s="20"/>
    </row>
    <row r="451" spans="1:8" x14ac:dyDescent="0.2">
      <c r="A451" s="3"/>
      <c r="B451" s="3"/>
      <c r="C451" s="3"/>
      <c r="D451" s="659"/>
      <c r="E451" s="659"/>
      <c r="F451" s="659"/>
      <c r="G451" s="653"/>
      <c r="H451" s="20"/>
    </row>
    <row r="452" spans="1:8" x14ac:dyDescent="0.2">
      <c r="A452" s="3"/>
      <c r="B452" s="3"/>
      <c r="C452" s="3"/>
      <c r="D452" s="659"/>
      <c r="E452" s="659"/>
      <c r="F452" s="659"/>
      <c r="G452" s="653"/>
      <c r="H452" s="20"/>
    </row>
    <row r="453" spans="1:8" x14ac:dyDescent="0.2">
      <c r="A453" s="3"/>
      <c r="B453" s="3"/>
      <c r="C453" s="3"/>
      <c r="D453" s="659"/>
      <c r="E453" s="659"/>
      <c r="F453" s="659"/>
      <c r="G453" s="653"/>
      <c r="H453" s="20"/>
    </row>
    <row r="454" spans="1:8" x14ac:dyDescent="0.2">
      <c r="A454" s="3"/>
      <c r="B454" s="3"/>
      <c r="C454" s="3"/>
      <c r="D454" s="659"/>
      <c r="E454" s="659"/>
      <c r="F454" s="659"/>
      <c r="G454" s="653"/>
      <c r="H454" s="20"/>
    </row>
    <row r="455" spans="1:8" x14ac:dyDescent="0.2">
      <c r="A455" s="3"/>
      <c r="B455" s="3"/>
      <c r="C455" s="3"/>
      <c r="D455" s="659"/>
      <c r="E455" s="659"/>
      <c r="F455" s="659"/>
      <c r="G455" s="653"/>
      <c r="H455" s="20"/>
    </row>
    <row r="456" spans="1:8" x14ac:dyDescent="0.2">
      <c r="A456" s="3"/>
      <c r="B456" s="3"/>
      <c r="C456" s="3"/>
      <c r="D456" s="659"/>
      <c r="E456" s="659"/>
      <c r="F456" s="659"/>
      <c r="G456" s="653"/>
      <c r="H456" s="20"/>
    </row>
    <row r="457" spans="1:8" x14ac:dyDescent="0.2">
      <c r="A457" s="3"/>
      <c r="B457" s="3"/>
      <c r="C457" s="3"/>
      <c r="D457" s="659"/>
      <c r="E457" s="659"/>
      <c r="F457" s="659"/>
      <c r="G457" s="653"/>
      <c r="H457" s="20"/>
    </row>
    <row r="458" spans="1:8" x14ac:dyDescent="0.2">
      <c r="A458" s="3"/>
      <c r="B458" s="3"/>
      <c r="C458" s="3"/>
      <c r="D458" s="659"/>
      <c r="E458" s="659"/>
      <c r="F458" s="659"/>
      <c r="G458" s="653"/>
      <c r="H458" s="20"/>
    </row>
    <row r="459" spans="1:8" x14ac:dyDescent="0.2">
      <c r="A459" s="3"/>
      <c r="B459" s="3"/>
      <c r="C459" s="3"/>
      <c r="D459" s="659"/>
      <c r="E459" s="659"/>
      <c r="F459" s="659"/>
      <c r="G459" s="653"/>
      <c r="H459" s="20"/>
    </row>
    <row r="460" spans="1:8" x14ac:dyDescent="0.2">
      <c r="A460" s="3"/>
      <c r="B460" s="3"/>
      <c r="C460" s="3"/>
      <c r="D460" s="659"/>
      <c r="E460" s="659"/>
      <c r="F460" s="659"/>
      <c r="G460" s="653"/>
      <c r="H460" s="20"/>
    </row>
    <row r="461" spans="1:8" x14ac:dyDescent="0.2">
      <c r="A461" s="3"/>
      <c r="B461" s="3"/>
      <c r="C461" s="3"/>
      <c r="D461" s="659"/>
      <c r="E461" s="659"/>
      <c r="F461" s="659"/>
      <c r="G461" s="653"/>
      <c r="H461" s="20"/>
    </row>
    <row r="462" spans="1:8" x14ac:dyDescent="0.2">
      <c r="A462" s="3"/>
      <c r="B462" s="3"/>
      <c r="C462" s="3"/>
      <c r="D462" s="659"/>
      <c r="E462" s="659"/>
      <c r="F462" s="659"/>
      <c r="G462" s="653"/>
      <c r="H462" s="20"/>
    </row>
    <row r="463" spans="1:8" x14ac:dyDescent="0.2">
      <c r="A463" s="3"/>
      <c r="B463" s="3"/>
      <c r="C463" s="3"/>
      <c r="D463" s="659"/>
      <c r="E463" s="659"/>
      <c r="F463" s="659"/>
      <c r="G463" s="653"/>
      <c r="H463" s="20"/>
    </row>
    <row r="464" spans="1:8" x14ac:dyDescent="0.2">
      <c r="A464" s="3"/>
      <c r="B464" s="3"/>
      <c r="C464" s="3"/>
      <c r="D464" s="659"/>
      <c r="E464" s="659"/>
      <c r="F464" s="659"/>
      <c r="G464" s="653"/>
      <c r="H464" s="20"/>
    </row>
    <row r="465" spans="1:8" x14ac:dyDescent="0.2">
      <c r="A465" s="3"/>
      <c r="B465" s="3"/>
      <c r="C465" s="3"/>
      <c r="D465" s="659"/>
      <c r="E465" s="659"/>
      <c r="F465" s="659"/>
      <c r="G465" s="653"/>
      <c r="H465" s="20"/>
    </row>
    <row r="466" spans="1:8" x14ac:dyDescent="0.2">
      <c r="A466" s="3"/>
      <c r="B466" s="3"/>
      <c r="C466" s="3"/>
      <c r="D466" s="659"/>
      <c r="E466" s="659"/>
      <c r="F466" s="659"/>
      <c r="G466" s="653"/>
      <c r="H466" s="20"/>
    </row>
    <row r="467" spans="1:8" x14ac:dyDescent="0.2">
      <c r="A467" s="3"/>
      <c r="B467" s="3"/>
      <c r="C467" s="3"/>
      <c r="D467" s="659"/>
      <c r="E467" s="659"/>
      <c r="F467" s="659"/>
      <c r="G467" s="653"/>
      <c r="H467" s="20"/>
    </row>
    <row r="468" spans="1:8" x14ac:dyDescent="0.2">
      <c r="A468" s="3"/>
      <c r="B468" s="3"/>
      <c r="C468" s="3"/>
      <c r="D468" s="659"/>
      <c r="E468" s="659"/>
      <c r="F468" s="659"/>
      <c r="G468" s="653"/>
      <c r="H468" s="20"/>
    </row>
    <row r="469" spans="1:8" x14ac:dyDescent="0.2">
      <c r="A469" s="3"/>
      <c r="B469" s="3"/>
      <c r="C469" s="3"/>
      <c r="D469" s="659"/>
      <c r="E469" s="659"/>
      <c r="F469" s="659"/>
      <c r="G469" s="653"/>
      <c r="H469" s="20"/>
    </row>
    <row r="470" spans="1:8" x14ac:dyDescent="0.2">
      <c r="A470" s="3"/>
      <c r="B470" s="3"/>
      <c r="C470" s="3"/>
      <c r="D470" s="659"/>
      <c r="E470" s="659"/>
      <c r="F470" s="659"/>
      <c r="G470" s="653"/>
      <c r="H470" s="20"/>
    </row>
    <row r="471" spans="1:8" x14ac:dyDescent="0.2">
      <c r="A471" s="3"/>
      <c r="B471" s="3"/>
      <c r="C471" s="3"/>
      <c r="D471" s="659"/>
      <c r="E471" s="659"/>
      <c r="F471" s="659"/>
      <c r="G471" s="653"/>
      <c r="H471" s="20"/>
    </row>
    <row r="472" spans="1:8" x14ac:dyDescent="0.2">
      <c r="A472" s="3"/>
      <c r="B472" s="3"/>
      <c r="C472" s="3"/>
      <c r="D472" s="659"/>
      <c r="E472" s="659"/>
      <c r="F472" s="659"/>
      <c r="G472" s="653"/>
      <c r="H472" s="20"/>
    </row>
    <row r="473" spans="1:8" x14ac:dyDescent="0.2">
      <c r="A473" s="3"/>
      <c r="B473" s="3"/>
      <c r="C473" s="3"/>
      <c r="D473" s="659"/>
      <c r="E473" s="659"/>
      <c r="F473" s="659"/>
      <c r="G473" s="653"/>
      <c r="H473" s="20"/>
    </row>
    <row r="474" spans="1:8" x14ac:dyDescent="0.2">
      <c r="A474" s="3"/>
      <c r="B474" s="3"/>
      <c r="C474" s="3"/>
      <c r="D474" s="659"/>
      <c r="E474" s="659"/>
      <c r="F474" s="659"/>
      <c r="G474" s="653"/>
      <c r="H474" s="20"/>
    </row>
    <row r="475" spans="1:8" x14ac:dyDescent="0.2">
      <c r="A475" s="3"/>
      <c r="B475" s="3"/>
      <c r="C475" s="3"/>
      <c r="D475" s="659"/>
      <c r="E475" s="659"/>
      <c r="F475" s="659"/>
      <c r="G475" s="653"/>
      <c r="H475" s="20"/>
    </row>
    <row r="476" spans="1:8" x14ac:dyDescent="0.2">
      <c r="A476" s="3"/>
      <c r="B476" s="3"/>
      <c r="C476" s="3"/>
      <c r="D476" s="659"/>
      <c r="E476" s="659"/>
      <c r="F476" s="659"/>
      <c r="G476" s="653"/>
      <c r="H476" s="20"/>
    </row>
    <row r="477" spans="1:8" x14ac:dyDescent="0.2">
      <c r="A477" s="3"/>
      <c r="B477" s="3"/>
      <c r="C477" s="3"/>
      <c r="D477" s="659"/>
      <c r="E477" s="659"/>
      <c r="F477" s="659"/>
      <c r="G477" s="653"/>
      <c r="H477" s="20"/>
    </row>
    <row r="478" spans="1:8" x14ac:dyDescent="0.2">
      <c r="A478" s="3"/>
      <c r="B478" s="3"/>
      <c r="C478" s="3"/>
      <c r="D478" s="659"/>
      <c r="E478" s="659"/>
      <c r="F478" s="659"/>
      <c r="G478" s="653"/>
      <c r="H478" s="20"/>
    </row>
    <row r="479" spans="1:8" x14ac:dyDescent="0.2">
      <c r="A479" s="3"/>
      <c r="B479" s="3"/>
      <c r="C479" s="3"/>
      <c r="D479" s="659"/>
      <c r="E479" s="659"/>
      <c r="F479" s="659"/>
      <c r="G479" s="653"/>
      <c r="H479" s="20"/>
    </row>
    <row r="480" spans="1:8" x14ac:dyDescent="0.2">
      <c r="A480" s="3"/>
      <c r="B480" s="3"/>
      <c r="C480" s="3"/>
      <c r="D480" s="659"/>
      <c r="E480" s="659"/>
      <c r="F480" s="659"/>
      <c r="G480" s="653"/>
      <c r="H480" s="20"/>
    </row>
    <row r="481" spans="1:8" x14ac:dyDescent="0.2">
      <c r="A481" s="3"/>
      <c r="B481" s="3"/>
      <c r="C481" s="3"/>
      <c r="D481" s="659"/>
      <c r="E481" s="659"/>
      <c r="F481" s="659"/>
      <c r="G481" s="653"/>
      <c r="H481" s="20"/>
    </row>
    <row r="482" spans="1:8" x14ac:dyDescent="0.2">
      <c r="A482" s="3"/>
      <c r="B482" s="3"/>
      <c r="C482" s="3"/>
      <c r="D482" s="659"/>
      <c r="E482" s="659"/>
      <c r="F482" s="659"/>
      <c r="G482" s="653"/>
      <c r="H482" s="20"/>
    </row>
    <row r="483" spans="1:8" x14ac:dyDescent="0.2">
      <c r="A483" s="3"/>
      <c r="B483" s="3"/>
      <c r="C483" s="3"/>
      <c r="D483" s="659"/>
      <c r="E483" s="659"/>
      <c r="F483" s="659"/>
      <c r="G483" s="653"/>
      <c r="H483" s="20"/>
    </row>
    <row r="484" spans="1:8" x14ac:dyDescent="0.2">
      <c r="A484" s="3"/>
      <c r="B484" s="3"/>
      <c r="C484" s="3"/>
      <c r="D484" s="659"/>
      <c r="E484" s="659"/>
      <c r="F484" s="659"/>
      <c r="G484" s="653"/>
      <c r="H484" s="20"/>
    </row>
    <row r="485" spans="1:8" x14ac:dyDescent="0.2">
      <c r="A485" s="3"/>
      <c r="B485" s="3"/>
      <c r="C485" s="3"/>
      <c r="D485" s="659"/>
      <c r="E485" s="659"/>
      <c r="F485" s="659"/>
      <c r="G485" s="653"/>
      <c r="H485" s="20"/>
    </row>
    <row r="486" spans="1:8" x14ac:dyDescent="0.2">
      <c r="A486" s="3"/>
      <c r="B486" s="3"/>
      <c r="C486" s="3"/>
      <c r="D486" s="659"/>
      <c r="E486" s="659"/>
      <c r="F486" s="659"/>
      <c r="G486" s="653"/>
      <c r="H486" s="20"/>
    </row>
    <row r="487" spans="1:8" x14ac:dyDescent="0.2">
      <c r="A487" s="3"/>
      <c r="B487" s="3"/>
      <c r="C487" s="3"/>
      <c r="D487" s="659"/>
      <c r="E487" s="659"/>
      <c r="F487" s="659"/>
      <c r="G487" s="653"/>
      <c r="H487" s="20"/>
    </row>
    <row r="488" spans="1:8" x14ac:dyDescent="0.2">
      <c r="A488" s="3"/>
      <c r="B488" s="3"/>
      <c r="C488" s="3"/>
      <c r="D488" s="659"/>
      <c r="E488" s="659"/>
      <c r="F488" s="659"/>
      <c r="G488" s="653"/>
      <c r="H488" s="20"/>
    </row>
    <row r="489" spans="1:8" x14ac:dyDescent="0.2">
      <c r="A489" s="3"/>
      <c r="B489" s="3"/>
      <c r="C489" s="3"/>
      <c r="D489" s="659"/>
      <c r="E489" s="659"/>
      <c r="F489" s="659"/>
      <c r="G489" s="653"/>
      <c r="H489" s="20"/>
    </row>
    <row r="490" spans="1:8" x14ac:dyDescent="0.2">
      <c r="A490" s="3"/>
      <c r="B490" s="3"/>
      <c r="C490" s="3"/>
      <c r="D490" s="659"/>
      <c r="E490" s="659"/>
      <c r="F490" s="659"/>
      <c r="G490" s="653"/>
      <c r="H490" s="20"/>
    </row>
    <row r="491" spans="1:8" x14ac:dyDescent="0.2">
      <c r="A491" s="3"/>
      <c r="B491" s="3"/>
      <c r="C491" s="3"/>
      <c r="D491" s="659"/>
      <c r="E491" s="659"/>
      <c r="F491" s="659"/>
      <c r="G491" s="653"/>
      <c r="H491" s="20"/>
    </row>
    <row r="492" spans="1:8" x14ac:dyDescent="0.2">
      <c r="A492" s="3"/>
      <c r="B492" s="3"/>
      <c r="C492" s="3"/>
      <c r="D492" s="659"/>
      <c r="E492" s="659"/>
      <c r="F492" s="659"/>
      <c r="G492" s="653"/>
      <c r="H492" s="20"/>
    </row>
    <row r="493" spans="1:8" x14ac:dyDescent="0.2">
      <c r="A493" s="3"/>
      <c r="B493" s="3"/>
      <c r="C493" s="3"/>
      <c r="D493" s="659"/>
      <c r="E493" s="659"/>
      <c r="F493" s="659"/>
      <c r="G493" s="653"/>
      <c r="H493" s="20"/>
    </row>
    <row r="494" spans="1:8" x14ac:dyDescent="0.2">
      <c r="A494" s="3"/>
      <c r="B494" s="3"/>
      <c r="C494" s="3"/>
      <c r="D494" s="659"/>
      <c r="E494" s="659"/>
      <c r="F494" s="659"/>
      <c r="G494" s="653"/>
      <c r="H494" s="20"/>
    </row>
    <row r="495" spans="1:8" x14ac:dyDescent="0.2">
      <c r="A495" s="3"/>
      <c r="B495" s="3"/>
      <c r="C495" s="3"/>
      <c r="D495" s="659"/>
      <c r="E495" s="659"/>
      <c r="F495" s="659"/>
      <c r="G495" s="653"/>
      <c r="H495" s="20"/>
    </row>
    <row r="496" spans="1:8" x14ac:dyDescent="0.2">
      <c r="A496" s="3"/>
      <c r="B496" s="3"/>
      <c r="C496" s="3"/>
      <c r="D496" s="659"/>
      <c r="E496" s="659"/>
      <c r="F496" s="659"/>
      <c r="G496" s="653"/>
      <c r="H496" s="20"/>
    </row>
    <row r="497" spans="1:8" x14ac:dyDescent="0.2">
      <c r="A497" s="3"/>
      <c r="B497" s="3"/>
      <c r="C497" s="3"/>
      <c r="D497" s="659"/>
      <c r="E497" s="659"/>
      <c r="F497" s="659"/>
      <c r="G497" s="653"/>
      <c r="H497" s="20"/>
    </row>
    <row r="498" spans="1:8" x14ac:dyDescent="0.2">
      <c r="A498" s="3"/>
      <c r="B498" s="3"/>
      <c r="C498" s="3"/>
      <c r="D498" s="659"/>
      <c r="E498" s="659"/>
      <c r="F498" s="659"/>
      <c r="G498" s="653"/>
      <c r="H498" s="20"/>
    </row>
    <row r="499" spans="1:8" x14ac:dyDescent="0.2">
      <c r="A499" s="3"/>
      <c r="B499" s="3"/>
      <c r="C499" s="3"/>
      <c r="D499" s="659"/>
      <c r="E499" s="659"/>
      <c r="F499" s="659"/>
      <c r="G499" s="653"/>
      <c r="H499" s="20"/>
    </row>
    <row r="500" spans="1:8" x14ac:dyDescent="0.2">
      <c r="A500" s="3"/>
      <c r="B500" s="3"/>
      <c r="C500" s="3"/>
      <c r="D500" s="659"/>
      <c r="E500" s="659"/>
      <c r="F500" s="659"/>
      <c r="G500" s="653"/>
      <c r="H500" s="20"/>
    </row>
    <row r="501" spans="1:8" x14ac:dyDescent="0.2">
      <c r="A501" s="3"/>
      <c r="B501" s="3"/>
      <c r="C501" s="3"/>
      <c r="D501" s="659"/>
      <c r="E501" s="659"/>
      <c r="F501" s="659"/>
      <c r="G501" s="653"/>
      <c r="H501" s="20"/>
    </row>
    <row r="502" spans="1:8" x14ac:dyDescent="0.2">
      <c r="A502" s="3"/>
      <c r="B502" s="3"/>
      <c r="C502" s="3"/>
      <c r="D502" s="659"/>
      <c r="E502" s="659"/>
      <c r="F502" s="659"/>
      <c r="G502" s="653"/>
      <c r="H502" s="20"/>
    </row>
    <row r="503" spans="1:8" x14ac:dyDescent="0.2">
      <c r="A503" s="3"/>
      <c r="B503" s="3"/>
      <c r="C503" s="3"/>
      <c r="D503" s="659"/>
      <c r="E503" s="659"/>
      <c r="F503" s="659"/>
      <c r="G503" s="653"/>
      <c r="H503" s="20"/>
    </row>
    <row r="504" spans="1:8" x14ac:dyDescent="0.2">
      <c r="A504" s="3"/>
      <c r="B504" s="3"/>
      <c r="C504" s="3"/>
      <c r="D504" s="659"/>
      <c r="E504" s="659"/>
      <c r="F504" s="659"/>
      <c r="G504" s="653"/>
      <c r="H504" s="20"/>
    </row>
    <row r="505" spans="1:8" x14ac:dyDescent="0.2">
      <c r="A505" s="3"/>
      <c r="B505" s="3"/>
      <c r="C505" s="3"/>
      <c r="D505" s="659"/>
      <c r="E505" s="659"/>
      <c r="F505" s="659"/>
      <c r="G505" s="653"/>
      <c r="H505" s="20"/>
    </row>
    <row r="506" spans="1:8" x14ac:dyDescent="0.2">
      <c r="A506" s="3"/>
      <c r="B506" s="3"/>
      <c r="C506" s="3"/>
      <c r="D506" s="659"/>
      <c r="E506" s="659"/>
      <c r="F506" s="659"/>
      <c r="G506" s="653"/>
      <c r="H506" s="20"/>
    </row>
    <row r="507" spans="1:8" x14ac:dyDescent="0.2">
      <c r="A507" s="3"/>
      <c r="B507" s="3"/>
      <c r="C507" s="3"/>
      <c r="D507" s="659"/>
      <c r="E507" s="659"/>
      <c r="F507" s="659"/>
      <c r="G507" s="653"/>
      <c r="H507" s="20"/>
    </row>
    <row r="508" spans="1:8" x14ac:dyDescent="0.2">
      <c r="A508" s="3"/>
      <c r="B508" s="3"/>
      <c r="C508" s="3"/>
      <c r="D508" s="659"/>
      <c r="E508" s="659"/>
      <c r="F508" s="659"/>
      <c r="G508" s="653"/>
      <c r="H508" s="20"/>
    </row>
    <row r="509" spans="1:8" x14ac:dyDescent="0.2">
      <c r="A509" s="3"/>
      <c r="B509" s="3"/>
      <c r="C509" s="3"/>
      <c r="D509" s="659"/>
      <c r="E509" s="659"/>
      <c r="F509" s="659"/>
      <c r="G509" s="653"/>
      <c r="H509" s="20"/>
    </row>
    <row r="510" spans="1:8" x14ac:dyDescent="0.2">
      <c r="A510" s="3"/>
      <c r="B510" s="3"/>
      <c r="C510" s="3"/>
      <c r="D510" s="659"/>
      <c r="E510" s="659"/>
      <c r="F510" s="659"/>
      <c r="G510" s="653"/>
      <c r="H510" s="20"/>
    </row>
    <row r="511" spans="1:8" x14ac:dyDescent="0.2">
      <c r="A511" s="3"/>
      <c r="B511" s="3"/>
      <c r="C511" s="3"/>
      <c r="D511" s="659"/>
      <c r="E511" s="659"/>
      <c r="F511" s="659"/>
      <c r="G511" s="653"/>
      <c r="H511" s="20"/>
    </row>
    <row r="512" spans="1:8" x14ac:dyDescent="0.2">
      <c r="A512" s="3"/>
      <c r="B512" s="3"/>
      <c r="C512" s="3"/>
      <c r="D512" s="659"/>
      <c r="E512" s="659"/>
      <c r="F512" s="659"/>
      <c r="G512" s="653"/>
      <c r="H512" s="20"/>
    </row>
    <row r="513" spans="1:8" x14ac:dyDescent="0.2">
      <c r="A513" s="3"/>
      <c r="B513" s="3"/>
      <c r="C513" s="3"/>
      <c r="D513" s="659"/>
      <c r="E513" s="659"/>
      <c r="F513" s="659"/>
      <c r="G513" s="653"/>
      <c r="H513" s="20"/>
    </row>
    <row r="514" spans="1:8" x14ac:dyDescent="0.2">
      <c r="A514" s="3"/>
      <c r="B514" s="3"/>
      <c r="C514" s="3"/>
      <c r="D514" s="659"/>
      <c r="E514" s="659"/>
      <c r="F514" s="659"/>
      <c r="G514" s="653"/>
      <c r="H514" s="20"/>
    </row>
    <row r="515" spans="1:8" x14ac:dyDescent="0.2">
      <c r="A515" s="3"/>
      <c r="B515" s="3"/>
      <c r="C515" s="3"/>
      <c r="D515" s="659"/>
      <c r="E515" s="659"/>
      <c r="F515" s="659"/>
      <c r="G515" s="653"/>
      <c r="H515" s="20"/>
    </row>
    <row r="516" spans="1:8" x14ac:dyDescent="0.2">
      <c r="A516" s="3"/>
      <c r="B516" s="3"/>
      <c r="C516" s="3"/>
      <c r="D516" s="659"/>
      <c r="E516" s="659"/>
      <c r="F516" s="659"/>
      <c r="G516" s="653"/>
      <c r="H516" s="20"/>
    </row>
    <row r="517" spans="1:8" x14ac:dyDescent="0.2">
      <c r="A517" s="3"/>
      <c r="B517" s="3"/>
      <c r="C517" s="3"/>
      <c r="D517" s="659"/>
      <c r="E517" s="659"/>
      <c r="F517" s="659"/>
      <c r="G517" s="653"/>
      <c r="H517" s="20"/>
    </row>
    <row r="518" spans="1:8" x14ac:dyDescent="0.2">
      <c r="A518" s="3"/>
      <c r="B518" s="3"/>
      <c r="C518" s="3"/>
      <c r="D518" s="659"/>
      <c r="E518" s="659"/>
      <c r="F518" s="659"/>
      <c r="G518" s="653"/>
      <c r="H518" s="20"/>
    </row>
    <row r="519" spans="1:8" x14ac:dyDescent="0.2">
      <c r="A519" s="3"/>
      <c r="B519" s="3"/>
      <c r="C519" s="3"/>
      <c r="D519" s="659"/>
      <c r="E519" s="659"/>
      <c r="F519" s="659"/>
      <c r="G519" s="653"/>
      <c r="H519" s="20"/>
    </row>
    <row r="520" spans="1:8" x14ac:dyDescent="0.2">
      <c r="A520" s="3"/>
      <c r="B520" s="3"/>
      <c r="C520" s="3"/>
      <c r="D520" s="659"/>
      <c r="E520" s="659"/>
      <c r="F520" s="659"/>
      <c r="G520" s="653"/>
      <c r="H520" s="20"/>
    </row>
    <row r="521" spans="1:8" x14ac:dyDescent="0.2">
      <c r="A521" s="3"/>
      <c r="B521" s="3"/>
      <c r="C521" s="3"/>
      <c r="D521" s="659"/>
      <c r="E521" s="659"/>
      <c r="F521" s="659"/>
      <c r="G521" s="653"/>
      <c r="H521" s="20"/>
    </row>
    <row r="522" spans="1:8" x14ac:dyDescent="0.2">
      <c r="A522" s="3"/>
      <c r="B522" s="3"/>
      <c r="C522" s="3"/>
      <c r="D522" s="659"/>
      <c r="E522" s="659"/>
      <c r="F522" s="659"/>
      <c r="G522" s="653"/>
      <c r="H522" s="20"/>
    </row>
    <row r="523" spans="1:8" x14ac:dyDescent="0.2">
      <c r="A523" s="3"/>
      <c r="B523" s="3"/>
      <c r="C523" s="3"/>
      <c r="D523" s="659"/>
      <c r="E523" s="659"/>
      <c r="F523" s="659"/>
      <c r="G523" s="653"/>
      <c r="H523" s="20"/>
    </row>
    <row r="524" spans="1:8" x14ac:dyDescent="0.2">
      <c r="A524" s="3"/>
      <c r="B524" s="3"/>
      <c r="C524" s="3"/>
      <c r="D524" s="659"/>
      <c r="E524" s="659"/>
      <c r="F524" s="659"/>
      <c r="G524" s="653"/>
      <c r="H524" s="20"/>
    </row>
    <row r="525" spans="1:8" x14ac:dyDescent="0.2">
      <c r="A525" s="3"/>
      <c r="B525" s="3"/>
      <c r="C525" s="3"/>
      <c r="D525" s="659"/>
      <c r="E525" s="659"/>
      <c r="F525" s="659"/>
      <c r="G525" s="653"/>
      <c r="H525" s="20"/>
    </row>
    <row r="526" spans="1:8" x14ac:dyDescent="0.2">
      <c r="A526" s="3"/>
      <c r="B526" s="3"/>
      <c r="C526" s="3"/>
      <c r="D526" s="659"/>
      <c r="E526" s="659"/>
      <c r="F526" s="659"/>
      <c r="G526" s="653"/>
      <c r="H526" s="20"/>
    </row>
    <row r="527" spans="1:8" x14ac:dyDescent="0.2">
      <c r="A527" s="3"/>
      <c r="B527" s="3"/>
      <c r="C527" s="3"/>
      <c r="D527" s="659"/>
      <c r="E527" s="659"/>
      <c r="F527" s="659"/>
      <c r="G527" s="653"/>
      <c r="H527" s="20"/>
    </row>
    <row r="528" spans="1:8" x14ac:dyDescent="0.2">
      <c r="A528" s="3"/>
      <c r="B528" s="3"/>
      <c r="C528" s="3"/>
      <c r="D528" s="659"/>
      <c r="E528" s="659"/>
      <c r="F528" s="659"/>
      <c r="G528" s="653"/>
      <c r="H528" s="20"/>
    </row>
    <row r="529" spans="1:8" x14ac:dyDescent="0.2">
      <c r="A529" s="3"/>
      <c r="B529" s="3"/>
      <c r="C529" s="3"/>
      <c r="D529" s="659"/>
      <c r="E529" s="659"/>
      <c r="F529" s="659"/>
      <c r="G529" s="653"/>
      <c r="H529" s="20"/>
    </row>
    <row r="530" spans="1:8" x14ac:dyDescent="0.2">
      <c r="A530" s="3"/>
      <c r="B530" s="3"/>
      <c r="C530" s="3"/>
      <c r="D530" s="659"/>
      <c r="E530" s="659"/>
      <c r="F530" s="659"/>
      <c r="G530" s="653"/>
      <c r="H530" s="20"/>
    </row>
    <row r="531" spans="1:8" x14ac:dyDescent="0.2">
      <c r="A531" s="3"/>
      <c r="B531" s="3"/>
      <c r="C531" s="3"/>
      <c r="D531" s="659"/>
      <c r="E531" s="659"/>
      <c r="F531" s="659"/>
      <c r="G531" s="653"/>
      <c r="H531" s="20"/>
    </row>
    <row r="532" spans="1:8" x14ac:dyDescent="0.2">
      <c r="A532" s="3"/>
      <c r="B532" s="3"/>
      <c r="C532" s="3"/>
      <c r="D532" s="659"/>
      <c r="E532" s="659"/>
      <c r="F532" s="659"/>
      <c r="G532" s="653"/>
      <c r="H532" s="20"/>
    </row>
    <row r="533" spans="1:8" x14ac:dyDescent="0.2">
      <c r="A533" s="3"/>
      <c r="B533" s="3"/>
      <c r="C533" s="3"/>
      <c r="D533" s="659"/>
      <c r="E533" s="659"/>
      <c r="F533" s="659"/>
      <c r="G533" s="653"/>
      <c r="H533" s="20"/>
    </row>
    <row r="534" spans="1:8" x14ac:dyDescent="0.2">
      <c r="A534" s="3"/>
      <c r="B534" s="3"/>
      <c r="C534" s="3"/>
      <c r="D534" s="659"/>
      <c r="E534" s="659"/>
      <c r="F534" s="659"/>
      <c r="G534" s="653"/>
      <c r="H534" s="20"/>
    </row>
    <row r="535" spans="1:8" x14ac:dyDescent="0.2">
      <c r="A535" s="3"/>
      <c r="B535" s="3"/>
      <c r="C535" s="3"/>
      <c r="D535" s="659"/>
      <c r="E535" s="659"/>
      <c r="F535" s="659"/>
      <c r="G535" s="653"/>
      <c r="H535" s="20"/>
    </row>
    <row r="536" spans="1:8" x14ac:dyDescent="0.2">
      <c r="A536" s="3"/>
      <c r="B536" s="3"/>
      <c r="C536" s="3"/>
      <c r="D536" s="659"/>
      <c r="E536" s="659"/>
      <c r="F536" s="659"/>
      <c r="G536" s="653"/>
      <c r="H536" s="20"/>
    </row>
    <row r="537" spans="1:8" x14ac:dyDescent="0.2">
      <c r="A537" s="3"/>
      <c r="B537" s="3"/>
      <c r="C537" s="3"/>
      <c r="D537" s="659"/>
      <c r="E537" s="659"/>
      <c r="F537" s="659"/>
      <c r="G537" s="653"/>
      <c r="H537" s="20"/>
    </row>
    <row r="538" spans="1:8" x14ac:dyDescent="0.2">
      <c r="A538" s="3"/>
      <c r="B538" s="3"/>
      <c r="C538" s="3"/>
      <c r="D538" s="659"/>
      <c r="E538" s="659"/>
      <c r="F538" s="659"/>
      <c r="G538" s="653"/>
      <c r="H538" s="20"/>
    </row>
    <row r="539" spans="1:8" x14ac:dyDescent="0.2">
      <c r="A539" s="3"/>
      <c r="B539" s="3"/>
      <c r="C539" s="3"/>
      <c r="D539" s="659"/>
      <c r="E539" s="659"/>
      <c r="F539" s="659"/>
      <c r="G539" s="653"/>
      <c r="H539" s="20"/>
    </row>
    <row r="540" spans="1:8" x14ac:dyDescent="0.2">
      <c r="A540" s="3"/>
      <c r="B540" s="3"/>
      <c r="C540" s="3"/>
      <c r="D540" s="659"/>
      <c r="E540" s="659"/>
      <c r="F540" s="659"/>
      <c r="G540" s="653"/>
      <c r="H540" s="20"/>
    </row>
    <row r="541" spans="1:8" x14ac:dyDescent="0.2">
      <c r="A541" s="3"/>
      <c r="B541" s="3"/>
      <c r="C541" s="3"/>
      <c r="D541" s="659"/>
      <c r="E541" s="659"/>
      <c r="F541" s="659"/>
      <c r="G541" s="653"/>
      <c r="H541" s="20"/>
    </row>
    <row r="542" spans="1:8" x14ac:dyDescent="0.2">
      <c r="A542" s="3"/>
      <c r="B542" s="3"/>
      <c r="C542" s="3"/>
      <c r="D542" s="659"/>
      <c r="E542" s="659"/>
      <c r="F542" s="659"/>
      <c r="G542" s="653"/>
      <c r="H542" s="20"/>
    </row>
    <row r="543" spans="1:8" x14ac:dyDescent="0.2">
      <c r="A543" s="3"/>
      <c r="B543" s="3"/>
      <c r="C543" s="3"/>
      <c r="D543" s="659"/>
      <c r="E543" s="659"/>
      <c r="F543" s="659"/>
      <c r="G543" s="653"/>
      <c r="H543" s="20"/>
    </row>
    <row r="544" spans="1:8" x14ac:dyDescent="0.2">
      <c r="A544" s="3"/>
      <c r="B544" s="3"/>
      <c r="C544" s="3"/>
      <c r="D544" s="659"/>
      <c r="E544" s="659"/>
      <c r="F544" s="659"/>
      <c r="G544" s="653"/>
      <c r="H544" s="20"/>
    </row>
    <row r="545" spans="1:8" x14ac:dyDescent="0.2">
      <c r="A545" s="3"/>
      <c r="B545" s="3"/>
      <c r="C545" s="3"/>
      <c r="D545" s="659"/>
      <c r="E545" s="659"/>
      <c r="F545" s="659"/>
      <c r="G545" s="653"/>
      <c r="H545" s="20"/>
    </row>
    <row r="546" spans="1:8" x14ac:dyDescent="0.2">
      <c r="A546" s="3"/>
      <c r="B546" s="3"/>
      <c r="C546" s="3"/>
      <c r="D546" s="659"/>
      <c r="E546" s="659"/>
      <c r="F546" s="659"/>
      <c r="G546" s="653"/>
      <c r="H546" s="20"/>
    </row>
    <row r="547" spans="1:8" x14ac:dyDescent="0.2">
      <c r="A547" s="3"/>
      <c r="B547" s="3"/>
      <c r="C547" s="3"/>
      <c r="D547" s="659"/>
      <c r="E547" s="659"/>
      <c r="F547" s="659"/>
      <c r="G547" s="653"/>
      <c r="H547" s="20"/>
    </row>
    <row r="548" spans="1:8" x14ac:dyDescent="0.2">
      <c r="A548" s="3"/>
      <c r="B548" s="3"/>
      <c r="C548" s="3"/>
      <c r="D548" s="659"/>
      <c r="E548" s="659"/>
      <c r="F548" s="659"/>
      <c r="G548" s="653"/>
      <c r="H548" s="20"/>
    </row>
    <row r="549" spans="1:8" x14ac:dyDescent="0.2">
      <c r="A549" s="3"/>
      <c r="B549" s="3"/>
      <c r="C549" s="3"/>
      <c r="D549" s="659"/>
      <c r="E549" s="659"/>
      <c r="F549" s="659"/>
      <c r="G549" s="653"/>
      <c r="H549" s="20"/>
    </row>
    <row r="550" spans="1:8" x14ac:dyDescent="0.2">
      <c r="A550" s="3"/>
      <c r="B550" s="3"/>
      <c r="C550" s="3"/>
      <c r="D550" s="659"/>
      <c r="E550" s="659"/>
      <c r="F550" s="659"/>
      <c r="G550" s="653"/>
      <c r="H550" s="20"/>
    </row>
    <row r="551" spans="1:8" x14ac:dyDescent="0.2">
      <c r="A551" s="3"/>
      <c r="B551" s="3"/>
      <c r="C551" s="3"/>
      <c r="D551" s="659"/>
      <c r="E551" s="659"/>
      <c r="F551" s="659"/>
      <c r="G551" s="653"/>
      <c r="H551" s="20"/>
    </row>
    <row r="552" spans="1:8" x14ac:dyDescent="0.2">
      <c r="A552" s="3"/>
      <c r="B552" s="3"/>
      <c r="C552" s="3"/>
      <c r="D552" s="659"/>
      <c r="E552" s="659"/>
      <c r="F552" s="659"/>
      <c r="G552" s="653"/>
      <c r="H552" s="20"/>
    </row>
    <row r="553" spans="1:8" x14ac:dyDescent="0.2">
      <c r="A553" s="3"/>
      <c r="B553" s="3"/>
      <c r="C553" s="3"/>
      <c r="D553" s="659"/>
      <c r="E553" s="659"/>
      <c r="F553" s="659"/>
      <c r="G553" s="653"/>
      <c r="H553" s="20"/>
    </row>
    <row r="554" spans="1:8" x14ac:dyDescent="0.2">
      <c r="A554" s="3"/>
      <c r="B554" s="3"/>
      <c r="C554" s="3"/>
      <c r="D554" s="659"/>
      <c r="E554" s="659"/>
      <c r="F554" s="659"/>
      <c r="G554" s="653"/>
      <c r="H554" s="20"/>
    </row>
    <row r="555" spans="1:8" x14ac:dyDescent="0.2">
      <c r="A555" s="3"/>
      <c r="B555" s="3"/>
      <c r="C555" s="3"/>
      <c r="D555" s="659"/>
      <c r="E555" s="659"/>
      <c r="F555" s="659"/>
      <c r="G555" s="653"/>
      <c r="H555" s="20"/>
    </row>
    <row r="556" spans="1:8" x14ac:dyDescent="0.2">
      <c r="A556" s="3"/>
      <c r="B556" s="3"/>
      <c r="C556" s="3"/>
      <c r="D556" s="659"/>
      <c r="E556" s="659"/>
      <c r="F556" s="659"/>
      <c r="G556" s="653"/>
      <c r="H556" s="20"/>
    </row>
    <row r="557" spans="1:8" x14ac:dyDescent="0.2">
      <c r="A557" s="3"/>
      <c r="B557" s="3"/>
      <c r="C557" s="3"/>
      <c r="D557" s="659"/>
      <c r="E557" s="659"/>
      <c r="F557" s="659"/>
      <c r="G557" s="653"/>
      <c r="H557" s="20"/>
    </row>
    <row r="558" spans="1:8" x14ac:dyDescent="0.2">
      <c r="A558" s="3"/>
      <c r="B558" s="3"/>
      <c r="C558" s="3"/>
      <c r="D558" s="659"/>
      <c r="E558" s="659"/>
      <c r="F558" s="659"/>
      <c r="G558" s="653"/>
      <c r="H558" s="20"/>
    </row>
    <row r="559" spans="1:8" x14ac:dyDescent="0.2">
      <c r="A559" s="3"/>
      <c r="B559" s="3"/>
      <c r="C559" s="3"/>
      <c r="D559" s="659"/>
      <c r="E559" s="659"/>
      <c r="F559" s="659"/>
      <c r="G559" s="653"/>
      <c r="H559" s="20"/>
    </row>
    <row r="560" spans="1:8" x14ac:dyDescent="0.2">
      <c r="A560" s="3"/>
      <c r="B560" s="3"/>
      <c r="C560" s="3"/>
      <c r="D560" s="659"/>
      <c r="E560" s="659"/>
      <c r="F560" s="659"/>
      <c r="G560" s="653"/>
      <c r="H560" s="20"/>
    </row>
    <row r="561" spans="1:8" x14ac:dyDescent="0.2">
      <c r="A561" s="3"/>
      <c r="B561" s="3"/>
      <c r="C561" s="3"/>
      <c r="D561" s="659"/>
      <c r="E561" s="659"/>
      <c r="F561" s="659"/>
      <c r="G561" s="653"/>
      <c r="H561" s="20"/>
    </row>
    <row r="562" spans="1:8" x14ac:dyDescent="0.2">
      <c r="A562" s="3"/>
      <c r="B562" s="3"/>
      <c r="C562" s="3"/>
      <c r="D562" s="659"/>
      <c r="E562" s="659"/>
      <c r="F562" s="659"/>
      <c r="G562" s="653"/>
      <c r="H562" s="20"/>
    </row>
    <row r="563" spans="1:8" x14ac:dyDescent="0.2">
      <c r="A563" s="3"/>
      <c r="B563" s="3"/>
      <c r="C563" s="3"/>
      <c r="D563" s="659"/>
      <c r="E563" s="659"/>
      <c r="F563" s="659"/>
      <c r="G563" s="653"/>
      <c r="H563" s="20"/>
    </row>
    <row r="564" spans="1:8" x14ac:dyDescent="0.2">
      <c r="A564" s="3"/>
      <c r="B564" s="3"/>
      <c r="C564" s="3"/>
      <c r="D564" s="659"/>
      <c r="E564" s="659"/>
      <c r="F564" s="659"/>
      <c r="G564" s="653"/>
      <c r="H564" s="20"/>
    </row>
    <row r="565" spans="1:8" x14ac:dyDescent="0.2">
      <c r="A565" s="3"/>
      <c r="B565" s="3"/>
      <c r="C565" s="3"/>
      <c r="D565" s="659"/>
      <c r="E565" s="659"/>
      <c r="F565" s="659"/>
      <c r="G565" s="653"/>
      <c r="H565" s="20"/>
    </row>
    <row r="566" spans="1:8" x14ac:dyDescent="0.2">
      <c r="A566" s="3"/>
      <c r="B566" s="3"/>
      <c r="C566" s="3"/>
      <c r="D566" s="659"/>
      <c r="E566" s="659"/>
      <c r="F566" s="659"/>
      <c r="G566" s="653"/>
      <c r="H566" s="20"/>
    </row>
    <row r="567" spans="1:8" x14ac:dyDescent="0.2">
      <c r="A567" s="3"/>
      <c r="B567" s="3"/>
      <c r="C567" s="3"/>
      <c r="D567" s="659"/>
      <c r="E567" s="659"/>
      <c r="F567" s="659"/>
      <c r="G567" s="653"/>
      <c r="H567" s="20"/>
    </row>
    <row r="568" spans="1:8" x14ac:dyDescent="0.2">
      <c r="A568" s="3"/>
      <c r="B568" s="3"/>
      <c r="C568" s="3"/>
      <c r="D568" s="659"/>
      <c r="E568" s="659"/>
      <c r="F568" s="659"/>
      <c r="G568" s="653"/>
      <c r="H568" s="20"/>
    </row>
    <row r="569" spans="1:8" x14ac:dyDescent="0.2">
      <c r="A569" s="3"/>
      <c r="B569" s="3"/>
      <c r="C569" s="3"/>
      <c r="D569" s="659"/>
      <c r="E569" s="659"/>
      <c r="F569" s="659"/>
      <c r="G569" s="653"/>
      <c r="H569" s="20"/>
    </row>
    <row r="570" spans="1:8" x14ac:dyDescent="0.2">
      <c r="A570" s="3"/>
      <c r="B570" s="3"/>
      <c r="C570" s="3"/>
      <c r="D570" s="659"/>
      <c r="E570" s="659"/>
      <c r="F570" s="659"/>
      <c r="G570" s="653"/>
      <c r="H570" s="20"/>
    </row>
    <row r="571" spans="1:8" x14ac:dyDescent="0.2">
      <c r="A571" s="3"/>
      <c r="B571" s="3"/>
      <c r="C571" s="3"/>
      <c r="D571" s="659"/>
      <c r="E571" s="659"/>
      <c r="F571" s="659"/>
      <c r="G571" s="653"/>
      <c r="H571" s="20"/>
    </row>
    <row r="572" spans="1:8" x14ac:dyDescent="0.2">
      <c r="A572" s="3"/>
      <c r="B572" s="3"/>
      <c r="C572" s="3"/>
      <c r="D572" s="659"/>
      <c r="E572" s="659"/>
      <c r="F572" s="659"/>
      <c r="G572" s="653"/>
      <c r="H572" s="20"/>
    </row>
    <row r="573" spans="1:8" x14ac:dyDescent="0.2">
      <c r="A573" s="3"/>
      <c r="B573" s="3"/>
      <c r="C573" s="3"/>
      <c r="D573" s="659"/>
      <c r="E573" s="659"/>
      <c r="F573" s="659"/>
      <c r="G573" s="653"/>
      <c r="H573" s="20"/>
    </row>
    <row r="574" spans="1:8" x14ac:dyDescent="0.2">
      <c r="A574" s="3"/>
      <c r="B574" s="3"/>
      <c r="C574" s="3"/>
      <c r="D574" s="659"/>
      <c r="E574" s="659"/>
      <c r="F574" s="659"/>
      <c r="G574" s="653"/>
      <c r="H574" s="20"/>
    </row>
    <row r="575" spans="1:8" x14ac:dyDescent="0.2">
      <c r="A575" s="3"/>
      <c r="B575" s="3"/>
      <c r="C575" s="3"/>
      <c r="D575" s="659"/>
      <c r="E575" s="659"/>
      <c r="F575" s="659"/>
      <c r="G575" s="653"/>
      <c r="H575" s="20"/>
    </row>
    <row r="576" spans="1:8" x14ac:dyDescent="0.2">
      <c r="A576" s="3"/>
      <c r="B576" s="3"/>
      <c r="C576" s="3"/>
      <c r="D576" s="659"/>
      <c r="E576" s="659"/>
      <c r="F576" s="659"/>
      <c r="G576" s="653"/>
      <c r="H576" s="20"/>
    </row>
    <row r="577" spans="1:8" x14ac:dyDescent="0.2">
      <c r="A577" s="3"/>
      <c r="B577" s="3"/>
      <c r="C577" s="3"/>
      <c r="D577" s="659"/>
      <c r="E577" s="659"/>
      <c r="F577" s="659"/>
      <c r="G577" s="653"/>
      <c r="H577" s="20"/>
    </row>
    <row r="578" spans="1:8" x14ac:dyDescent="0.2">
      <c r="A578" s="3"/>
      <c r="B578" s="3"/>
      <c r="C578" s="3"/>
      <c r="D578" s="659"/>
      <c r="E578" s="659"/>
      <c r="F578" s="659"/>
      <c r="G578" s="653"/>
      <c r="H578" s="20"/>
    </row>
    <row r="579" spans="1:8" x14ac:dyDescent="0.2">
      <c r="A579" s="3"/>
      <c r="B579" s="3"/>
      <c r="C579" s="3"/>
      <c r="D579" s="659"/>
      <c r="E579" s="659"/>
      <c r="F579" s="659"/>
      <c r="G579" s="653"/>
      <c r="H579" s="20"/>
    </row>
    <row r="580" spans="1:8" x14ac:dyDescent="0.2">
      <c r="A580" s="3"/>
      <c r="B580" s="3"/>
      <c r="C580" s="3"/>
      <c r="D580" s="659"/>
      <c r="E580" s="659"/>
      <c r="F580" s="659"/>
      <c r="G580" s="653"/>
      <c r="H580" s="20"/>
    </row>
    <row r="581" spans="1:8" x14ac:dyDescent="0.2">
      <c r="A581" s="3"/>
      <c r="B581" s="3"/>
      <c r="C581" s="3"/>
      <c r="D581" s="659"/>
      <c r="E581" s="659"/>
      <c r="F581" s="659"/>
      <c r="G581" s="653"/>
      <c r="H581" s="20"/>
    </row>
    <row r="582" spans="1:8" x14ac:dyDescent="0.2">
      <c r="A582" s="3"/>
      <c r="B582" s="3"/>
      <c r="C582" s="3"/>
      <c r="D582" s="659"/>
      <c r="E582" s="659"/>
      <c r="F582" s="659"/>
      <c r="G582" s="653"/>
      <c r="H582" s="20"/>
    </row>
    <row r="583" spans="1:8" x14ac:dyDescent="0.2">
      <c r="A583" s="3"/>
      <c r="B583" s="3"/>
      <c r="C583" s="3"/>
      <c r="D583" s="659"/>
      <c r="E583" s="659"/>
      <c r="F583" s="659"/>
      <c r="G583" s="653"/>
      <c r="H583" s="20"/>
    </row>
    <row r="584" spans="1:8" x14ac:dyDescent="0.2">
      <c r="A584" s="3"/>
      <c r="B584" s="3"/>
      <c r="C584" s="3"/>
      <c r="D584" s="659"/>
      <c r="E584" s="659"/>
      <c r="F584" s="659"/>
      <c r="G584" s="653"/>
      <c r="H584" s="20"/>
    </row>
    <row r="585" spans="1:8" x14ac:dyDescent="0.2">
      <c r="A585" s="3"/>
      <c r="B585" s="3"/>
      <c r="C585" s="3"/>
      <c r="D585" s="659"/>
      <c r="E585" s="659"/>
      <c r="F585" s="659"/>
      <c r="G585" s="653"/>
      <c r="H585" s="20"/>
    </row>
    <row r="586" spans="1:8" x14ac:dyDescent="0.2">
      <c r="A586" s="3"/>
      <c r="B586" s="3"/>
      <c r="C586" s="3"/>
      <c r="D586" s="659"/>
      <c r="E586" s="659"/>
      <c r="F586" s="659"/>
      <c r="G586" s="653"/>
      <c r="H586" s="20"/>
    </row>
    <row r="587" spans="1:8" x14ac:dyDescent="0.2">
      <c r="A587" s="3"/>
      <c r="B587" s="3"/>
      <c r="C587" s="3"/>
      <c r="D587" s="659"/>
      <c r="E587" s="659"/>
      <c r="F587" s="659"/>
      <c r="G587" s="653"/>
      <c r="H587" s="20"/>
    </row>
    <row r="588" spans="1:8" x14ac:dyDescent="0.2">
      <c r="A588" s="3"/>
      <c r="B588" s="3"/>
      <c r="C588" s="3"/>
      <c r="D588" s="659"/>
      <c r="E588" s="659"/>
      <c r="F588" s="659"/>
      <c r="G588" s="653"/>
      <c r="H588" s="20"/>
    </row>
    <row r="589" spans="1:8" x14ac:dyDescent="0.2">
      <c r="A589" s="3"/>
      <c r="B589" s="3"/>
      <c r="C589" s="3"/>
      <c r="D589" s="659"/>
      <c r="E589" s="659"/>
      <c r="F589" s="659"/>
      <c r="G589" s="653"/>
      <c r="H589" s="20"/>
    </row>
    <row r="590" spans="1:8" x14ac:dyDescent="0.2">
      <c r="A590" s="3"/>
      <c r="B590" s="3"/>
      <c r="C590" s="3"/>
      <c r="D590" s="659"/>
      <c r="E590" s="659"/>
      <c r="F590" s="659"/>
      <c r="G590" s="653"/>
      <c r="H590" s="20"/>
    </row>
    <row r="591" spans="1:8" x14ac:dyDescent="0.2">
      <c r="A591" s="3"/>
      <c r="B591" s="3"/>
      <c r="C591" s="3"/>
      <c r="D591" s="659"/>
      <c r="E591" s="659"/>
      <c r="F591" s="659"/>
      <c r="G591" s="653"/>
      <c r="H591" s="20"/>
    </row>
    <row r="592" spans="1:8" x14ac:dyDescent="0.2">
      <c r="A592" s="3"/>
      <c r="B592" s="3"/>
      <c r="C592" s="3"/>
      <c r="D592" s="659"/>
      <c r="E592" s="659"/>
      <c r="F592" s="659"/>
      <c r="G592" s="653"/>
      <c r="H592" s="20"/>
    </row>
    <row r="593" spans="1:8" x14ac:dyDescent="0.2">
      <c r="A593" s="3"/>
      <c r="B593" s="3"/>
      <c r="C593" s="3"/>
      <c r="D593" s="659"/>
      <c r="E593" s="659"/>
      <c r="F593" s="659"/>
      <c r="G593" s="653"/>
      <c r="H593" s="20"/>
    </row>
    <row r="594" spans="1:8" x14ac:dyDescent="0.2">
      <c r="A594" s="3"/>
      <c r="B594" s="3"/>
      <c r="C594" s="3"/>
      <c r="D594" s="659"/>
      <c r="E594" s="659"/>
      <c r="F594" s="659"/>
      <c r="G594" s="653"/>
      <c r="H594" s="20"/>
    </row>
    <row r="595" spans="1:8" x14ac:dyDescent="0.2">
      <c r="A595" s="3"/>
      <c r="B595" s="3"/>
      <c r="C595" s="3"/>
      <c r="D595" s="659"/>
      <c r="E595" s="659"/>
      <c r="F595" s="659"/>
      <c r="G595" s="653"/>
      <c r="H595" s="20"/>
    </row>
    <row r="596" spans="1:8" x14ac:dyDescent="0.2">
      <c r="A596" s="3"/>
      <c r="B596" s="3"/>
      <c r="C596" s="3"/>
      <c r="D596" s="659"/>
      <c r="E596" s="659"/>
      <c r="F596" s="659"/>
      <c r="G596" s="653"/>
      <c r="H596" s="20"/>
    </row>
    <row r="597" spans="1:8" x14ac:dyDescent="0.2">
      <c r="A597" s="3"/>
      <c r="B597" s="3"/>
      <c r="C597" s="3"/>
      <c r="D597" s="659"/>
      <c r="E597" s="659"/>
      <c r="F597" s="659"/>
      <c r="G597" s="653"/>
      <c r="H597" s="20"/>
    </row>
    <row r="598" spans="1:8" x14ac:dyDescent="0.2">
      <c r="A598" s="3"/>
      <c r="B598" s="3"/>
      <c r="C598" s="3"/>
      <c r="D598" s="659"/>
      <c r="E598" s="659"/>
      <c r="F598" s="659"/>
      <c r="G598" s="653"/>
      <c r="H598" s="20"/>
    </row>
    <row r="599" spans="1:8" x14ac:dyDescent="0.2">
      <c r="A599" s="3"/>
      <c r="B599" s="3"/>
      <c r="C599" s="3"/>
      <c r="D599" s="659"/>
      <c r="E599" s="659"/>
      <c r="F599" s="659"/>
      <c r="G599" s="653"/>
      <c r="H599" s="20"/>
    </row>
    <row r="600" spans="1:8" x14ac:dyDescent="0.2">
      <c r="A600" s="3"/>
      <c r="B600" s="3"/>
      <c r="C600" s="3"/>
      <c r="D600" s="659"/>
      <c r="E600" s="659"/>
      <c r="F600" s="659"/>
      <c r="G600" s="653"/>
      <c r="H600" s="20"/>
    </row>
    <row r="601" spans="1:8" x14ac:dyDescent="0.2">
      <c r="A601" s="3"/>
      <c r="B601" s="3"/>
      <c r="C601" s="3"/>
      <c r="D601" s="659"/>
      <c r="E601" s="659"/>
      <c r="F601" s="659"/>
      <c r="G601" s="653"/>
      <c r="H601" s="20"/>
    </row>
    <row r="602" spans="1:8" x14ac:dyDescent="0.2">
      <c r="A602" s="3"/>
      <c r="B602" s="3"/>
      <c r="C602" s="3"/>
      <c r="D602" s="659"/>
      <c r="E602" s="659"/>
      <c r="F602" s="659"/>
      <c r="G602" s="653"/>
      <c r="H602" s="20"/>
    </row>
    <row r="603" spans="1:8" x14ac:dyDescent="0.2">
      <c r="A603" s="3"/>
      <c r="B603" s="3"/>
      <c r="C603" s="3"/>
      <c r="D603" s="659"/>
      <c r="E603" s="659"/>
      <c r="F603" s="659"/>
      <c r="G603" s="653"/>
      <c r="H603" s="20"/>
    </row>
    <row r="604" spans="1:8" x14ac:dyDescent="0.2">
      <c r="A604" s="3"/>
      <c r="B604" s="3"/>
      <c r="C604" s="3"/>
      <c r="D604" s="659"/>
      <c r="E604" s="659"/>
      <c r="F604" s="659"/>
      <c r="G604" s="653"/>
      <c r="H604" s="20"/>
    </row>
    <row r="605" spans="1:8" x14ac:dyDescent="0.2">
      <c r="A605" s="3"/>
      <c r="B605" s="3"/>
      <c r="C605" s="3"/>
      <c r="D605" s="659"/>
      <c r="E605" s="659"/>
      <c r="F605" s="659"/>
      <c r="G605" s="653"/>
      <c r="H605" s="20"/>
    </row>
    <row r="606" spans="1:8" x14ac:dyDescent="0.2">
      <c r="A606" s="3"/>
      <c r="B606" s="3"/>
      <c r="C606" s="3"/>
      <c r="D606" s="659"/>
      <c r="E606" s="659"/>
      <c r="F606" s="659"/>
      <c r="G606" s="653"/>
      <c r="H606" s="20"/>
    </row>
    <row r="607" spans="1:8" x14ac:dyDescent="0.2">
      <c r="A607" s="3"/>
      <c r="B607" s="3"/>
      <c r="C607" s="3"/>
      <c r="D607" s="659"/>
      <c r="E607" s="659"/>
      <c r="F607" s="659"/>
      <c r="G607" s="653"/>
      <c r="H607" s="20"/>
    </row>
    <row r="608" spans="1:8" x14ac:dyDescent="0.2">
      <c r="A608" s="3"/>
      <c r="B608" s="3"/>
      <c r="C608" s="3"/>
      <c r="D608" s="659"/>
      <c r="E608" s="659"/>
      <c r="F608" s="659"/>
      <c r="G608" s="653"/>
      <c r="H608" s="20"/>
    </row>
    <row r="609" spans="1:8" x14ac:dyDescent="0.2">
      <c r="A609" s="3"/>
      <c r="B609" s="3"/>
      <c r="C609" s="3"/>
      <c r="D609" s="659"/>
      <c r="E609" s="659"/>
      <c r="F609" s="659"/>
      <c r="G609" s="653"/>
      <c r="H609" s="20"/>
    </row>
    <row r="610" spans="1:8" x14ac:dyDescent="0.2">
      <c r="A610" s="3"/>
      <c r="B610" s="3"/>
      <c r="C610" s="3"/>
      <c r="D610" s="659"/>
      <c r="E610" s="659"/>
      <c r="F610" s="659"/>
      <c r="G610" s="653"/>
      <c r="H610" s="20"/>
    </row>
    <row r="611" spans="1:8" x14ac:dyDescent="0.2">
      <c r="A611" s="3"/>
      <c r="B611" s="3"/>
      <c r="C611" s="3"/>
      <c r="D611" s="659"/>
      <c r="E611" s="659"/>
      <c r="F611" s="659"/>
      <c r="G611" s="653"/>
      <c r="H611" s="20"/>
    </row>
    <row r="612" spans="1:8" x14ac:dyDescent="0.2">
      <c r="A612" s="3"/>
      <c r="B612" s="3"/>
      <c r="C612" s="3"/>
      <c r="D612" s="659"/>
      <c r="E612" s="659"/>
      <c r="F612" s="659"/>
      <c r="G612" s="653"/>
      <c r="H612" s="20"/>
    </row>
    <row r="613" spans="1:8" x14ac:dyDescent="0.2">
      <c r="A613" s="3"/>
      <c r="B613" s="3"/>
      <c r="C613" s="3"/>
      <c r="D613" s="659"/>
      <c r="E613" s="659"/>
      <c r="F613" s="659"/>
      <c r="G613" s="653"/>
      <c r="H613" s="20"/>
    </row>
    <row r="614" spans="1:8" x14ac:dyDescent="0.2">
      <c r="A614" s="3"/>
      <c r="B614" s="3"/>
      <c r="C614" s="3"/>
      <c r="D614" s="659"/>
      <c r="E614" s="659"/>
      <c r="F614" s="659"/>
      <c r="G614" s="653"/>
      <c r="H614" s="20"/>
    </row>
    <row r="615" spans="1:8" x14ac:dyDescent="0.2">
      <c r="A615" s="3"/>
      <c r="B615" s="3"/>
      <c r="C615" s="3"/>
      <c r="D615" s="659"/>
      <c r="E615" s="659"/>
      <c r="F615" s="659"/>
      <c r="G615" s="653"/>
      <c r="H615" s="20"/>
    </row>
    <row r="616" spans="1:8" x14ac:dyDescent="0.2">
      <c r="A616" s="3"/>
      <c r="B616" s="3"/>
      <c r="C616" s="3"/>
      <c r="D616" s="659"/>
      <c r="E616" s="659"/>
      <c r="F616" s="659"/>
      <c r="G616" s="653"/>
      <c r="H616" s="20"/>
    </row>
    <row r="617" spans="1:8" x14ac:dyDescent="0.2">
      <c r="A617" s="3"/>
      <c r="B617" s="3"/>
      <c r="C617" s="3"/>
      <c r="D617" s="659"/>
      <c r="E617" s="659"/>
      <c r="F617" s="659"/>
      <c r="G617" s="653"/>
      <c r="H617" s="20"/>
    </row>
    <row r="618" spans="1:8" x14ac:dyDescent="0.2">
      <c r="A618" s="3"/>
      <c r="B618" s="3"/>
      <c r="C618" s="3"/>
      <c r="D618" s="659"/>
      <c r="E618" s="659"/>
      <c r="F618" s="659"/>
      <c r="G618" s="653"/>
      <c r="H618" s="20"/>
    </row>
    <row r="619" spans="1:8" x14ac:dyDescent="0.2">
      <c r="A619" s="3"/>
      <c r="B619" s="3"/>
      <c r="C619" s="3"/>
      <c r="D619" s="659"/>
      <c r="E619" s="659"/>
      <c r="F619" s="659"/>
      <c r="G619" s="653"/>
      <c r="H619" s="20"/>
    </row>
    <row r="620" spans="1:8" x14ac:dyDescent="0.2">
      <c r="A620" s="3"/>
      <c r="B620" s="3"/>
      <c r="C620" s="3"/>
      <c r="D620" s="659"/>
      <c r="E620" s="659"/>
      <c r="F620" s="659"/>
      <c r="G620" s="653"/>
      <c r="H620" s="20"/>
    </row>
    <row r="621" spans="1:8" x14ac:dyDescent="0.2">
      <c r="A621" s="3"/>
      <c r="B621" s="3"/>
      <c r="C621" s="3"/>
      <c r="D621" s="659"/>
      <c r="E621" s="659"/>
      <c r="F621" s="659"/>
      <c r="G621" s="653"/>
      <c r="H621" s="20"/>
    </row>
    <row r="622" spans="1:8" x14ac:dyDescent="0.2">
      <c r="A622" s="3"/>
      <c r="B622" s="3"/>
      <c r="C622" s="3"/>
      <c r="D622" s="659"/>
      <c r="E622" s="659"/>
      <c r="F622" s="659"/>
      <c r="G622" s="653"/>
      <c r="H622" s="20"/>
    </row>
    <row r="623" spans="1:8" x14ac:dyDescent="0.2">
      <c r="A623" s="3"/>
      <c r="B623" s="3"/>
      <c r="C623" s="3"/>
      <c r="D623" s="659"/>
      <c r="E623" s="659"/>
      <c r="F623" s="659"/>
      <c r="G623" s="653"/>
      <c r="H623" s="20"/>
    </row>
    <row r="624" spans="1:8" x14ac:dyDescent="0.2">
      <c r="A624" s="3"/>
      <c r="B624" s="3"/>
      <c r="C624" s="3"/>
      <c r="D624" s="659"/>
      <c r="E624" s="659"/>
      <c r="F624" s="659"/>
      <c r="G624" s="653"/>
      <c r="H624" s="20"/>
    </row>
    <row r="625" spans="1:8" x14ac:dyDescent="0.2">
      <c r="A625" s="3"/>
      <c r="B625" s="3"/>
      <c r="C625" s="3"/>
      <c r="D625" s="659"/>
      <c r="E625" s="659"/>
      <c r="F625" s="659"/>
      <c r="G625" s="653"/>
      <c r="H625" s="20"/>
    </row>
    <row r="626" spans="1:8" x14ac:dyDescent="0.2">
      <c r="A626" s="3"/>
      <c r="B626" s="3"/>
      <c r="C626" s="3"/>
      <c r="D626" s="659"/>
      <c r="E626" s="659"/>
      <c r="F626" s="659"/>
      <c r="G626" s="653"/>
      <c r="H626" s="20"/>
    </row>
    <row r="627" spans="1:8" x14ac:dyDescent="0.2">
      <c r="A627" s="3"/>
      <c r="B627" s="3"/>
      <c r="C627" s="3"/>
      <c r="D627" s="659"/>
      <c r="E627" s="659"/>
      <c r="F627" s="659"/>
      <c r="G627" s="653"/>
      <c r="H627" s="20"/>
    </row>
    <row r="628" spans="1:8" x14ac:dyDescent="0.2">
      <c r="A628" s="3"/>
      <c r="B628" s="3"/>
      <c r="C628" s="3"/>
      <c r="D628" s="659"/>
      <c r="E628" s="659"/>
      <c r="F628" s="659"/>
      <c r="G628" s="653"/>
      <c r="H628" s="20"/>
    </row>
    <row r="629" spans="1:8" x14ac:dyDescent="0.2">
      <c r="A629" s="3"/>
      <c r="B629" s="3"/>
      <c r="C629" s="3"/>
      <c r="D629" s="659"/>
      <c r="E629" s="659"/>
      <c r="F629" s="659"/>
      <c r="G629" s="653"/>
      <c r="H629" s="20"/>
    </row>
    <row r="630" spans="1:8" x14ac:dyDescent="0.2">
      <c r="A630" s="3"/>
      <c r="B630" s="3"/>
      <c r="C630" s="3"/>
      <c r="D630" s="659"/>
      <c r="E630" s="659"/>
      <c r="F630" s="659"/>
      <c r="G630" s="653"/>
      <c r="H630" s="20"/>
    </row>
    <row r="631" spans="1:8" x14ac:dyDescent="0.2">
      <c r="A631" s="3"/>
      <c r="B631" s="3"/>
      <c r="C631" s="3"/>
      <c r="D631" s="659"/>
      <c r="E631" s="659"/>
      <c r="F631" s="659"/>
      <c r="G631" s="653"/>
      <c r="H631" s="20"/>
    </row>
    <row r="632" spans="1:8" x14ac:dyDescent="0.2">
      <c r="A632" s="3"/>
      <c r="B632" s="3"/>
      <c r="C632" s="3"/>
      <c r="D632" s="659"/>
      <c r="E632" s="659"/>
      <c r="F632" s="659"/>
      <c r="G632" s="653"/>
      <c r="H632" s="20"/>
    </row>
    <row r="633" spans="1:8" x14ac:dyDescent="0.2">
      <c r="A633" s="3"/>
      <c r="B633" s="3"/>
      <c r="C633" s="3"/>
      <c r="D633" s="659"/>
      <c r="E633" s="659"/>
      <c r="F633" s="659"/>
      <c r="G633" s="653"/>
      <c r="H633" s="20"/>
    </row>
    <row r="634" spans="1:8" x14ac:dyDescent="0.2">
      <c r="A634" s="3"/>
      <c r="B634" s="3"/>
      <c r="C634" s="3"/>
      <c r="D634" s="659"/>
      <c r="E634" s="659"/>
      <c r="F634" s="659"/>
      <c r="G634" s="653"/>
      <c r="H634" s="20"/>
    </row>
    <row r="635" spans="1:8" x14ac:dyDescent="0.2">
      <c r="A635" s="3"/>
      <c r="B635" s="3"/>
      <c r="C635" s="3"/>
      <c r="D635" s="659"/>
      <c r="E635" s="659"/>
      <c r="F635" s="659"/>
      <c r="G635" s="653"/>
      <c r="H635" s="20"/>
    </row>
    <row r="636" spans="1:8" x14ac:dyDescent="0.2">
      <c r="A636" s="3"/>
      <c r="B636" s="3"/>
      <c r="C636" s="3"/>
      <c r="D636" s="659"/>
      <c r="E636" s="659"/>
      <c r="F636" s="659"/>
      <c r="G636" s="653"/>
      <c r="H636" s="20"/>
    </row>
    <row r="637" spans="1:8" x14ac:dyDescent="0.2">
      <c r="A637" s="3"/>
      <c r="B637" s="3"/>
      <c r="C637" s="3"/>
      <c r="D637" s="659"/>
      <c r="E637" s="659"/>
      <c r="F637" s="659"/>
      <c r="G637" s="653"/>
      <c r="H637" s="20"/>
    </row>
    <row r="638" spans="1:8" x14ac:dyDescent="0.2">
      <c r="A638" s="3"/>
      <c r="B638" s="3"/>
      <c r="C638" s="3"/>
      <c r="D638" s="659"/>
      <c r="E638" s="659"/>
      <c r="F638" s="659"/>
      <c r="G638" s="653"/>
      <c r="H638" s="20"/>
    </row>
    <row r="639" spans="1:8" x14ac:dyDescent="0.2">
      <c r="A639" s="3"/>
      <c r="B639" s="3"/>
      <c r="C639" s="3"/>
      <c r="D639" s="659"/>
      <c r="E639" s="659"/>
      <c r="F639" s="659"/>
      <c r="G639" s="653"/>
      <c r="H639" s="20"/>
    </row>
    <row r="640" spans="1:8" x14ac:dyDescent="0.2">
      <c r="A640" s="3"/>
      <c r="B640" s="3"/>
      <c r="C640" s="3"/>
      <c r="D640" s="659"/>
      <c r="E640" s="659"/>
      <c r="F640" s="659"/>
      <c r="G640" s="653"/>
      <c r="H640" s="20"/>
    </row>
    <row r="641" spans="1:8" x14ac:dyDescent="0.2">
      <c r="A641" s="3"/>
      <c r="B641" s="3"/>
      <c r="C641" s="3"/>
      <c r="D641" s="659"/>
      <c r="E641" s="659"/>
      <c r="F641" s="659"/>
      <c r="G641" s="653"/>
      <c r="H641" s="20"/>
    </row>
    <row r="642" spans="1:8" x14ac:dyDescent="0.2">
      <c r="A642" s="3"/>
      <c r="B642" s="3"/>
      <c r="C642" s="3"/>
      <c r="D642" s="659"/>
      <c r="E642" s="659"/>
      <c r="F642" s="659"/>
      <c r="G642" s="653"/>
      <c r="H642" s="20"/>
    </row>
    <row r="643" spans="1:8" x14ac:dyDescent="0.2">
      <c r="A643" s="3"/>
      <c r="B643" s="3"/>
      <c r="C643" s="3"/>
      <c r="D643" s="659"/>
      <c r="E643" s="659"/>
      <c r="F643" s="659"/>
      <c r="G643" s="653"/>
      <c r="H643" s="20"/>
    </row>
    <row r="644" spans="1:8" x14ac:dyDescent="0.2">
      <c r="A644" s="3"/>
      <c r="B644" s="3"/>
      <c r="C644" s="3"/>
      <c r="D644" s="659"/>
      <c r="E644" s="659"/>
      <c r="F644" s="659"/>
      <c r="G644" s="653"/>
      <c r="H644" s="20"/>
    </row>
    <row r="645" spans="1:8" x14ac:dyDescent="0.2">
      <c r="A645" s="3"/>
      <c r="B645" s="3"/>
      <c r="C645" s="3"/>
      <c r="D645" s="659"/>
      <c r="E645" s="659"/>
      <c r="F645" s="659"/>
      <c r="G645" s="653"/>
      <c r="H645" s="20"/>
    </row>
    <row r="646" spans="1:8" x14ac:dyDescent="0.2">
      <c r="A646" s="3"/>
      <c r="B646" s="3"/>
      <c r="C646" s="3"/>
      <c r="D646" s="659"/>
      <c r="E646" s="659"/>
      <c r="F646" s="659"/>
      <c r="G646" s="653"/>
      <c r="H646" s="20"/>
    </row>
    <row r="647" spans="1:8" x14ac:dyDescent="0.2">
      <c r="A647" s="3"/>
      <c r="B647" s="3"/>
      <c r="C647" s="3"/>
      <c r="D647" s="659"/>
      <c r="E647" s="659"/>
      <c r="F647" s="659"/>
      <c r="G647" s="653"/>
      <c r="H647" s="20"/>
    </row>
    <row r="648" spans="1:8" x14ac:dyDescent="0.2">
      <c r="A648" s="3"/>
      <c r="B648" s="3"/>
      <c r="C648" s="3"/>
      <c r="D648" s="659"/>
      <c r="E648" s="659"/>
      <c r="F648" s="659"/>
      <c r="G648" s="653"/>
      <c r="H648" s="20"/>
    </row>
    <row r="649" spans="1:8" x14ac:dyDescent="0.2">
      <c r="A649" s="3"/>
      <c r="B649" s="3"/>
      <c r="C649" s="3"/>
      <c r="D649" s="659"/>
      <c r="E649" s="659"/>
      <c r="F649" s="659"/>
      <c r="G649" s="653"/>
      <c r="H649" s="20"/>
    </row>
    <row r="650" spans="1:8" x14ac:dyDescent="0.2">
      <c r="A650" s="3"/>
      <c r="B650" s="3"/>
      <c r="C650" s="3"/>
      <c r="D650" s="659"/>
      <c r="E650" s="659"/>
      <c r="F650" s="659"/>
      <c r="G650" s="653"/>
      <c r="H650" s="20"/>
    </row>
    <row r="651" spans="1:8" x14ac:dyDescent="0.2">
      <c r="A651" s="3"/>
      <c r="B651" s="3"/>
      <c r="C651" s="3"/>
      <c r="D651" s="659"/>
      <c r="E651" s="659"/>
      <c r="F651" s="659"/>
      <c r="G651" s="653"/>
      <c r="H651" s="20"/>
    </row>
    <row r="652" spans="1:8" x14ac:dyDescent="0.2">
      <c r="A652" s="3"/>
      <c r="B652" s="3"/>
      <c r="C652" s="3"/>
      <c r="D652" s="659"/>
      <c r="E652" s="659"/>
      <c r="F652" s="659"/>
      <c r="G652" s="653"/>
      <c r="H652" s="20"/>
    </row>
    <row r="653" spans="1:8" x14ac:dyDescent="0.2">
      <c r="A653" s="3"/>
      <c r="B653" s="3"/>
      <c r="C653" s="3"/>
      <c r="D653" s="659"/>
      <c r="E653" s="659"/>
      <c r="F653" s="659"/>
      <c r="G653" s="653"/>
      <c r="H653" s="20"/>
    </row>
    <row r="654" spans="1:8" x14ac:dyDescent="0.2">
      <c r="A654" s="3"/>
      <c r="B654" s="3"/>
      <c r="C654" s="3"/>
      <c r="D654" s="659"/>
      <c r="E654" s="659"/>
      <c r="F654" s="659"/>
      <c r="G654" s="653"/>
      <c r="H654" s="20"/>
    </row>
    <row r="655" spans="1:8" x14ac:dyDescent="0.2">
      <c r="A655" s="3"/>
      <c r="B655" s="3"/>
      <c r="C655" s="3"/>
      <c r="D655" s="659"/>
      <c r="E655" s="659"/>
      <c r="F655" s="659"/>
      <c r="G655" s="653"/>
      <c r="H655" s="20"/>
    </row>
    <row r="656" spans="1:8" x14ac:dyDescent="0.2">
      <c r="A656" s="3"/>
      <c r="B656" s="3"/>
      <c r="C656" s="3"/>
      <c r="D656" s="659"/>
      <c r="E656" s="659"/>
      <c r="F656" s="659"/>
      <c r="G656" s="653"/>
      <c r="H656" s="20"/>
    </row>
    <row r="657" spans="1:8" x14ac:dyDescent="0.2">
      <c r="A657" s="3"/>
      <c r="B657" s="3"/>
      <c r="C657" s="3"/>
      <c r="D657" s="659"/>
      <c r="E657" s="659"/>
      <c r="F657" s="659"/>
      <c r="G657" s="653"/>
      <c r="H657" s="20"/>
    </row>
    <row r="658" spans="1:8" x14ac:dyDescent="0.2">
      <c r="A658" s="3"/>
      <c r="B658" s="3"/>
      <c r="C658" s="3"/>
      <c r="D658" s="659"/>
      <c r="E658" s="659"/>
      <c r="F658" s="659"/>
      <c r="G658" s="653"/>
      <c r="H658" s="20"/>
    </row>
    <row r="659" spans="1:8" x14ac:dyDescent="0.2">
      <c r="A659" s="3"/>
      <c r="B659" s="3"/>
      <c r="C659" s="3"/>
      <c r="D659" s="659"/>
      <c r="E659" s="659"/>
      <c r="F659" s="659"/>
      <c r="G659" s="653"/>
      <c r="H659" s="20"/>
    </row>
    <row r="660" spans="1:8" x14ac:dyDescent="0.2">
      <c r="A660" s="3"/>
      <c r="B660" s="3"/>
      <c r="C660" s="3"/>
      <c r="D660" s="659"/>
      <c r="E660" s="659"/>
      <c r="F660" s="659"/>
      <c r="G660" s="653"/>
      <c r="H660" s="20"/>
    </row>
    <row r="661" spans="1:8" x14ac:dyDescent="0.2">
      <c r="A661" s="3"/>
      <c r="B661" s="3"/>
      <c r="C661" s="3"/>
      <c r="D661" s="659"/>
      <c r="E661" s="659"/>
      <c r="F661" s="659"/>
      <c r="G661" s="653"/>
      <c r="H661" s="20"/>
    </row>
    <row r="662" spans="1:8" x14ac:dyDescent="0.2">
      <c r="A662" s="3"/>
      <c r="B662" s="3"/>
      <c r="C662" s="3"/>
      <c r="D662" s="659"/>
      <c r="E662" s="659"/>
      <c r="F662" s="659"/>
      <c r="G662" s="653"/>
      <c r="H662" s="20"/>
    </row>
    <row r="663" spans="1:8" x14ac:dyDescent="0.2">
      <c r="A663" s="3"/>
      <c r="B663" s="3"/>
      <c r="C663" s="3"/>
      <c r="D663" s="659"/>
      <c r="E663" s="659"/>
      <c r="F663" s="659"/>
      <c r="G663" s="653"/>
      <c r="H663" s="20"/>
    </row>
    <row r="664" spans="1:8" x14ac:dyDescent="0.2">
      <c r="A664" s="3"/>
      <c r="B664" s="3"/>
      <c r="C664" s="3"/>
      <c r="D664" s="659"/>
      <c r="E664" s="659"/>
      <c r="F664" s="659"/>
      <c r="G664" s="653"/>
      <c r="H664" s="20"/>
    </row>
    <row r="665" spans="1:8" x14ac:dyDescent="0.2">
      <c r="A665" s="3"/>
      <c r="B665" s="3"/>
      <c r="C665" s="3"/>
      <c r="D665" s="659"/>
      <c r="E665" s="659"/>
      <c r="F665" s="659"/>
      <c r="G665" s="653"/>
      <c r="H665" s="20"/>
    </row>
    <row r="666" spans="1:8" x14ac:dyDescent="0.2">
      <c r="A666" s="3"/>
      <c r="B666" s="3"/>
      <c r="C666" s="3"/>
      <c r="D666" s="659"/>
      <c r="E666" s="659"/>
      <c r="F666" s="659"/>
      <c r="G666" s="653"/>
      <c r="H666" s="20"/>
    </row>
    <row r="667" spans="1:8" x14ac:dyDescent="0.2">
      <c r="A667" s="3"/>
      <c r="B667" s="3"/>
      <c r="C667" s="3"/>
      <c r="D667" s="659"/>
      <c r="E667" s="659"/>
      <c r="F667" s="659"/>
      <c r="G667" s="653"/>
      <c r="H667" s="20"/>
    </row>
    <row r="668" spans="1:8" x14ac:dyDescent="0.2">
      <c r="A668" s="3"/>
      <c r="B668" s="3"/>
      <c r="C668" s="3"/>
      <c r="D668" s="659"/>
      <c r="E668" s="659"/>
      <c r="F668" s="659"/>
      <c r="G668" s="653"/>
      <c r="H668" s="20"/>
    </row>
    <row r="669" spans="1:8" x14ac:dyDescent="0.2">
      <c r="A669" s="3"/>
      <c r="B669" s="3"/>
      <c r="C669" s="3"/>
      <c r="D669" s="659"/>
      <c r="E669" s="659"/>
      <c r="F669" s="659"/>
      <c r="G669" s="653"/>
      <c r="H669" s="20"/>
    </row>
    <row r="670" spans="1:8" x14ac:dyDescent="0.2">
      <c r="A670" s="3"/>
      <c r="B670" s="3"/>
      <c r="C670" s="3"/>
      <c r="D670" s="659"/>
      <c r="E670" s="659"/>
      <c r="F670" s="659"/>
      <c r="G670" s="653"/>
      <c r="H670" s="20"/>
    </row>
    <row r="671" spans="1:8" x14ac:dyDescent="0.2">
      <c r="A671" s="3"/>
      <c r="B671" s="3"/>
      <c r="C671" s="3"/>
      <c r="D671" s="659"/>
      <c r="E671" s="659"/>
      <c r="F671" s="659"/>
      <c r="G671" s="653"/>
      <c r="H671" s="20"/>
    </row>
    <row r="672" spans="1:8" x14ac:dyDescent="0.2">
      <c r="A672" s="3"/>
      <c r="B672" s="3"/>
      <c r="C672" s="3"/>
      <c r="D672" s="659"/>
      <c r="E672" s="659"/>
      <c r="F672" s="659"/>
      <c r="G672" s="653"/>
      <c r="H672" s="20"/>
    </row>
    <row r="673" spans="1:8" x14ac:dyDescent="0.2">
      <c r="A673" s="3"/>
      <c r="B673" s="3"/>
      <c r="C673" s="3"/>
      <c r="D673" s="659"/>
      <c r="E673" s="659"/>
      <c r="F673" s="659"/>
      <c r="G673" s="653"/>
      <c r="H673" s="20"/>
    </row>
    <row r="674" spans="1:8" x14ac:dyDescent="0.2">
      <c r="A674" s="3"/>
      <c r="B674" s="3"/>
      <c r="C674" s="3"/>
      <c r="D674" s="659"/>
      <c r="E674" s="659"/>
      <c r="F674" s="659"/>
      <c r="G674" s="653"/>
      <c r="H674" s="20"/>
    </row>
    <row r="675" spans="1:8" x14ac:dyDescent="0.2">
      <c r="A675" s="3"/>
      <c r="B675" s="3"/>
      <c r="C675" s="3"/>
      <c r="D675" s="659"/>
      <c r="E675" s="659"/>
      <c r="F675" s="659"/>
      <c r="G675" s="653"/>
      <c r="H675" s="20"/>
    </row>
    <row r="676" spans="1:8" x14ac:dyDescent="0.2">
      <c r="A676" s="3"/>
      <c r="B676" s="3"/>
      <c r="C676" s="3"/>
      <c r="D676" s="659"/>
      <c r="E676" s="659"/>
      <c r="F676" s="659"/>
      <c r="G676" s="653"/>
      <c r="H676" s="20"/>
    </row>
    <row r="677" spans="1:8" x14ac:dyDescent="0.2">
      <c r="A677" s="3"/>
      <c r="B677" s="3"/>
      <c r="C677" s="3"/>
      <c r="D677" s="659"/>
      <c r="E677" s="659"/>
      <c r="F677" s="659"/>
      <c r="G677" s="653"/>
      <c r="H677" s="20"/>
    </row>
    <row r="678" spans="1:8" x14ac:dyDescent="0.2">
      <c r="A678" s="3"/>
      <c r="B678" s="3"/>
      <c r="C678" s="3"/>
      <c r="D678" s="659"/>
      <c r="E678" s="659"/>
      <c r="F678" s="659"/>
      <c r="G678" s="653"/>
      <c r="H678" s="20"/>
    </row>
    <row r="679" spans="1:8" x14ac:dyDescent="0.2">
      <c r="A679" s="3"/>
      <c r="B679" s="3"/>
      <c r="C679" s="3"/>
      <c r="D679" s="659"/>
      <c r="E679" s="659"/>
      <c r="F679" s="659"/>
      <c r="G679" s="653"/>
      <c r="H679" s="20"/>
    </row>
    <row r="680" spans="1:8" x14ac:dyDescent="0.2">
      <c r="A680" s="3"/>
      <c r="B680" s="3"/>
      <c r="C680" s="3"/>
      <c r="D680" s="659"/>
      <c r="E680" s="659"/>
      <c r="F680" s="659"/>
      <c r="G680" s="653"/>
      <c r="H680" s="20"/>
    </row>
    <row r="681" spans="1:8" x14ac:dyDescent="0.2">
      <c r="A681" s="3"/>
      <c r="B681" s="3"/>
      <c r="C681" s="3"/>
      <c r="D681" s="659"/>
      <c r="E681" s="659"/>
      <c r="F681" s="659"/>
      <c r="G681" s="653"/>
      <c r="H681" s="20"/>
    </row>
    <row r="682" spans="1:8" x14ac:dyDescent="0.2">
      <c r="A682" s="3"/>
      <c r="B682" s="3"/>
      <c r="C682" s="3"/>
      <c r="D682" s="659"/>
      <c r="E682" s="659"/>
      <c r="F682" s="659"/>
      <c r="G682" s="653"/>
      <c r="H682" s="20"/>
    </row>
    <row r="683" spans="1:8" x14ac:dyDescent="0.2">
      <c r="A683" s="3"/>
      <c r="B683" s="3"/>
      <c r="C683" s="3"/>
      <c r="D683" s="659"/>
      <c r="E683" s="659"/>
      <c r="F683" s="659"/>
      <c r="G683" s="653"/>
      <c r="H683" s="20"/>
    </row>
    <row r="684" spans="1:8" x14ac:dyDescent="0.2">
      <c r="A684" s="3"/>
      <c r="B684" s="3"/>
      <c r="C684" s="3"/>
      <c r="D684" s="659"/>
      <c r="E684" s="659"/>
      <c r="F684" s="659"/>
      <c r="G684" s="653"/>
      <c r="H684" s="20"/>
    </row>
    <row r="685" spans="1:8" x14ac:dyDescent="0.2">
      <c r="A685" s="3"/>
      <c r="B685" s="3"/>
      <c r="C685" s="3"/>
      <c r="D685" s="659"/>
      <c r="E685" s="659"/>
      <c r="F685" s="659"/>
      <c r="G685" s="653"/>
      <c r="H685" s="20"/>
    </row>
    <row r="686" spans="1:8" x14ac:dyDescent="0.2">
      <c r="A686" s="3"/>
      <c r="B686" s="3"/>
      <c r="C686" s="3"/>
      <c r="D686" s="659"/>
      <c r="E686" s="659"/>
      <c r="F686" s="659"/>
      <c r="G686" s="653"/>
      <c r="H686" s="20"/>
    </row>
    <row r="687" spans="1:8" x14ac:dyDescent="0.2">
      <c r="A687" s="3"/>
      <c r="B687" s="3"/>
      <c r="C687" s="3"/>
      <c r="D687" s="659"/>
      <c r="E687" s="659"/>
      <c r="F687" s="659"/>
      <c r="G687" s="653"/>
      <c r="H687" s="20"/>
    </row>
    <row r="688" spans="1:8" x14ac:dyDescent="0.2">
      <c r="A688" s="3"/>
      <c r="B688" s="3"/>
      <c r="C688" s="3"/>
      <c r="D688" s="659"/>
      <c r="E688" s="659"/>
      <c r="F688" s="659"/>
      <c r="G688" s="653"/>
      <c r="H688" s="20"/>
    </row>
    <row r="689" spans="1:8" x14ac:dyDescent="0.2">
      <c r="A689" s="3"/>
      <c r="B689" s="3"/>
      <c r="C689" s="3"/>
      <c r="D689" s="659"/>
      <c r="E689" s="659"/>
      <c r="F689" s="659"/>
      <c r="G689" s="653"/>
      <c r="H689" s="20"/>
    </row>
    <row r="690" spans="1:8" x14ac:dyDescent="0.2">
      <c r="A690" s="3"/>
      <c r="B690" s="3"/>
      <c r="C690" s="3"/>
      <c r="D690" s="659"/>
      <c r="E690" s="659"/>
      <c r="F690" s="659"/>
      <c r="G690" s="653"/>
      <c r="H690" s="20"/>
    </row>
    <row r="691" spans="1:8" x14ac:dyDescent="0.2">
      <c r="A691" s="3"/>
      <c r="B691" s="3"/>
      <c r="C691" s="3"/>
      <c r="D691" s="659"/>
      <c r="E691" s="659"/>
      <c r="F691" s="659"/>
      <c r="G691" s="653"/>
      <c r="H691" s="20"/>
    </row>
    <row r="692" spans="1:8" x14ac:dyDescent="0.2">
      <c r="A692" s="3"/>
      <c r="B692" s="3"/>
      <c r="C692" s="3"/>
      <c r="D692" s="659"/>
      <c r="E692" s="659"/>
      <c r="F692" s="659"/>
      <c r="G692" s="653"/>
      <c r="H692" s="20"/>
    </row>
    <row r="693" spans="1:8" x14ac:dyDescent="0.2">
      <c r="A693" s="3"/>
      <c r="B693" s="3"/>
      <c r="C693" s="3"/>
      <c r="D693" s="659"/>
      <c r="E693" s="659"/>
      <c r="F693" s="659"/>
      <c r="G693" s="653"/>
      <c r="H693" s="20"/>
    </row>
    <row r="694" spans="1:8" x14ac:dyDescent="0.2">
      <c r="A694" s="3"/>
      <c r="B694" s="3"/>
      <c r="C694" s="3"/>
      <c r="D694" s="659"/>
      <c r="E694" s="659"/>
      <c r="F694" s="659"/>
      <c r="G694" s="653"/>
      <c r="H694" s="20"/>
    </row>
    <row r="695" spans="1:8" x14ac:dyDescent="0.2">
      <c r="A695" s="3"/>
      <c r="B695" s="3"/>
      <c r="C695" s="3"/>
      <c r="D695" s="659"/>
      <c r="E695" s="659"/>
      <c r="F695" s="659"/>
      <c r="G695" s="653"/>
      <c r="H695" s="20"/>
    </row>
    <row r="696" spans="1:8" x14ac:dyDescent="0.2">
      <c r="A696" s="3"/>
      <c r="B696" s="3"/>
      <c r="C696" s="3"/>
      <c r="D696" s="659"/>
      <c r="E696" s="659"/>
      <c r="F696" s="659"/>
      <c r="G696" s="653"/>
      <c r="H696" s="20"/>
    </row>
  </sheetData>
  <sheetProtection algorithmName="SHA-512" hashValue="Oyme6TlxgIhBJOqtW+B99vbwgGaca8y3WqVEW5OuQj0ClfiEmmICHg6VhRIZ2fMX32DmZnOUMWA5UFNtyVcFLw==" saltValue="vP/weQg4aupE+6SgiJRJqg==" spinCount="100000" sheet="1" formatCells="0" formatColumns="0" formatRows="0"/>
  <customSheetViews>
    <customSheetView guid="{B8E02330-2419-4DE6-AD01-7ACC7A5D18DD}" scale="75" topLeftCell="A178">
      <selection activeCell="A2" sqref="A2:H193"/>
      <pageMargins left="0.75" right="0.75" top="1" bottom="1" header="0.5" footer="0.5"/>
      <pageSetup orientation="portrait" r:id="rId1"/>
      <headerFooter alignWithMargins="0"/>
    </customSheetView>
  </customSheetViews>
  <mergeCells count="132">
    <mergeCell ref="H119:H122"/>
    <mergeCell ref="H110:H113"/>
    <mergeCell ref="B123:B127"/>
    <mergeCell ref="D168:F168"/>
    <mergeCell ref="H174:I174"/>
    <mergeCell ref="I159:I162"/>
    <mergeCell ref="A173:H173"/>
    <mergeCell ref="B128:B134"/>
    <mergeCell ref="A159:A162"/>
    <mergeCell ref="A171:B172"/>
    <mergeCell ref="D170:H170"/>
    <mergeCell ref="C172:E172"/>
    <mergeCell ref="C171:E171"/>
    <mergeCell ref="B159:B162"/>
    <mergeCell ref="H171:I171"/>
    <mergeCell ref="H172:I172"/>
    <mergeCell ref="D169:F169"/>
    <mergeCell ref="D166:F166"/>
    <mergeCell ref="D164:H164"/>
    <mergeCell ref="D165:F165"/>
    <mergeCell ref="H159:H162"/>
    <mergeCell ref="B143:B148"/>
    <mergeCell ref="I149:I156"/>
    <mergeCell ref="H149:H156"/>
    <mergeCell ref="I128:I134"/>
    <mergeCell ref="I135:I139"/>
    <mergeCell ref="I143:I148"/>
    <mergeCell ref="H123:H127"/>
    <mergeCell ref="B135:B139"/>
    <mergeCell ref="A143:A148"/>
    <mergeCell ref="A135:A139"/>
    <mergeCell ref="A128:A134"/>
    <mergeCell ref="H143:H148"/>
    <mergeCell ref="H135:H139"/>
    <mergeCell ref="H128:H134"/>
    <mergeCell ref="B149:B156"/>
    <mergeCell ref="A149:A156"/>
    <mergeCell ref="A103:A109"/>
    <mergeCell ref="A81:A86"/>
    <mergeCell ref="B119:B122"/>
    <mergeCell ref="A123:A127"/>
    <mergeCell ref="A97:A102"/>
    <mergeCell ref="B81:B86"/>
    <mergeCell ref="B87:B92"/>
    <mergeCell ref="A119:A122"/>
    <mergeCell ref="H87:H92"/>
    <mergeCell ref="H81:H86"/>
    <mergeCell ref="H93:H96"/>
    <mergeCell ref="H97:H102"/>
    <mergeCell ref="H103:H109"/>
    <mergeCell ref="B97:B102"/>
    <mergeCell ref="B115:B118"/>
    <mergeCell ref="H115:H118"/>
    <mergeCell ref="A115:A118"/>
    <mergeCell ref="B93:B96"/>
    <mergeCell ref="A93:A96"/>
    <mergeCell ref="B103:B109"/>
    <mergeCell ref="A87:A92"/>
    <mergeCell ref="A110:A113"/>
    <mergeCell ref="B110:B113"/>
    <mergeCell ref="E1:I1"/>
    <mergeCell ref="I3:I9"/>
    <mergeCell ref="I10:I17"/>
    <mergeCell ref="I18:I24"/>
    <mergeCell ref="I25:I31"/>
    <mergeCell ref="A10:A17"/>
    <mergeCell ref="A3:A9"/>
    <mergeCell ref="B25:B31"/>
    <mergeCell ref="A18:A24"/>
    <mergeCell ref="B18:B24"/>
    <mergeCell ref="H18:H24"/>
    <mergeCell ref="A1:B1"/>
    <mergeCell ref="H25:H31"/>
    <mergeCell ref="H3:H9"/>
    <mergeCell ref="B10:B17"/>
    <mergeCell ref="H10:H17"/>
    <mergeCell ref="A25:A31"/>
    <mergeCell ref="H32:H36"/>
    <mergeCell ref="B3:B9"/>
    <mergeCell ref="A32:A36"/>
    <mergeCell ref="B32:B36"/>
    <mergeCell ref="H68:H74"/>
    <mergeCell ref="H50:H54"/>
    <mergeCell ref="H43:H49"/>
    <mergeCell ref="A55:A59"/>
    <mergeCell ref="H55:H59"/>
    <mergeCell ref="A60:A65"/>
    <mergeCell ref="H60:H65"/>
    <mergeCell ref="B55:B59"/>
    <mergeCell ref="H38:H42"/>
    <mergeCell ref="A38:A42"/>
    <mergeCell ref="B38:B42"/>
    <mergeCell ref="H75:H80"/>
    <mergeCell ref="A75:A80"/>
    <mergeCell ref="B50:B54"/>
    <mergeCell ref="A50:A54"/>
    <mergeCell ref="A43:A49"/>
    <mergeCell ref="B60:B65"/>
    <mergeCell ref="B43:B49"/>
    <mergeCell ref="A68:A74"/>
    <mergeCell ref="B75:B80"/>
    <mergeCell ref="B68:B74"/>
    <mergeCell ref="I50:I54"/>
    <mergeCell ref="I55:I59"/>
    <mergeCell ref="I60:I65"/>
    <mergeCell ref="I68:I74"/>
    <mergeCell ref="I97:I102"/>
    <mergeCell ref="I32:I36"/>
    <mergeCell ref="I123:I127"/>
    <mergeCell ref="I38:I42"/>
    <mergeCell ref="I43:I49"/>
    <mergeCell ref="I110:I113"/>
    <mergeCell ref="I119:I122"/>
    <mergeCell ref="I75:I80"/>
    <mergeCell ref="I81:I86"/>
    <mergeCell ref="I87:I92"/>
    <mergeCell ref="I93:I96"/>
    <mergeCell ref="I103:I109"/>
    <mergeCell ref="I115:I118"/>
    <mergeCell ref="H187:I187"/>
    <mergeCell ref="H181:I181"/>
    <mergeCell ref="H182:I182"/>
    <mergeCell ref="H183:I183"/>
    <mergeCell ref="H184:I184"/>
    <mergeCell ref="H185:I185"/>
    <mergeCell ref="H175:I175"/>
    <mergeCell ref="H176:I176"/>
    <mergeCell ref="H177:I177"/>
    <mergeCell ref="H178:I178"/>
    <mergeCell ref="H180:I180"/>
    <mergeCell ref="H186:I186"/>
    <mergeCell ref="H179:I179"/>
  </mergeCells>
  <phoneticPr fontId="3" type="noConversion"/>
  <pageMargins left="0.75" right="0.75" top="1" bottom="1" header="0.5" footer="0.5"/>
  <pageSetup orientation="portrait"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dimension ref="A1:BX626"/>
  <sheetViews>
    <sheetView topLeftCell="A65" zoomScaleNormal="100" workbookViewId="0">
      <selection activeCell="G69" sqref="G69"/>
    </sheetView>
  </sheetViews>
  <sheetFormatPr defaultColWidth="9.33203125" defaultRowHeight="12.75" x14ac:dyDescent="0.2"/>
  <cols>
    <col min="1" max="1" width="5.83203125" style="78" customWidth="1"/>
    <col min="2" max="2" width="18.83203125" style="78" customWidth="1"/>
    <col min="3" max="3" width="75.83203125" style="42" customWidth="1"/>
    <col min="4" max="6" width="7.83203125" style="731" customWidth="1"/>
    <col min="7" max="7" width="10.1640625" style="732" customWidth="1"/>
    <col min="8" max="8" width="64.83203125" style="21" customWidth="1"/>
    <col min="9" max="9" width="11.6640625" style="9" customWidth="1"/>
    <col min="10" max="16384" width="9.33203125" style="58"/>
  </cols>
  <sheetData>
    <row r="1" spans="1:76" s="2109" customFormat="1" ht="54" customHeight="1" thickBot="1" x14ac:dyDescent="0.25">
      <c r="A1" s="2627" t="s">
        <v>1360</v>
      </c>
      <c r="B1" s="2867"/>
      <c r="C1" s="2058" t="s">
        <v>1084</v>
      </c>
      <c r="D1" s="2102" t="s">
        <v>2358</v>
      </c>
      <c r="E1" s="2845"/>
      <c r="F1" s="2846"/>
      <c r="G1" s="2846"/>
      <c r="H1" s="2846"/>
      <c r="I1" s="2846"/>
    </row>
    <row r="2" spans="1:76" s="1357" customFormat="1" ht="36" customHeight="1" thickBot="1" x14ac:dyDescent="0.35">
      <c r="A2" s="1195" t="s">
        <v>88</v>
      </c>
      <c r="B2" s="1158" t="s">
        <v>1425</v>
      </c>
      <c r="C2" s="1196" t="s">
        <v>1165</v>
      </c>
      <c r="D2" s="1355" t="s">
        <v>45</v>
      </c>
      <c r="E2" s="1179" t="s">
        <v>1189</v>
      </c>
      <c r="F2" s="1180" t="s">
        <v>1190</v>
      </c>
      <c r="G2" s="1181" t="s">
        <v>2555</v>
      </c>
      <c r="H2" s="1182" t="s">
        <v>1118</v>
      </c>
      <c r="I2" s="1215" t="s">
        <v>2424</v>
      </c>
      <c r="J2" s="1356"/>
      <c r="K2" s="1356"/>
      <c r="L2" s="1356"/>
      <c r="M2" s="1356"/>
      <c r="N2" s="1356"/>
      <c r="O2" s="1356"/>
      <c r="P2" s="1356"/>
      <c r="Q2" s="1356"/>
      <c r="R2" s="1356"/>
      <c r="S2" s="1356"/>
      <c r="T2" s="1356"/>
      <c r="U2" s="1356"/>
      <c r="V2" s="1356"/>
      <c r="W2" s="1356"/>
      <c r="X2" s="1356"/>
      <c r="Y2" s="1356"/>
      <c r="Z2" s="1356"/>
      <c r="AA2" s="1356"/>
      <c r="AB2" s="1356"/>
      <c r="AC2" s="1356"/>
      <c r="AD2" s="1356"/>
      <c r="AE2" s="1356"/>
      <c r="AF2" s="1356"/>
      <c r="AG2" s="1356"/>
      <c r="AH2" s="1356"/>
      <c r="AI2" s="1356"/>
      <c r="AJ2" s="1356"/>
      <c r="AK2" s="1356"/>
      <c r="AL2" s="1356"/>
      <c r="AM2" s="1356"/>
      <c r="AN2" s="1356"/>
      <c r="AO2" s="1356"/>
      <c r="AP2" s="1356"/>
      <c r="AQ2" s="1356"/>
      <c r="AR2" s="1356"/>
      <c r="AS2" s="1356"/>
      <c r="AT2" s="1356"/>
      <c r="AU2" s="1356"/>
      <c r="AV2" s="1356"/>
      <c r="AW2" s="1356"/>
      <c r="AX2" s="1356"/>
      <c r="AY2" s="1356"/>
      <c r="AZ2" s="1356"/>
      <c r="BA2" s="1356"/>
      <c r="BB2" s="1356"/>
      <c r="BC2" s="1356"/>
      <c r="BD2" s="1356"/>
      <c r="BE2" s="1356"/>
      <c r="BF2" s="1356"/>
      <c r="BG2" s="1356"/>
      <c r="BH2" s="1356"/>
      <c r="BI2" s="1356"/>
      <c r="BJ2" s="1356"/>
      <c r="BK2" s="1356"/>
      <c r="BL2" s="1356"/>
      <c r="BM2" s="1356"/>
      <c r="BN2" s="1356"/>
      <c r="BO2" s="1356"/>
      <c r="BP2" s="1356"/>
      <c r="BQ2" s="1356"/>
      <c r="BR2" s="1356"/>
      <c r="BS2" s="1356"/>
      <c r="BT2" s="1356"/>
      <c r="BU2" s="1356"/>
      <c r="BV2" s="1356"/>
      <c r="BW2" s="1356"/>
      <c r="BX2" s="1356"/>
    </row>
    <row r="3" spans="1:76" ht="30" customHeight="1" thickBot="1" x14ac:dyDescent="0.25">
      <c r="A3" s="2860" t="str">
        <f>OF!A9</f>
        <v>OF2</v>
      </c>
      <c r="B3" s="2860" t="str">
        <f>OF!B9</f>
        <v xml:space="preserve">Ponded Area Within 1 km.  </v>
      </c>
      <c r="C3" s="691" t="str">
        <f>OF!C9</f>
        <v>The area of surface water ponded during most of the growing season that is both (1) in or adjacent to the AA and (2) within 1 km is:</v>
      </c>
      <c r="D3" s="726"/>
      <c r="E3" s="304"/>
      <c r="F3" s="209"/>
      <c r="G3" s="706">
        <f>MAX(F4:F9)/MAX(E4:E9)</f>
        <v>0</v>
      </c>
      <c r="H3" s="2323" t="s">
        <v>2333</v>
      </c>
      <c r="I3" s="2326" t="s">
        <v>2861</v>
      </c>
    </row>
    <row r="4" spans="1:76" ht="15.6" customHeight="1" x14ac:dyDescent="0.2">
      <c r="A4" s="2861"/>
      <c r="B4" s="2861"/>
      <c r="C4" s="700" t="str">
        <f>OF!C10</f>
        <v>&lt;0.01 hectare (about 10 m x 10 m).</v>
      </c>
      <c r="D4" s="290">
        <f>OF!D10</f>
        <v>1</v>
      </c>
      <c r="E4" s="299">
        <v>0</v>
      </c>
      <c r="F4" s="87">
        <f t="shared" ref="F4:F9" si="0">D4*E4</f>
        <v>0</v>
      </c>
      <c r="G4" s="708"/>
      <c r="H4" s="2324"/>
      <c r="I4" s="2327"/>
    </row>
    <row r="5" spans="1:76" ht="15.6" customHeight="1" x14ac:dyDescent="0.2">
      <c r="A5" s="2861"/>
      <c r="B5" s="2861"/>
      <c r="C5" s="701" t="str">
        <f>OF!C11</f>
        <v>0.01 - 0.1 hectare.</v>
      </c>
      <c r="D5" s="290">
        <f>OF!D11</f>
        <v>0</v>
      </c>
      <c r="E5" s="299">
        <v>2</v>
      </c>
      <c r="F5" s="87">
        <f t="shared" si="0"/>
        <v>0</v>
      </c>
      <c r="G5" s="708"/>
      <c r="H5" s="2324"/>
      <c r="I5" s="2327"/>
    </row>
    <row r="6" spans="1:76" ht="15.6" customHeight="1" x14ac:dyDescent="0.2">
      <c r="A6" s="2861"/>
      <c r="B6" s="2861"/>
      <c r="C6" s="701" t="str">
        <f>OF!C12</f>
        <v>0.1 - 1 hectare.</v>
      </c>
      <c r="D6" s="290">
        <f>OF!D12</f>
        <v>0</v>
      </c>
      <c r="E6" s="299">
        <v>3</v>
      </c>
      <c r="F6" s="87">
        <f t="shared" si="0"/>
        <v>0</v>
      </c>
      <c r="G6" s="708"/>
      <c r="H6" s="2324"/>
      <c r="I6" s="2327"/>
    </row>
    <row r="7" spans="1:76" ht="15.6" customHeight="1" x14ac:dyDescent="0.2">
      <c r="A7" s="2861"/>
      <c r="B7" s="2861"/>
      <c r="C7" s="701" t="str">
        <f>OF!C13</f>
        <v>1 to 10 hectares.</v>
      </c>
      <c r="D7" s="290">
        <f>OF!D13</f>
        <v>0</v>
      </c>
      <c r="E7" s="299">
        <v>4</v>
      </c>
      <c r="F7" s="87">
        <f t="shared" si="0"/>
        <v>0</v>
      </c>
      <c r="G7" s="708"/>
      <c r="H7" s="2324"/>
      <c r="I7" s="2327"/>
    </row>
    <row r="8" spans="1:76" ht="15.6" customHeight="1" x14ac:dyDescent="0.2">
      <c r="A8" s="2861"/>
      <c r="B8" s="2861"/>
      <c r="C8" s="701" t="str">
        <f>OF!C14</f>
        <v>10 to 100 hectares.</v>
      </c>
      <c r="D8" s="290">
        <f>OF!D14</f>
        <v>0</v>
      </c>
      <c r="E8" s="299">
        <v>5</v>
      </c>
      <c r="F8" s="87">
        <f t="shared" si="0"/>
        <v>0</v>
      </c>
      <c r="G8" s="708"/>
      <c r="H8" s="2324"/>
      <c r="I8" s="2327"/>
    </row>
    <row r="9" spans="1:76" ht="15.6" customHeight="1" thickBot="1" x14ac:dyDescent="0.25">
      <c r="A9" s="2862"/>
      <c r="B9" s="2862"/>
      <c r="C9" s="694" t="str">
        <f>OF!C15</f>
        <v>&gt;100 hectares.</v>
      </c>
      <c r="D9" s="287">
        <f>OF!D15</f>
        <v>0</v>
      </c>
      <c r="E9" s="299">
        <v>7</v>
      </c>
      <c r="F9" s="87">
        <f t="shared" si="0"/>
        <v>0</v>
      </c>
      <c r="G9" s="709"/>
      <c r="H9" s="2325"/>
      <c r="I9" s="2328"/>
    </row>
    <row r="10" spans="1:76" ht="21" customHeight="1" thickBot="1" x14ac:dyDescent="0.25">
      <c r="A10" s="2874" t="str">
        <f>OF!A56</f>
        <v>OF11</v>
      </c>
      <c r="B10" s="2887" t="str">
        <f>OF!B56</f>
        <v>Distance to Nearest Maintained Road</v>
      </c>
      <c r="C10" s="676" t="str">
        <f>OF!C56</f>
        <v>From the center of the AA, the distance to the nearest maintained public road (dirt or paved) is:</v>
      </c>
      <c r="D10" s="209"/>
      <c r="E10" s="304"/>
      <c r="F10" s="176"/>
      <c r="G10" s="706">
        <f>MAX(F11:F16)/MAX(E11:E16)</f>
        <v>1</v>
      </c>
      <c r="H10" s="2323" t="s">
        <v>2334</v>
      </c>
      <c r="I10" s="2757" t="s">
        <v>230</v>
      </c>
    </row>
    <row r="11" spans="1:76" ht="15" customHeight="1" x14ac:dyDescent="0.2">
      <c r="A11" s="2879"/>
      <c r="B11" s="2868"/>
      <c r="C11" s="677" t="str">
        <f>OF!C57</f>
        <v>&lt;10 m.</v>
      </c>
      <c r="D11" s="281">
        <f>OF!D57</f>
        <v>0</v>
      </c>
      <c r="E11" s="300">
        <v>0</v>
      </c>
      <c r="F11" s="87">
        <f t="shared" ref="F11:F16" si="1">D11*E11</f>
        <v>0</v>
      </c>
      <c r="G11" s="707"/>
      <c r="H11" s="2324"/>
      <c r="I11" s="2758"/>
    </row>
    <row r="12" spans="1:76" ht="15" customHeight="1" x14ac:dyDescent="0.2">
      <c r="A12" s="2879"/>
      <c r="B12" s="2868"/>
      <c r="C12" s="678" t="str">
        <f>OF!C58</f>
        <v>10 - 25 m.</v>
      </c>
      <c r="D12" s="282">
        <f>OF!D58</f>
        <v>0</v>
      </c>
      <c r="E12" s="300">
        <v>2</v>
      </c>
      <c r="F12" s="87">
        <f t="shared" si="1"/>
        <v>0</v>
      </c>
      <c r="G12" s="708"/>
      <c r="H12" s="2324"/>
      <c r="I12" s="2758"/>
    </row>
    <row r="13" spans="1:76" ht="15" customHeight="1" x14ac:dyDescent="0.2">
      <c r="A13" s="2879"/>
      <c r="B13" s="2868"/>
      <c r="C13" s="678" t="str">
        <f>OF!C59</f>
        <v>25 - 50 m.</v>
      </c>
      <c r="D13" s="282">
        <f>OF!D59</f>
        <v>0</v>
      </c>
      <c r="E13" s="300">
        <v>3</v>
      </c>
      <c r="F13" s="87">
        <f t="shared" si="1"/>
        <v>0</v>
      </c>
      <c r="G13" s="708"/>
      <c r="H13" s="2324"/>
      <c r="I13" s="2758"/>
    </row>
    <row r="14" spans="1:76" ht="15" customHeight="1" x14ac:dyDescent="0.2">
      <c r="A14" s="2879"/>
      <c r="B14" s="2868"/>
      <c r="C14" s="678" t="str">
        <f>OF!C60</f>
        <v>50 - 100 m.</v>
      </c>
      <c r="D14" s="282">
        <f>OF!D60</f>
        <v>0</v>
      </c>
      <c r="E14" s="300">
        <v>4</v>
      </c>
      <c r="F14" s="87">
        <f t="shared" si="1"/>
        <v>0</v>
      </c>
      <c r="G14" s="708"/>
      <c r="H14" s="2324"/>
      <c r="I14" s="2758"/>
    </row>
    <row r="15" spans="1:76" ht="15" customHeight="1" x14ac:dyDescent="0.2">
      <c r="A15" s="2879"/>
      <c r="B15" s="2868"/>
      <c r="C15" s="678" t="str">
        <f>OF!C61</f>
        <v>100 - 500 m.</v>
      </c>
      <c r="D15" s="282">
        <f>OF!D61</f>
        <v>0</v>
      </c>
      <c r="E15" s="300">
        <v>5</v>
      </c>
      <c r="F15" s="87">
        <f t="shared" si="1"/>
        <v>0</v>
      </c>
      <c r="G15" s="708"/>
      <c r="H15" s="2324"/>
      <c r="I15" s="2758"/>
    </row>
    <row r="16" spans="1:76" ht="15.6" customHeight="1" thickBot="1" x14ac:dyDescent="0.25">
      <c r="A16" s="2880"/>
      <c r="B16" s="2888"/>
      <c r="C16" s="679" t="str">
        <f>OF!C62</f>
        <v>&gt;500 m.</v>
      </c>
      <c r="D16" s="283">
        <f>OF!D62</f>
        <v>1</v>
      </c>
      <c r="E16" s="301">
        <v>8</v>
      </c>
      <c r="F16" s="174">
        <f t="shared" si="1"/>
        <v>8</v>
      </c>
      <c r="G16" s="709"/>
      <c r="H16" s="2325"/>
      <c r="I16" s="2759"/>
    </row>
    <row r="17" spans="1:9" ht="30" customHeight="1" thickBot="1" x14ac:dyDescent="0.25">
      <c r="A17" s="2879" t="str">
        <f>OF!A64</f>
        <v>OF13</v>
      </c>
      <c r="B17" s="2868" t="str">
        <f>OF!B64</f>
        <v>Distance to Ponded Water</v>
      </c>
      <c r="C17" s="680" t="str">
        <f>OF!C64</f>
        <v>The distance from the AA center to the closest (but separate) ponded water body visible in GoogleEarth imagery is:</v>
      </c>
      <c r="D17" s="710"/>
      <c r="E17" s="299"/>
      <c r="F17" s="93"/>
      <c r="G17" s="909">
        <f>IF((Marsh+Fen_&gt;0),MAX(F18:F24)/MAX(E18:E24),"")</f>
        <v>0.16666666666666666</v>
      </c>
      <c r="H17" s="2324" t="s">
        <v>1472</v>
      </c>
      <c r="I17" s="2757" t="s">
        <v>231</v>
      </c>
    </row>
    <row r="18" spans="1:9" ht="27" customHeight="1" x14ac:dyDescent="0.2">
      <c r="A18" s="2875"/>
      <c r="B18" s="2869"/>
      <c r="C18" s="677" t="str">
        <f>OF!C65</f>
        <v xml:space="preserve">&lt;50 m, and not separated by any width of paved roads, stretches of open water, row crops, lawn, bare ground, or impervious surface. </v>
      </c>
      <c r="D18" s="281">
        <f>OF!D65</f>
        <v>0</v>
      </c>
      <c r="E18" s="300">
        <v>6</v>
      </c>
      <c r="F18" s="87">
        <f t="shared" ref="F18:F24" si="2">D18*E18</f>
        <v>0</v>
      </c>
      <c r="G18" s="905"/>
      <c r="H18" s="2324"/>
      <c r="I18" s="2758"/>
    </row>
    <row r="19" spans="1:9" ht="15" customHeight="1" x14ac:dyDescent="0.2">
      <c r="A19" s="2875"/>
      <c r="B19" s="2869"/>
      <c r="C19" s="677" t="str">
        <f>OF!C66</f>
        <v>&lt;50 m, but completely separated by those features.</v>
      </c>
      <c r="D19" s="281">
        <f>OF!D66</f>
        <v>0</v>
      </c>
      <c r="E19" s="300">
        <v>5</v>
      </c>
      <c r="F19" s="87">
        <f t="shared" si="2"/>
        <v>0</v>
      </c>
      <c r="G19" s="718"/>
      <c r="H19" s="2324"/>
      <c r="I19" s="2758"/>
    </row>
    <row r="20" spans="1:9" ht="15" customHeight="1" x14ac:dyDescent="0.2">
      <c r="A20" s="2875"/>
      <c r="B20" s="2869"/>
      <c r="C20" s="677" t="str">
        <f>OF!C67</f>
        <v>50-500 m, and not separated.</v>
      </c>
      <c r="D20" s="281">
        <f>OF!D67</f>
        <v>0</v>
      </c>
      <c r="E20" s="300">
        <v>4</v>
      </c>
      <c r="F20" s="87">
        <f t="shared" si="2"/>
        <v>0</v>
      </c>
      <c r="G20" s="718"/>
      <c r="H20" s="2324"/>
      <c r="I20" s="2758"/>
    </row>
    <row r="21" spans="1:9" ht="15" customHeight="1" x14ac:dyDescent="0.2">
      <c r="A21" s="2875"/>
      <c r="B21" s="2869"/>
      <c r="C21" s="677" t="str">
        <f>OF!C68</f>
        <v>50-500 m, but separated by those features.</v>
      </c>
      <c r="D21" s="281">
        <f>OF!D68</f>
        <v>0</v>
      </c>
      <c r="E21" s="300">
        <v>3</v>
      </c>
      <c r="F21" s="87">
        <f t="shared" si="2"/>
        <v>0</v>
      </c>
      <c r="G21" s="718"/>
      <c r="H21" s="2324"/>
      <c r="I21" s="2758"/>
    </row>
    <row r="22" spans="1:9" ht="15" customHeight="1" x14ac:dyDescent="0.2">
      <c r="A22" s="2875"/>
      <c r="B22" s="2869"/>
      <c r="C22" s="677" t="str">
        <f>OF!C69</f>
        <v>0.5 - 1 km, and not separated.</v>
      </c>
      <c r="D22" s="281">
        <f>OF!D69</f>
        <v>0</v>
      </c>
      <c r="E22" s="300">
        <v>2</v>
      </c>
      <c r="F22" s="87">
        <f t="shared" si="2"/>
        <v>0</v>
      </c>
      <c r="G22" s="718"/>
      <c r="H22" s="2324"/>
      <c r="I22" s="2758"/>
    </row>
    <row r="23" spans="1:9" ht="15" customHeight="1" x14ac:dyDescent="0.2">
      <c r="A23" s="2875"/>
      <c r="B23" s="2869"/>
      <c r="C23" s="677" t="str">
        <f>OF!C70</f>
        <v>0.5 - 1 km, but separated by those features.</v>
      </c>
      <c r="D23" s="281">
        <f>OF!D70</f>
        <v>1</v>
      </c>
      <c r="E23" s="303">
        <v>1</v>
      </c>
      <c r="F23" s="712">
        <f t="shared" si="2"/>
        <v>1</v>
      </c>
      <c r="G23" s="906"/>
      <c r="H23" s="2324"/>
      <c r="I23" s="2758"/>
    </row>
    <row r="24" spans="1:9" ht="15" customHeight="1" thickBot="1" x14ac:dyDescent="0.25">
      <c r="A24" s="2876"/>
      <c r="B24" s="2870"/>
      <c r="C24" s="704" t="str">
        <f>OF!C71</f>
        <v>None of the above (the closest patches or corridors that large are &gt;1 km away).</v>
      </c>
      <c r="D24" s="705">
        <f>OF!D71</f>
        <v>0</v>
      </c>
      <c r="E24" s="301">
        <v>0</v>
      </c>
      <c r="F24" s="174">
        <f t="shared" si="2"/>
        <v>0</v>
      </c>
      <c r="G24" s="719"/>
      <c r="H24" s="2325"/>
      <c r="I24" s="2759"/>
    </row>
    <row r="25" spans="1:9" ht="32.450000000000003" customHeight="1" thickBot="1" x14ac:dyDescent="0.25">
      <c r="A25" s="2874" t="str">
        <f>OF!A72</f>
        <v>OF14</v>
      </c>
      <c r="B25" s="2887" t="str">
        <f>OF!B72</f>
        <v>Distance to Large Ponded Water</v>
      </c>
      <c r="C25" s="676" t="str">
        <f>OF!C72</f>
        <v>The distance from the AA center to the closest (but separate) non-tidal body of water that is ponded during most of the year and is larger than 8 hectares during most of a normal year is:</v>
      </c>
      <c r="D25" s="209"/>
      <c r="E25" s="304"/>
      <c r="F25" s="714"/>
      <c r="G25" s="706">
        <f>IF((Fen_ + Marsh&gt;0),MAX(F26:F31)/MAX(E26:E31),"")</f>
        <v>0.33333333333333331</v>
      </c>
      <c r="H25" s="2323" t="s">
        <v>2884</v>
      </c>
      <c r="I25" s="2757" t="s">
        <v>232</v>
      </c>
    </row>
    <row r="26" spans="1:9" ht="15" customHeight="1" x14ac:dyDescent="0.2">
      <c r="A26" s="2875"/>
      <c r="B26" s="2869"/>
      <c r="C26" s="677" t="str">
        <f>OF!C73</f>
        <v>&lt;100 m.</v>
      </c>
      <c r="D26" s="281">
        <f>OF!D73</f>
        <v>0</v>
      </c>
      <c r="E26" s="300">
        <v>6</v>
      </c>
      <c r="F26" s="87">
        <f>LakeNear13*E26</f>
        <v>0</v>
      </c>
      <c r="G26" s="707"/>
      <c r="H26" s="2324"/>
      <c r="I26" s="2758"/>
    </row>
    <row r="27" spans="1:9" ht="15" customHeight="1" x14ac:dyDescent="0.2">
      <c r="A27" s="2875"/>
      <c r="B27" s="2869"/>
      <c r="C27" s="677" t="str">
        <f>OF!C74</f>
        <v>100 m - 1 km.</v>
      </c>
      <c r="D27" s="281">
        <f>OF!D74</f>
        <v>0</v>
      </c>
      <c r="E27" s="300">
        <v>5</v>
      </c>
      <c r="F27" s="87">
        <f>LakeNear13*E27</f>
        <v>0</v>
      </c>
      <c r="G27" s="707"/>
      <c r="H27" s="2324"/>
      <c r="I27" s="2758"/>
    </row>
    <row r="28" spans="1:9" ht="15" customHeight="1" x14ac:dyDescent="0.2">
      <c r="A28" s="2875"/>
      <c r="B28" s="2869"/>
      <c r="C28" s="677" t="str">
        <f>OF!C75</f>
        <v>1 -2 km.</v>
      </c>
      <c r="D28" s="281">
        <f>OF!D75</f>
        <v>0</v>
      </c>
      <c r="E28" s="300">
        <v>4</v>
      </c>
      <c r="F28" s="87">
        <f>LakeNear13*E28</f>
        <v>0</v>
      </c>
      <c r="G28" s="707"/>
      <c r="H28" s="2324"/>
      <c r="I28" s="2758"/>
    </row>
    <row r="29" spans="1:9" ht="15" customHeight="1" x14ac:dyDescent="0.2">
      <c r="A29" s="2875"/>
      <c r="B29" s="2869"/>
      <c r="C29" s="677" t="str">
        <f>OF!C76</f>
        <v>2-5 km.</v>
      </c>
      <c r="D29" s="281">
        <f>OF!D76</f>
        <v>0</v>
      </c>
      <c r="E29" s="300">
        <v>3</v>
      </c>
      <c r="F29" s="87">
        <f>LakeNear13*E29</f>
        <v>0</v>
      </c>
      <c r="G29" s="707"/>
      <c r="H29" s="2324"/>
      <c r="I29" s="2758"/>
    </row>
    <row r="30" spans="1:9" ht="15" customHeight="1" x14ac:dyDescent="0.2">
      <c r="A30" s="2875"/>
      <c r="B30" s="2869"/>
      <c r="C30" s="677" t="str">
        <f>OF!C77</f>
        <v>5-10 km.</v>
      </c>
      <c r="D30" s="281">
        <f>OF!D77</f>
        <v>1</v>
      </c>
      <c r="E30" s="300">
        <v>2</v>
      </c>
      <c r="F30" s="87">
        <f>D30*E30</f>
        <v>2</v>
      </c>
      <c r="G30" s="708"/>
      <c r="H30" s="2324"/>
      <c r="I30" s="2758"/>
    </row>
    <row r="31" spans="1:9" ht="15.6" customHeight="1" thickBot="1" x14ac:dyDescent="0.25">
      <c r="A31" s="2876"/>
      <c r="B31" s="2870"/>
      <c r="C31" s="704" t="str">
        <f>OF!C78</f>
        <v>&gt;10 km.</v>
      </c>
      <c r="D31" s="705">
        <f>OF!D78</f>
        <v>0</v>
      </c>
      <c r="E31" s="301">
        <v>0</v>
      </c>
      <c r="F31" s="174">
        <f>D31*E31</f>
        <v>0</v>
      </c>
      <c r="G31" s="709"/>
      <c r="H31" s="2325"/>
      <c r="I31" s="2759"/>
    </row>
    <row r="32" spans="1:9" s="57" customFormat="1" ht="45" customHeight="1" thickBot="1" x14ac:dyDescent="0.25">
      <c r="A32" s="2877" t="str">
        <f>OF!A99</f>
        <v>OF20</v>
      </c>
      <c r="B32" s="2871" t="str">
        <f>OF!B99</f>
        <v xml:space="preserve">Degraded Water Upstream </v>
      </c>
      <c r="C32" s="689" t="str">
        <f>OF!C99</f>
        <v xml:space="preserve">Sampling indicates a problem with concentrations of metals, hydrocarbons, nutrients, or other substances (excluding bacteria, acidic water, high temperatures) being present at levels harmful to aquatic life or humans, and:  </v>
      </c>
      <c r="D32" s="710"/>
      <c r="E32" s="330"/>
      <c r="F32" s="612"/>
      <c r="G32" s="466" t="str">
        <f>IF((D36=1),"", IF((D35=1),1, IF((D34=1),0.2, 0)))</f>
        <v/>
      </c>
      <c r="H32" s="2324" t="s">
        <v>262</v>
      </c>
      <c r="I32" s="2757" t="s">
        <v>616</v>
      </c>
    </row>
    <row r="33" spans="1:76" s="57" customFormat="1" ht="15" customHeight="1" x14ac:dyDescent="0.2">
      <c r="A33" s="2877"/>
      <c r="B33" s="2872"/>
      <c r="C33" s="1906" t="str">
        <f>OF!C100</f>
        <v>The condition is present within the AA.</v>
      </c>
      <c r="D33" s="285">
        <f>OF!D100</f>
        <v>0</v>
      </c>
      <c r="E33" s="324"/>
      <c r="F33" s="324"/>
      <c r="G33" s="548"/>
      <c r="H33" s="2324"/>
      <c r="I33" s="2758"/>
    </row>
    <row r="34" spans="1:76" s="57" customFormat="1" ht="27" customHeight="1" x14ac:dyDescent="0.2">
      <c r="A34" s="2877"/>
      <c r="B34" s="2872"/>
      <c r="C34" s="1907" t="str">
        <f>OF!C101</f>
        <v>The condition is present in waters within 1 km that flow into the AA, but has not been documented in the AA itself.</v>
      </c>
      <c r="D34" s="286">
        <f>OF!D101</f>
        <v>0</v>
      </c>
      <c r="E34" s="324"/>
      <c r="F34" s="324"/>
      <c r="G34" s="549"/>
      <c r="H34" s="2324"/>
      <c r="I34" s="2758"/>
    </row>
    <row r="35" spans="1:76" s="57" customFormat="1" ht="27" customHeight="1" x14ac:dyDescent="0.2">
      <c r="A35" s="2877"/>
      <c r="B35" s="2872"/>
      <c r="C35" s="1907" t="str">
        <f>OF!C102</f>
        <v>Sampling during both low water periods and times with high runoff (storms, snowmelt) indicates no problems in either the AA or inflowing waters.</v>
      </c>
      <c r="D35" s="286">
        <f>OF!D102</f>
        <v>0</v>
      </c>
      <c r="E35" s="324"/>
      <c r="F35" s="324"/>
      <c r="G35" s="549"/>
      <c r="H35" s="2324"/>
      <c r="I35" s="2758"/>
    </row>
    <row r="36" spans="1:76" s="57" customFormat="1" ht="27" customHeight="1" thickBot="1" x14ac:dyDescent="0.25">
      <c r="A36" s="2878"/>
      <c r="B36" s="2873"/>
      <c r="C36" s="1907" t="str">
        <f>OF!C103</f>
        <v>Data are insufficient (no or inadequate sampling within 1 km, or condition exists only at &gt;1 km upstream). This is the situation for nearly all wetlands in this region.</v>
      </c>
      <c r="D36" s="286">
        <f>OF!D103</f>
        <v>1</v>
      </c>
      <c r="E36" s="326"/>
      <c r="F36" s="326"/>
      <c r="G36" s="558"/>
      <c r="H36" s="2324"/>
      <c r="I36" s="2759"/>
    </row>
    <row r="37" spans="1:76" ht="29.25" customHeight="1" thickBot="1" x14ac:dyDescent="0.25">
      <c r="A37" s="2884" t="str">
        <f>OF!A134</f>
        <v>OF28</v>
      </c>
      <c r="B37" s="2881" t="str">
        <f>OF!B134</f>
        <v>Fish Access or Use</v>
      </c>
      <c r="C37" s="688" t="str">
        <f>OF!C134</f>
        <v>According to agency biologists and/or your own observations, the AA. [Mark just the first choice that is true.]:</v>
      </c>
      <c r="D37" s="209"/>
      <c r="E37" s="304"/>
      <c r="F37" s="209"/>
      <c r="G37" s="717" t="str">
        <f>IF((NoPonded=1),"",IF((D41=1),1, ""))</f>
        <v/>
      </c>
      <c r="H37" s="2323" t="s">
        <v>1309</v>
      </c>
      <c r="I37" s="2757" t="s">
        <v>1146</v>
      </c>
    </row>
    <row r="38" spans="1:76" ht="42" customHeight="1" x14ac:dyDescent="0.2">
      <c r="A38" s="2885"/>
      <c r="B38" s="2882"/>
      <c r="C38" s="1908" t="str">
        <f>OF!C135</f>
        <v>Is known to support rearing and/or spawning by Atlantic salmon or other anadromous species or eels.  In NB, consult Figure A-2 in Appendix A of the Manual.  Contact local fishery biologists, review the ACCDC report, and visit these websites: http://www.salmonatlas.com/atlanticsalmon/canada-east/index.1.html    http://atlanticsalmonfederation.org/rivers/introduction.html</v>
      </c>
      <c r="D38" s="281">
        <f>OF!D135</f>
        <v>0</v>
      </c>
      <c r="E38" s="300">
        <v>1</v>
      </c>
      <c r="F38" s="87">
        <f>D38*E38</f>
        <v>0</v>
      </c>
      <c r="G38" s="718"/>
      <c r="H38" s="2324"/>
      <c r="I38" s="2758"/>
    </row>
    <row r="39" spans="1:76" ht="42" customHeight="1" x14ac:dyDescent="0.2">
      <c r="A39" s="2885"/>
      <c r="B39" s="2882"/>
      <c r="C39" s="1909" t="str">
        <f>OF!C136</f>
        <v>Has not been documented to support Atlantic salmon rearing and/or spawning, but is connected to nearby waters likely to contain Atlantic salmon or other anadromous species or eels and is probably accessed by those during some conditions.</v>
      </c>
      <c r="D39" s="282">
        <f>OF!D136</f>
        <v>0</v>
      </c>
      <c r="E39" s="300">
        <v>1</v>
      </c>
      <c r="F39" s="87">
        <f>D39*E39</f>
        <v>0</v>
      </c>
      <c r="G39" s="718"/>
      <c r="H39" s="2324"/>
      <c r="I39" s="2758"/>
    </row>
    <row r="40" spans="1:76" ht="27" customHeight="1" x14ac:dyDescent="0.2">
      <c r="A40" s="2885"/>
      <c r="B40" s="2882"/>
      <c r="C40" s="1909" t="str">
        <f>OF!C137</f>
        <v>Is probably is not accessed by any anadromous fish species but is known or likely to have other fish at least seasonally.</v>
      </c>
      <c r="D40" s="282">
        <f>OF!D137</f>
        <v>1</v>
      </c>
      <c r="E40" s="300">
        <v>1</v>
      </c>
      <c r="F40" s="87">
        <f>D40*E40</f>
        <v>1</v>
      </c>
      <c r="G40" s="718"/>
      <c r="H40" s="2324"/>
      <c r="I40" s="2758"/>
    </row>
    <row r="41" spans="1:76" ht="27" customHeight="1" thickBot="1" x14ac:dyDescent="0.25">
      <c r="A41" s="2886"/>
      <c r="B41" s="2883"/>
      <c r="C41" s="1910" t="str">
        <f>OF!C138</f>
        <v xml:space="preserve">Is known or likely to be fishless (e.g., too small, dry, and/or not accessible even temporarily, and not stocked). </v>
      </c>
      <c r="D41" s="283">
        <f>OF!D138</f>
        <v>0</v>
      </c>
      <c r="E41" s="301">
        <v>2</v>
      </c>
      <c r="F41" s="174">
        <f>D41*E41</f>
        <v>0</v>
      </c>
      <c r="G41" s="719"/>
      <c r="H41" s="2325"/>
      <c r="I41" s="2759"/>
    </row>
    <row r="42" spans="1:76" ht="60" customHeight="1" thickBot="1" x14ac:dyDescent="0.25">
      <c r="A42" s="164" t="str">
        <f>OF!A146</f>
        <v>OF31</v>
      </c>
      <c r="B42" s="164" t="str">
        <f>OF!B146</f>
        <v>Black Duck Nesting Area</v>
      </c>
      <c r="C42" s="999" t="str">
        <f>OF!C146</f>
        <v>In Google Earth, open the KMZ file that accompanies this calculator, called BlackDuck.  Adjust its alignment and opacity. Determine the predicted density (pairs per 25 sq. km) of nesting American Black Duck in the AA's vicinity: &lt;10 (enter 0), 10-20 (enter 1), 20-30 (enter 2), &gt;30 (enter 3).  If outside of region shown in map, change to blank.</v>
      </c>
      <c r="D42" s="194">
        <f>IF((OF!D146=""),"",OF!D146)</f>
        <v>2</v>
      </c>
      <c r="E42" s="323"/>
      <c r="F42" s="171"/>
      <c r="G42" s="2114">
        <f>IF((D42=""),"", D42/3)</f>
        <v>0.66666666666666663</v>
      </c>
      <c r="H42" s="1317" t="s">
        <v>2344</v>
      </c>
      <c r="I42" s="1287" t="s">
        <v>1586</v>
      </c>
    </row>
    <row r="43" spans="1:76" s="76" customFormat="1" ht="27.75" customHeight="1" thickBot="1" x14ac:dyDescent="0.25">
      <c r="A43" s="2860" t="str">
        <f>F!A4</f>
        <v>F1</v>
      </c>
      <c r="B43" s="2860" t="str">
        <f>F!B4</f>
        <v>Wetland Type</v>
      </c>
      <c r="C43" s="691" t="str">
        <f>F!C4</f>
        <v>Follow the key below and mark the ONE row that best describes MOST of the vegetated part of the AA:</v>
      </c>
      <c r="D43" s="726"/>
      <c r="E43" s="427"/>
      <c r="F43" s="322"/>
      <c r="G43" s="428">
        <f>MAX(F44:F49)/MAX(E44:E49)</f>
        <v>1</v>
      </c>
      <c r="H43" s="2323" t="s">
        <v>2280</v>
      </c>
      <c r="I43" s="2323" t="s">
        <v>214</v>
      </c>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row>
    <row r="44" spans="1:76" s="76" customFormat="1" ht="57" customHeight="1" thickBot="1" x14ac:dyDescent="0.25">
      <c r="A44" s="2861"/>
      <c r="B44" s="2861"/>
      <c r="C44" s="691"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44" s="932"/>
      <c r="E44" s="324"/>
      <c r="F44" s="324"/>
      <c r="G44" s="321"/>
      <c r="H44" s="2324"/>
      <c r="I44" s="2324"/>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row>
    <row r="45" spans="1:76" s="76" customFormat="1" ht="78.75" customHeight="1" x14ac:dyDescent="0.2">
      <c r="A45" s="2861"/>
      <c r="B45" s="2861"/>
      <c r="C45" s="700"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45" s="290">
        <f>F!D6</f>
        <v>0</v>
      </c>
      <c r="E45" s="330">
        <v>0</v>
      </c>
      <c r="F45" s="324">
        <f>D45*E45</f>
        <v>0</v>
      </c>
      <c r="G45" s="321"/>
      <c r="H45" s="2324"/>
      <c r="I45" s="2324"/>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row>
    <row r="46" spans="1:76" s="76" customFormat="1" ht="57" customHeight="1" thickBot="1" x14ac:dyDescent="0.25">
      <c r="A46" s="2861"/>
      <c r="B46" s="2861"/>
      <c r="C46" s="693"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46" s="290">
        <f>F!D7</f>
        <v>0</v>
      </c>
      <c r="E46" s="330">
        <v>2</v>
      </c>
      <c r="F46" s="324">
        <f>D46*E46</f>
        <v>0</v>
      </c>
      <c r="G46" s="321"/>
      <c r="H46" s="2324"/>
      <c r="I46" s="2324"/>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row>
    <row r="47" spans="1:76" s="76" customFormat="1" ht="41.25" customHeight="1" thickBot="1" x14ac:dyDescent="0.25">
      <c r="A47" s="2861"/>
      <c r="B47" s="2861"/>
      <c r="C47" s="691" t="str">
        <f>F!C8</f>
        <v>B. Moss and/or lichen cover less than 25% of the ground. Soil is mineral or decomposed organic (muck). Choose between B1 and B2 and mark the choice with a 1 in their adjoining column:</v>
      </c>
      <c r="D47" s="932"/>
      <c r="E47" s="330"/>
      <c r="F47" s="324"/>
      <c r="G47" s="321"/>
      <c r="H47" s="2324"/>
      <c r="I47" s="2324"/>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row>
    <row r="48" spans="1:76" s="76" customFormat="1" ht="39.75" customHeight="1" x14ac:dyDescent="0.2">
      <c r="A48" s="2861"/>
      <c r="B48" s="2861"/>
      <c r="C48" s="700" t="str">
        <f>F!C9</f>
        <v>B1. Trees and shrubs taller than 1 m comprise more than 25% of the vegetated cover. Surface water is mostly absent or inundates the vegetation only seasonally (e.g., vernal pools or floodplain).</v>
      </c>
      <c r="D48" s="290">
        <f>F!D9</f>
        <v>0</v>
      </c>
      <c r="E48" s="330">
        <v>0</v>
      </c>
      <c r="F48" s="324">
        <f>D48*E48</f>
        <v>0</v>
      </c>
      <c r="G48" s="321"/>
      <c r="H48" s="2324"/>
      <c r="I48" s="2324"/>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row>
    <row r="49" spans="1:76" s="76" customFormat="1" ht="42" customHeight="1" thickBot="1" x14ac:dyDescent="0.25">
      <c r="A49" s="2862"/>
      <c r="B49" s="2862"/>
      <c r="C49" s="694"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49" s="287">
        <f>F!D10</f>
        <v>1</v>
      </c>
      <c r="E49" s="656">
        <v>3</v>
      </c>
      <c r="F49" s="328">
        <f>D49*E49</f>
        <v>3</v>
      </c>
      <c r="G49" s="1528"/>
      <c r="H49" s="2325"/>
      <c r="I49" s="2325"/>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row>
    <row r="50" spans="1:76" s="77" customFormat="1" ht="45" customHeight="1" thickBot="1" x14ac:dyDescent="0.25">
      <c r="A50" s="2874" t="str">
        <f>F!A28</f>
        <v>F5</v>
      </c>
      <c r="B50" s="2868" t="str">
        <f>F!B28</f>
        <v>Woody Diameter Classes</v>
      </c>
      <c r="C50" s="680" t="str">
        <f>F!C28</f>
        <v>Mark ALL the types that comprise &gt;5% of the woody canopy cover in the AA or &gt;5% of the wooded areas (if any) along its upland edge (perimeter).  The edge should include only the trees whose canopies extend into the AA.</v>
      </c>
      <c r="D50" s="710"/>
      <c r="E50" s="330"/>
      <c r="F50" s="715"/>
      <c r="G50" s="711" t="str">
        <f>IF((MAX(F!D18:D21)&lt;2),"",  (MAX(F51:F58)/MAX(E51:E58)))</f>
        <v/>
      </c>
      <c r="H50" s="2324" t="s">
        <v>1216</v>
      </c>
      <c r="I50" s="2574" t="s">
        <v>224</v>
      </c>
    </row>
    <row r="51" spans="1:76" s="77" customFormat="1" ht="15" customHeight="1" x14ac:dyDescent="0.2">
      <c r="A51" s="2879"/>
      <c r="B51" s="2868"/>
      <c r="C51" s="677" t="str">
        <f>F!C29</f>
        <v>coniferous, 1-9 cm diameter and &gt;1 m tall.</v>
      </c>
      <c r="D51" s="281">
        <f>F!D29</f>
        <v>0</v>
      </c>
      <c r="E51" s="324">
        <v>0</v>
      </c>
      <c r="F51" s="87">
        <f t="shared" ref="F51:F58" si="3">D51*E51</f>
        <v>0</v>
      </c>
      <c r="G51" s="707"/>
      <c r="H51" s="2324"/>
      <c r="I51" s="2575"/>
    </row>
    <row r="52" spans="1:76" s="77" customFormat="1" ht="15" customHeight="1" x14ac:dyDescent="0.2">
      <c r="A52" s="2879"/>
      <c r="B52" s="2868"/>
      <c r="C52" s="678" t="str">
        <f>F!C30</f>
        <v>broad-leaved deciduous 1-9 cm diameter and &gt;1 m tall.</v>
      </c>
      <c r="D52" s="282">
        <f>F!D30</f>
        <v>0</v>
      </c>
      <c r="E52" s="324">
        <v>0</v>
      </c>
      <c r="F52" s="87">
        <f t="shared" si="3"/>
        <v>0</v>
      </c>
      <c r="G52" s="708"/>
      <c r="H52" s="2324"/>
      <c r="I52" s="2575"/>
    </row>
    <row r="53" spans="1:76" s="77" customFormat="1" ht="15" customHeight="1" x14ac:dyDescent="0.2">
      <c r="A53" s="2879"/>
      <c r="B53" s="2868"/>
      <c r="C53" s="678" t="str">
        <f>F!C31</f>
        <v>coniferous, 10-19 cm diameter.</v>
      </c>
      <c r="D53" s="282">
        <f>F!D31</f>
        <v>0</v>
      </c>
      <c r="E53" s="324">
        <v>0</v>
      </c>
      <c r="F53" s="87">
        <f t="shared" si="3"/>
        <v>0</v>
      </c>
      <c r="G53" s="708"/>
      <c r="H53" s="2324"/>
      <c r="I53" s="2575"/>
    </row>
    <row r="54" spans="1:76" s="77" customFormat="1" ht="15" customHeight="1" x14ac:dyDescent="0.2">
      <c r="A54" s="2879"/>
      <c r="B54" s="2868"/>
      <c r="C54" s="678" t="str">
        <f>F!C32</f>
        <v>broad-leaved deciduous 10-19 cm diameter.</v>
      </c>
      <c r="D54" s="282">
        <f>F!D32</f>
        <v>0</v>
      </c>
      <c r="E54" s="324">
        <v>0</v>
      </c>
      <c r="F54" s="87">
        <f t="shared" si="3"/>
        <v>0</v>
      </c>
      <c r="G54" s="708"/>
      <c r="H54" s="2324"/>
      <c r="I54" s="2575"/>
    </row>
    <row r="55" spans="1:76" s="77" customFormat="1" ht="15" customHeight="1" x14ac:dyDescent="0.2">
      <c r="A55" s="2879"/>
      <c r="B55" s="2868"/>
      <c r="C55" s="678" t="str">
        <f>F!C33</f>
        <v>coniferous, 20-40 cm diameter.</v>
      </c>
      <c r="D55" s="282">
        <f>F!D33</f>
        <v>0</v>
      </c>
      <c r="E55" s="324">
        <v>2</v>
      </c>
      <c r="F55" s="87">
        <f t="shared" si="3"/>
        <v>0</v>
      </c>
      <c r="G55" s="708"/>
      <c r="H55" s="2324"/>
      <c r="I55" s="2575"/>
    </row>
    <row r="56" spans="1:76" s="77" customFormat="1" ht="15" customHeight="1" x14ac:dyDescent="0.2">
      <c r="A56" s="2879"/>
      <c r="B56" s="2868"/>
      <c r="C56" s="678" t="str">
        <f>F!C34</f>
        <v>broad-leaved deciduous 20-40 cm diameter.</v>
      </c>
      <c r="D56" s="282">
        <f>F!D34</f>
        <v>0</v>
      </c>
      <c r="E56" s="324">
        <v>2</v>
      </c>
      <c r="F56" s="87">
        <f t="shared" si="3"/>
        <v>0</v>
      </c>
      <c r="G56" s="708"/>
      <c r="H56" s="2324"/>
      <c r="I56" s="2575"/>
    </row>
    <row r="57" spans="1:76" s="77" customFormat="1" ht="15" customHeight="1" x14ac:dyDescent="0.2">
      <c r="A57" s="2879"/>
      <c r="B57" s="2868"/>
      <c r="C57" s="678" t="str">
        <f>F!C35</f>
        <v>coniferous, &gt;40 cm diameter.</v>
      </c>
      <c r="D57" s="282">
        <f>F!D35</f>
        <v>0</v>
      </c>
      <c r="E57" s="324">
        <v>3</v>
      </c>
      <c r="F57" s="87">
        <f t="shared" si="3"/>
        <v>0</v>
      </c>
      <c r="G57" s="708"/>
      <c r="H57" s="2324"/>
      <c r="I57" s="2575"/>
    </row>
    <row r="58" spans="1:76" s="77" customFormat="1" ht="15" customHeight="1" thickBot="1" x14ac:dyDescent="0.25">
      <c r="A58" s="2880"/>
      <c r="B58" s="2888"/>
      <c r="C58" s="679" t="str">
        <f>F!C36</f>
        <v>broad-leaved deciduous &gt;40 cm diameter.</v>
      </c>
      <c r="D58" s="283">
        <f>F!D36</f>
        <v>0</v>
      </c>
      <c r="E58" s="328">
        <v>3</v>
      </c>
      <c r="F58" s="179">
        <f t="shared" si="3"/>
        <v>0</v>
      </c>
      <c r="G58" s="709"/>
      <c r="H58" s="2325"/>
      <c r="I58" s="2576"/>
    </row>
    <row r="59" spans="1:76" s="77" customFormat="1" ht="30" customHeight="1" thickBot="1" x14ac:dyDescent="0.25">
      <c r="A59" s="2864" t="str">
        <f>F!A44</f>
        <v>F7</v>
      </c>
      <c r="B59" s="2860" t="str">
        <f>F!B44</f>
        <v>Large Snags (Dead Standing Trees)</v>
      </c>
      <c r="C59" s="691" t="str">
        <f>F!C44</f>
        <v>The number of large snags (diameter &gt;20 cm) in the AA plus adjacent upland area within 10 m of the wetland edge is:</v>
      </c>
      <c r="D59" s="209"/>
      <c r="E59" s="427"/>
      <c r="F59" s="176"/>
      <c r="G59" s="706" t="str">
        <f>IF((MAX(F!D18:D21)&lt;3),"", MAX(F60:F62)/MAX(E60:E62))</f>
        <v/>
      </c>
      <c r="H59" s="2323" t="s">
        <v>1417</v>
      </c>
      <c r="I59" s="2574" t="s">
        <v>223</v>
      </c>
    </row>
    <row r="60" spans="1:76" s="77" customFormat="1" ht="15" customHeight="1" x14ac:dyDescent="0.2">
      <c r="A60" s="2865"/>
      <c r="B60" s="2861"/>
      <c r="C60" s="700" t="str">
        <f>F!C45</f>
        <v>None, or fewer than 8/ hectare which exceed this diameter.</v>
      </c>
      <c r="D60" s="289">
        <f>F!D45</f>
        <v>0</v>
      </c>
      <c r="E60" s="324">
        <v>0</v>
      </c>
      <c r="F60" s="87">
        <f>D60*E60</f>
        <v>0</v>
      </c>
      <c r="G60" s="707"/>
      <c r="H60" s="2324"/>
      <c r="I60" s="2575"/>
    </row>
    <row r="61" spans="1:76" s="77" customFormat="1" ht="15" customHeight="1" x14ac:dyDescent="0.2">
      <c r="A61" s="2865"/>
      <c r="B61" s="2861"/>
      <c r="C61" s="701" t="str">
        <f>F!C46</f>
        <v>Several ( &gt;8/hectare) and a pond, lake, or slow-flowing water wider than 10 m is within 1 km.</v>
      </c>
      <c r="D61" s="290">
        <f>F!D46</f>
        <v>0</v>
      </c>
      <c r="E61" s="324">
        <v>3</v>
      </c>
      <c r="F61" s="87">
        <f>D61*E61</f>
        <v>0</v>
      </c>
      <c r="G61" s="707"/>
      <c r="H61" s="2324"/>
      <c r="I61" s="2575"/>
    </row>
    <row r="62" spans="1:76" s="77" customFormat="1" ht="15.6" customHeight="1" thickBot="1" x14ac:dyDescent="0.25">
      <c r="A62" s="2866"/>
      <c r="B62" s="2862"/>
      <c r="C62" s="694" t="str">
        <f>F!C47</f>
        <v>Several ( &gt;8/hectare) but above not true.</v>
      </c>
      <c r="D62" s="287">
        <f>F!D47</f>
        <v>0</v>
      </c>
      <c r="E62" s="328">
        <v>2</v>
      </c>
      <c r="F62" s="174">
        <f>D62*E62</f>
        <v>0</v>
      </c>
      <c r="G62" s="709"/>
      <c r="H62" s="2325"/>
      <c r="I62" s="2576"/>
    </row>
    <row r="63" spans="1:76" s="57" customFormat="1" ht="30" customHeight="1" thickBot="1" x14ac:dyDescent="0.25">
      <c r="A63" s="2889" t="str">
        <f>F!A88</f>
        <v>F16</v>
      </c>
      <c r="B63" s="2868" t="str">
        <f>F!B88</f>
        <v>Herbaceous % of Vegetated Wetland</v>
      </c>
      <c r="C63" s="680" t="str">
        <f>F!C88</f>
        <v>In aerial ("ducks eye") view, the maximum annual cover of herbaceous vegetation (all non-woody plants except moss) is:</v>
      </c>
      <c r="D63" s="209"/>
      <c r="E63" s="299"/>
      <c r="F63" s="715"/>
      <c r="G63" s="711">
        <f>MAX(F64:F68)/MAX(E64:E68)</f>
        <v>0.8</v>
      </c>
      <c r="H63" s="2324" t="s">
        <v>1473</v>
      </c>
      <c r="I63" s="2757" t="s">
        <v>222</v>
      </c>
    </row>
    <row r="64" spans="1:76" s="57" customFormat="1" ht="27" customHeight="1" x14ac:dyDescent="0.2">
      <c r="A64" s="2889"/>
      <c r="B64" s="2868"/>
      <c r="C64" s="677" t="str">
        <f>F!C89</f>
        <v>&lt;5% of the vegetated part of the AA or &lt;0.01 hectare (whichever is less). Mark "1" here and SKIP to F20 (Invasive Plant Cover).</v>
      </c>
      <c r="D64" s="281">
        <f>F!D89</f>
        <v>0</v>
      </c>
      <c r="E64" s="300">
        <v>0</v>
      </c>
      <c r="F64" s="87">
        <f>D64*E64</f>
        <v>0</v>
      </c>
      <c r="G64" s="707"/>
      <c r="H64" s="2324"/>
      <c r="I64" s="2758"/>
    </row>
    <row r="65" spans="1:76" s="57" customFormat="1" ht="15" customHeight="1" x14ac:dyDescent="0.2">
      <c r="A65" s="2889"/>
      <c r="B65" s="2868"/>
      <c r="C65" s="678" t="str">
        <f>F!C90</f>
        <v>5-25% of the vegetated part of the AA.</v>
      </c>
      <c r="D65" s="282">
        <f>F!D90</f>
        <v>0</v>
      </c>
      <c r="E65" s="300">
        <v>2</v>
      </c>
      <c r="F65" s="87">
        <f>D65*E65</f>
        <v>0</v>
      </c>
      <c r="G65" s="708"/>
      <c r="H65" s="2324"/>
      <c r="I65" s="2758"/>
    </row>
    <row r="66" spans="1:76" s="57" customFormat="1" ht="15" customHeight="1" x14ac:dyDescent="0.2">
      <c r="A66" s="2889"/>
      <c r="B66" s="2868"/>
      <c r="C66" s="678" t="str">
        <f>F!C91</f>
        <v>25-50% of the vegetated part of the AA.</v>
      </c>
      <c r="D66" s="282">
        <f>F!D91</f>
        <v>0</v>
      </c>
      <c r="E66" s="300">
        <v>3</v>
      </c>
      <c r="F66" s="87">
        <f>D66*E66</f>
        <v>0</v>
      </c>
      <c r="G66" s="708"/>
      <c r="H66" s="2324"/>
      <c r="I66" s="2758"/>
    </row>
    <row r="67" spans="1:76" s="57" customFormat="1" ht="15" customHeight="1" x14ac:dyDescent="0.2">
      <c r="A67" s="2889"/>
      <c r="B67" s="2868"/>
      <c r="C67" s="678" t="str">
        <f>F!C92</f>
        <v>50-95% of the vegetated part of the AA.</v>
      </c>
      <c r="D67" s="282">
        <f>F!D92</f>
        <v>1</v>
      </c>
      <c r="E67" s="300">
        <v>4</v>
      </c>
      <c r="F67" s="87">
        <f>D67*E67</f>
        <v>4</v>
      </c>
      <c r="G67" s="708"/>
      <c r="H67" s="2324"/>
      <c r="I67" s="2758"/>
    </row>
    <row r="68" spans="1:76" s="57" customFormat="1" ht="15" customHeight="1" thickBot="1" x14ac:dyDescent="0.25">
      <c r="A68" s="2889"/>
      <c r="B68" s="2868"/>
      <c r="C68" s="681" t="str">
        <f>F!C93</f>
        <v>&gt;95% of the vegetated part of the AA.</v>
      </c>
      <c r="D68" s="284">
        <f>F!D93</f>
        <v>0</v>
      </c>
      <c r="E68" s="303">
        <v>5</v>
      </c>
      <c r="F68" s="712">
        <f>D68*E68</f>
        <v>0</v>
      </c>
      <c r="G68" s="713"/>
      <c r="H68" s="2324"/>
      <c r="I68" s="2759"/>
    </row>
    <row r="69" spans="1:76" s="52" customFormat="1" ht="45" customHeight="1" thickBot="1" x14ac:dyDescent="0.25">
      <c r="A69" s="675" t="str">
        <f>F!A119</f>
        <v>F22</v>
      </c>
      <c r="B69" s="166" t="str">
        <f>F!B119</f>
        <v>Fringe Wetland</v>
      </c>
      <c r="C69" s="702" t="str">
        <f>F!C119</f>
        <v>During most of the year, open water within or adjacent to the vegetated part of the wetland is much wider than the maximum width of the vegetated zone within the wetland. Enter "1" if true, "0" if false.</v>
      </c>
      <c r="D69" s="291">
        <f>F!D119</f>
        <v>1</v>
      </c>
      <c r="E69" s="968"/>
      <c r="F69" s="817"/>
      <c r="G69" s="794">
        <f>IF((AllSat1&gt;0),"",IF((NoPersis=1),"", D69))</f>
        <v>1</v>
      </c>
      <c r="H69" s="73" t="s">
        <v>1860</v>
      </c>
      <c r="I69" s="103" t="s">
        <v>215</v>
      </c>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S69" s="51"/>
      <c r="BT69" s="51"/>
      <c r="BU69" s="51"/>
      <c r="BV69" s="51"/>
      <c r="BW69" s="51"/>
      <c r="BX69" s="51"/>
    </row>
    <row r="70" spans="1:76" s="54" customFormat="1" ht="114" customHeight="1" thickBot="1" x14ac:dyDescent="0.25">
      <c r="A70" s="857" t="str">
        <f>F!A120</f>
        <v>F23</v>
      </c>
      <c r="B70" s="856" t="str">
        <f>F!B120</f>
        <v>Lacustrine Wetland</v>
      </c>
      <c r="C70" s="865" t="str">
        <f>F!C120</f>
        <v>The vegetated part of the AA is within or adjacent to a body of non-tidal standing open water whose size exceeds 8 hectares during most of a normal year.</v>
      </c>
      <c r="D70" s="866">
        <f>F!D120</f>
        <v>0</v>
      </c>
      <c r="E70" s="643"/>
      <c r="F70" s="867"/>
      <c r="G70" s="711" t="str">
        <f>IF((D70=1),1,"")</f>
        <v/>
      </c>
      <c r="H70" s="1116" t="s">
        <v>1861</v>
      </c>
      <c r="I70" s="4" t="s">
        <v>1676</v>
      </c>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row>
    <row r="71" spans="1:76" s="53" customFormat="1" ht="30" customHeight="1" thickBot="1" x14ac:dyDescent="0.25">
      <c r="A71" s="2896" t="str">
        <f>F!A121</f>
        <v>F24</v>
      </c>
      <c r="B71" s="2860" t="str">
        <f>F!B121</f>
        <v>% of AA Without Surface Water</v>
      </c>
      <c r="C71" s="676" t="str">
        <f>F!C121</f>
        <v>The percentage of the AA that never contains surface water during an average year (that is, except perhaps for a few hours after snowmelt or rainstorms), but which is still a wetland, is:</v>
      </c>
      <c r="D71" s="209"/>
      <c r="E71" s="315"/>
      <c r="F71" s="209"/>
      <c r="G71" s="725">
        <f>MAX(F72:F77)/MAX(E72:E77)</f>
        <v>0.8</v>
      </c>
      <c r="H71" s="2323" t="s">
        <v>909</v>
      </c>
      <c r="I71" s="2323" t="s">
        <v>660</v>
      </c>
    </row>
    <row r="72" spans="1:76" s="53" customFormat="1" ht="15" customHeight="1" x14ac:dyDescent="0.2">
      <c r="A72" s="2897"/>
      <c r="B72" s="2861"/>
      <c r="C72" s="695" t="str">
        <f>F!C122</f>
        <v xml:space="preserve">&lt;1% . In other words, all or nearly all of the AA is covered by water permanently or at least seasonally.  </v>
      </c>
      <c r="D72" s="288">
        <f>F!D122</f>
        <v>1</v>
      </c>
      <c r="E72" s="300">
        <v>4</v>
      </c>
      <c r="F72" s="87">
        <f t="shared" ref="F72:F77" si="4">D72*E72</f>
        <v>4</v>
      </c>
      <c r="G72" s="724"/>
      <c r="H72" s="2324"/>
      <c r="I72" s="2324"/>
    </row>
    <row r="73" spans="1:76" s="53" customFormat="1" ht="15" customHeight="1" x14ac:dyDescent="0.2">
      <c r="A73" s="2897"/>
      <c r="B73" s="2861"/>
      <c r="C73" s="695" t="str">
        <f>F!C123</f>
        <v>1-25% of the AA,  or &lt;1% but &gt;0.01 ha never contains surface water.</v>
      </c>
      <c r="D73" s="288">
        <f>F!D123</f>
        <v>0</v>
      </c>
      <c r="E73" s="300">
        <v>5</v>
      </c>
      <c r="F73" s="87">
        <f t="shared" si="4"/>
        <v>0</v>
      </c>
      <c r="G73" s="724"/>
      <c r="H73" s="2324"/>
      <c r="I73" s="2324"/>
    </row>
    <row r="74" spans="1:76" s="53" customFormat="1" ht="15" customHeight="1" x14ac:dyDescent="0.2">
      <c r="A74" s="2897"/>
      <c r="B74" s="2861"/>
      <c r="C74" s="695" t="str">
        <f>F!C124</f>
        <v>25-50% of the AA never contains surface water.</v>
      </c>
      <c r="D74" s="288">
        <f>F!D124</f>
        <v>0</v>
      </c>
      <c r="E74" s="300">
        <v>3</v>
      </c>
      <c r="F74" s="87">
        <f t="shared" si="4"/>
        <v>0</v>
      </c>
      <c r="G74" s="724"/>
      <c r="H74" s="2324"/>
      <c r="I74" s="2324"/>
    </row>
    <row r="75" spans="1:76" s="53" customFormat="1" ht="15" customHeight="1" x14ac:dyDescent="0.2">
      <c r="A75" s="2897"/>
      <c r="B75" s="2861"/>
      <c r="C75" s="695" t="str">
        <f>F!C125</f>
        <v>50-75% of the AA never contains surface water.</v>
      </c>
      <c r="D75" s="288">
        <f>F!D125</f>
        <v>0</v>
      </c>
      <c r="E75" s="300">
        <v>2</v>
      </c>
      <c r="F75" s="87">
        <f t="shared" si="4"/>
        <v>0</v>
      </c>
      <c r="G75" s="724"/>
      <c r="H75" s="2324"/>
      <c r="I75" s="2324"/>
    </row>
    <row r="76" spans="1:76" s="53" customFormat="1" ht="27" customHeight="1" x14ac:dyDescent="0.2">
      <c r="A76" s="2897"/>
      <c r="B76" s="2861"/>
      <c r="C76" s="695" t="str">
        <f>F!C126</f>
        <v>75-99% of the AA never contains surface water, OR &gt;99% and there is at least one persistently ponded water body larger than 1 ha in the AA.</v>
      </c>
      <c r="D76" s="288">
        <f>F!D126</f>
        <v>0</v>
      </c>
      <c r="E76" s="300">
        <v>1</v>
      </c>
      <c r="F76" s="87">
        <f t="shared" si="4"/>
        <v>0</v>
      </c>
      <c r="G76" s="724"/>
      <c r="H76" s="2324"/>
      <c r="I76" s="2324"/>
    </row>
    <row r="77" spans="1:76" s="53" customFormat="1" ht="27" customHeight="1" thickBot="1" x14ac:dyDescent="0.25">
      <c r="A77" s="2897"/>
      <c r="B77" s="2861"/>
      <c r="C77" s="1351" t="str">
        <f>F!C127</f>
        <v>99-100%. AND there is no persistently ponded water body larger than 1 ha within the AA. Enter "1" and SKIP to F42 (Channel Connection).</v>
      </c>
      <c r="D77" s="1352">
        <f>F!D127</f>
        <v>0</v>
      </c>
      <c r="E77" s="303">
        <v>0</v>
      </c>
      <c r="F77" s="712">
        <f t="shared" si="4"/>
        <v>0</v>
      </c>
      <c r="G77" s="724"/>
      <c r="H77" s="2324"/>
      <c r="I77" s="2325"/>
    </row>
    <row r="78" spans="1:76" s="52" customFormat="1" ht="53.25" customHeight="1" thickBot="1" x14ac:dyDescent="0.25">
      <c r="A78" s="2864" t="str">
        <f>F!A128</f>
        <v>F25</v>
      </c>
      <c r="B78" s="2860" t="str">
        <f>F!B128</f>
        <v>% of AA with Persistent Surface Water</v>
      </c>
      <c r="C78" s="691"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78" s="209"/>
      <c r="E78" s="304"/>
      <c r="F78" s="176"/>
      <c r="G78" s="725">
        <f>IF((AllSat1&gt;0),"", MAX(F79:F83)/MAX(E79:E83))</f>
        <v>0.75</v>
      </c>
      <c r="H78" s="2323" t="s">
        <v>1290</v>
      </c>
      <c r="I78" s="2326" t="s">
        <v>217</v>
      </c>
    </row>
    <row r="79" spans="1:76" s="52" customFormat="1" ht="27" customHeight="1" x14ac:dyDescent="0.2">
      <c r="A79" s="2865"/>
      <c r="B79" s="2861"/>
      <c r="C79" s="696" t="str">
        <f>F!C129</f>
        <v>None. The AA dries up completely (no water in channels either) or never has surface water during most years.  SKIP to F27.</v>
      </c>
      <c r="D79" s="286">
        <f>F!D129</f>
        <v>0</v>
      </c>
      <c r="E79" s="299">
        <v>1</v>
      </c>
      <c r="F79" s="87">
        <f>D79*E79</f>
        <v>0</v>
      </c>
      <c r="G79" s="708"/>
      <c r="H79" s="2324"/>
      <c r="I79" s="2327"/>
    </row>
    <row r="80" spans="1:76" s="52" customFormat="1" ht="15" customHeight="1" x14ac:dyDescent="0.2">
      <c r="A80" s="2865"/>
      <c r="B80" s="2861"/>
      <c r="C80" s="696" t="str">
        <f>F!C130</f>
        <v>1-20% of the AA.</v>
      </c>
      <c r="D80" s="286">
        <f>F!D130</f>
        <v>0</v>
      </c>
      <c r="E80" s="299">
        <v>2</v>
      </c>
      <c r="F80" s="87">
        <f>D80*E80</f>
        <v>0</v>
      </c>
      <c r="G80" s="708"/>
      <c r="H80" s="2324"/>
      <c r="I80" s="2327"/>
    </row>
    <row r="81" spans="1:9" ht="15" customHeight="1" x14ac:dyDescent="0.2">
      <c r="A81" s="2865"/>
      <c r="B81" s="2861"/>
      <c r="C81" s="696" t="str">
        <f>F!C131</f>
        <v>20-50% of the AA.</v>
      </c>
      <c r="D81" s="286">
        <f>F!D131</f>
        <v>1</v>
      </c>
      <c r="E81" s="300">
        <v>3</v>
      </c>
      <c r="F81" s="87">
        <f>D81*E81</f>
        <v>3</v>
      </c>
      <c r="G81" s="708"/>
      <c r="H81" s="2324"/>
      <c r="I81" s="2327"/>
    </row>
    <row r="82" spans="1:9" ht="15" customHeight="1" x14ac:dyDescent="0.2">
      <c r="A82" s="2865"/>
      <c r="B82" s="2861"/>
      <c r="C82" s="696" t="str">
        <f>F!C132</f>
        <v>50-95% of the AA.</v>
      </c>
      <c r="D82" s="286">
        <f>F!D132</f>
        <v>0</v>
      </c>
      <c r="E82" s="300">
        <v>4</v>
      </c>
      <c r="F82" s="87">
        <f>D82*E82</f>
        <v>0</v>
      </c>
      <c r="G82" s="708"/>
      <c r="H82" s="2324"/>
      <c r="I82" s="2327"/>
    </row>
    <row r="83" spans="1:9" ht="15" customHeight="1" thickBot="1" x14ac:dyDescent="0.25">
      <c r="A83" s="2866"/>
      <c r="B83" s="2862"/>
      <c r="C83" s="697" t="str">
        <f>F!C133</f>
        <v>&gt;95% of the AA. True for many fringe wetlands.</v>
      </c>
      <c r="D83" s="287">
        <f>F!D133</f>
        <v>0</v>
      </c>
      <c r="E83" s="301">
        <v>3</v>
      </c>
      <c r="F83" s="174">
        <f>D83*E83</f>
        <v>0</v>
      </c>
      <c r="G83" s="709"/>
      <c r="H83" s="2325"/>
      <c r="I83" s="2328"/>
    </row>
    <row r="84" spans="1:9" ht="30" customHeight="1" thickBot="1" x14ac:dyDescent="0.25">
      <c r="A84" s="2891" t="str">
        <f>F!A140</f>
        <v>F27</v>
      </c>
      <c r="B84" s="2881" t="str">
        <f>F!B140</f>
        <v>% of AA that is Flooded Only Seasonally</v>
      </c>
      <c r="C84" s="685" t="str">
        <f>F!C140</f>
        <v>The percentage of the AA's area that is between the annual high water and the annual low water (surface water) is:</v>
      </c>
      <c r="D84" s="209"/>
      <c r="E84" s="304"/>
      <c r="F84" s="176"/>
      <c r="G84" s="706">
        <f>IF((AllSat1&gt;0),"",MAX(F85:F89)/MAX(E85:E89))</f>
        <v>0.4</v>
      </c>
      <c r="H84" s="2323" t="s">
        <v>1209</v>
      </c>
      <c r="I84" s="2757" t="s">
        <v>235</v>
      </c>
    </row>
    <row r="85" spans="1:9" ht="15" customHeight="1" x14ac:dyDescent="0.2">
      <c r="A85" s="2892"/>
      <c r="B85" s="2882"/>
      <c r="C85" s="686" t="str">
        <f>F!C141</f>
        <v>None, or &lt;0.01 hectare and &lt;1% of the AA.  SKIP to F29.</v>
      </c>
      <c r="D85" s="281">
        <f>F!D141</f>
        <v>0</v>
      </c>
      <c r="E85" s="300">
        <v>4</v>
      </c>
      <c r="F85" s="87">
        <f>D85*E85</f>
        <v>0</v>
      </c>
      <c r="G85" s="707"/>
      <c r="H85" s="2324"/>
      <c r="I85" s="2758"/>
    </row>
    <row r="86" spans="1:9" ht="15" customHeight="1" x14ac:dyDescent="0.2">
      <c r="A86" s="2892"/>
      <c r="B86" s="2882"/>
      <c r="C86" s="687" t="str">
        <f>F!C142</f>
        <v>1-20% of the AA, or &lt;1% but &gt;0.01 ha.</v>
      </c>
      <c r="D86" s="282">
        <f>F!D142</f>
        <v>0</v>
      </c>
      <c r="E86" s="300">
        <v>5</v>
      </c>
      <c r="F86" s="87">
        <f>D86*E86</f>
        <v>0</v>
      </c>
      <c r="G86" s="708"/>
      <c r="H86" s="2324"/>
      <c r="I86" s="2758"/>
    </row>
    <row r="87" spans="1:9" ht="15" customHeight="1" x14ac:dyDescent="0.2">
      <c r="A87" s="2892"/>
      <c r="B87" s="2882"/>
      <c r="C87" s="687" t="str">
        <f>F!C143</f>
        <v>20-50% of the AA.</v>
      </c>
      <c r="D87" s="282">
        <f>F!D143</f>
        <v>0</v>
      </c>
      <c r="E87" s="300">
        <v>3</v>
      </c>
      <c r="F87" s="87">
        <f>D87*E87</f>
        <v>0</v>
      </c>
      <c r="G87" s="708"/>
      <c r="H87" s="2324"/>
      <c r="I87" s="2758"/>
    </row>
    <row r="88" spans="1:9" ht="15" customHeight="1" x14ac:dyDescent="0.2">
      <c r="A88" s="2892"/>
      <c r="B88" s="2882"/>
      <c r="C88" s="687" t="str">
        <f>F!C144</f>
        <v>50-95% of the AA.</v>
      </c>
      <c r="D88" s="282">
        <f>F!D144</f>
        <v>1</v>
      </c>
      <c r="E88" s="300">
        <v>2</v>
      </c>
      <c r="F88" s="87">
        <f>D88*E88</f>
        <v>2</v>
      </c>
      <c r="G88" s="708"/>
      <c r="H88" s="2324"/>
      <c r="I88" s="2758"/>
    </row>
    <row r="89" spans="1:9" ht="15" customHeight="1" thickBot="1" x14ac:dyDescent="0.25">
      <c r="A89" s="2893"/>
      <c r="B89" s="2883"/>
      <c r="C89" s="698" t="str">
        <f>F!C145</f>
        <v xml:space="preserve">&gt;95% of the AA. </v>
      </c>
      <c r="D89" s="283">
        <f>F!D145</f>
        <v>0</v>
      </c>
      <c r="E89" s="317">
        <v>1</v>
      </c>
      <c r="F89" s="174">
        <f>D89*E89</f>
        <v>0</v>
      </c>
      <c r="G89" s="709"/>
      <c r="H89" s="2325"/>
      <c r="I89" s="2759"/>
    </row>
    <row r="90" spans="1:9" ht="30" customHeight="1" thickBot="1" x14ac:dyDescent="0.25">
      <c r="A90" s="2887" t="str">
        <f>F!A146</f>
        <v>F28</v>
      </c>
      <c r="B90" s="2868" t="str">
        <f>F!B146</f>
        <v>Annual Water Fluctuation Range</v>
      </c>
      <c r="C90" s="680" t="str">
        <f>F!C146</f>
        <v>The annual fluctuation in surface water level within most of the parts of the AA that contain surface water at least temporarily is:</v>
      </c>
      <c r="D90" s="209"/>
      <c r="E90" s="299"/>
      <c r="F90" s="715"/>
      <c r="G90" s="711">
        <f>IF((AllSat1&gt;0),"", IF((NoSeasonal=1),"",MAX(F91:F95)/MAX(E91:E95)))</f>
        <v>0</v>
      </c>
      <c r="H90" s="2324" t="s">
        <v>1210</v>
      </c>
      <c r="I90" s="2757" t="s">
        <v>216</v>
      </c>
    </row>
    <row r="91" spans="1:9" ht="15" customHeight="1" x14ac:dyDescent="0.2">
      <c r="A91" s="2869"/>
      <c r="B91" s="2869"/>
      <c r="C91" s="677" t="str">
        <f>F!C147</f>
        <v>&lt;10 cm change (stable or nearly so).</v>
      </c>
      <c r="D91" s="281">
        <f>F!D147</f>
        <v>0</v>
      </c>
      <c r="E91" s="300">
        <v>0</v>
      </c>
      <c r="F91" s="87">
        <f>D91*E91</f>
        <v>0</v>
      </c>
      <c r="G91" s="707"/>
      <c r="H91" s="2324"/>
      <c r="I91" s="2758"/>
    </row>
    <row r="92" spans="1:9" ht="15" customHeight="1" x14ac:dyDescent="0.2">
      <c r="A92" s="2869"/>
      <c r="B92" s="2869"/>
      <c r="C92" s="678" t="str">
        <f>F!C148</f>
        <v>10 cm - 50 cm change.</v>
      </c>
      <c r="D92" s="282">
        <f>F!D148</f>
        <v>0</v>
      </c>
      <c r="E92" s="300">
        <v>3</v>
      </c>
      <c r="F92" s="87">
        <f>D92*E92</f>
        <v>0</v>
      </c>
      <c r="G92" s="708"/>
      <c r="H92" s="2324"/>
      <c r="I92" s="2758"/>
    </row>
    <row r="93" spans="1:9" ht="15" customHeight="1" x14ac:dyDescent="0.2">
      <c r="A93" s="2869"/>
      <c r="B93" s="2869"/>
      <c r="C93" s="678" t="str">
        <f>F!C149</f>
        <v>0.5 - 1 m change.</v>
      </c>
      <c r="D93" s="282">
        <f>F!D149</f>
        <v>0</v>
      </c>
      <c r="E93" s="300">
        <v>2</v>
      </c>
      <c r="F93" s="87">
        <f>D93*E93</f>
        <v>0</v>
      </c>
      <c r="G93" s="708"/>
      <c r="H93" s="2324"/>
      <c r="I93" s="2758"/>
    </row>
    <row r="94" spans="1:9" ht="15" customHeight="1" x14ac:dyDescent="0.2">
      <c r="A94" s="2869"/>
      <c r="B94" s="2869"/>
      <c r="C94" s="678" t="str">
        <f>F!C150</f>
        <v>1-2 m change.</v>
      </c>
      <c r="D94" s="282">
        <f>F!D150</f>
        <v>0</v>
      </c>
      <c r="E94" s="303">
        <v>1</v>
      </c>
      <c r="F94" s="712">
        <f>D94*E94</f>
        <v>0</v>
      </c>
      <c r="G94" s="713"/>
      <c r="H94" s="2324"/>
      <c r="I94" s="2758"/>
    </row>
    <row r="95" spans="1:9" ht="15" customHeight="1" thickBot="1" x14ac:dyDescent="0.25">
      <c r="A95" s="2870"/>
      <c r="B95" s="2869"/>
      <c r="C95" s="678" t="str">
        <f>F!C151</f>
        <v>&gt;2 m change.</v>
      </c>
      <c r="D95" s="282">
        <f>F!D151</f>
        <v>1</v>
      </c>
      <c r="E95" s="303">
        <v>0</v>
      </c>
      <c r="F95" s="712">
        <f>D95*E95</f>
        <v>0</v>
      </c>
      <c r="G95" s="713"/>
      <c r="H95" s="2324"/>
      <c r="I95" s="2759"/>
    </row>
    <row r="96" spans="1:9" ht="30" customHeight="1" thickBot="1" x14ac:dyDescent="0.25">
      <c r="A96" s="2874" t="str">
        <f>F!A153</f>
        <v>F29</v>
      </c>
      <c r="B96" s="2887" t="str">
        <f>F!B153</f>
        <v>Predominant Depth Class</v>
      </c>
      <c r="C96" s="676" t="str">
        <f>F!C153</f>
        <v>During most of the time when surface water is present during the growing season, its depth, averaged over the entire inundated part of the AA, is:</v>
      </c>
      <c r="D96" s="209"/>
      <c r="E96" s="304"/>
      <c r="F96" s="714"/>
      <c r="G96" s="725">
        <f>IF((AllSat1&gt;0),"",IF((TooSmall=1),"",MAX(F97:F101)/MAX(E97:E101)))</f>
        <v>1</v>
      </c>
      <c r="H96" s="2323" t="s">
        <v>1211</v>
      </c>
      <c r="I96" s="2757" t="s">
        <v>219</v>
      </c>
    </row>
    <row r="97" spans="1:9" ht="15" customHeight="1" x14ac:dyDescent="0.2">
      <c r="A97" s="2875"/>
      <c r="B97" s="2869"/>
      <c r="C97" s="677" t="str">
        <f>F!C154</f>
        <v>&lt;10 cm deep (but &gt;0).</v>
      </c>
      <c r="D97" s="281">
        <f>F!D154</f>
        <v>0</v>
      </c>
      <c r="E97" s="300">
        <v>1</v>
      </c>
      <c r="F97" s="87">
        <f>D97*E97</f>
        <v>0</v>
      </c>
      <c r="G97" s="707"/>
      <c r="H97" s="2324"/>
      <c r="I97" s="2758"/>
    </row>
    <row r="98" spans="1:9" ht="15" customHeight="1" x14ac:dyDescent="0.2">
      <c r="A98" s="2875"/>
      <c r="B98" s="2869"/>
      <c r="C98" s="678" t="str">
        <f>F!C155</f>
        <v>10 - 50 cm deep.</v>
      </c>
      <c r="D98" s="282">
        <f>F!D155</f>
        <v>0</v>
      </c>
      <c r="E98" s="556">
        <v>3</v>
      </c>
      <c r="F98" s="87">
        <f>D98*E98</f>
        <v>0</v>
      </c>
      <c r="G98" s="708"/>
      <c r="H98" s="2324"/>
      <c r="I98" s="2758"/>
    </row>
    <row r="99" spans="1:9" ht="15" customHeight="1" x14ac:dyDescent="0.2">
      <c r="A99" s="2875"/>
      <c r="B99" s="2869"/>
      <c r="C99" s="678" t="str">
        <f>F!C156</f>
        <v>0.5 - 1 m deep.</v>
      </c>
      <c r="D99" s="282">
        <f>F!D156</f>
        <v>1</v>
      </c>
      <c r="E99" s="556">
        <v>7</v>
      </c>
      <c r="F99" s="87">
        <f>D99*E99</f>
        <v>7</v>
      </c>
      <c r="G99" s="708"/>
      <c r="H99" s="2324"/>
      <c r="I99" s="2758"/>
    </row>
    <row r="100" spans="1:9" ht="15" customHeight="1" x14ac:dyDescent="0.2">
      <c r="A100" s="2875"/>
      <c r="B100" s="2869"/>
      <c r="C100" s="678" t="str">
        <f>F!C157</f>
        <v>1 - 2 m deep.</v>
      </c>
      <c r="D100" s="282">
        <f>F!D157</f>
        <v>0</v>
      </c>
      <c r="E100" s="556">
        <v>5</v>
      </c>
      <c r="F100" s="87">
        <f>D100*E100</f>
        <v>0</v>
      </c>
      <c r="G100" s="708"/>
      <c r="H100" s="2324"/>
      <c r="I100" s="2758"/>
    </row>
    <row r="101" spans="1:9" ht="15" customHeight="1" thickBot="1" x14ac:dyDescent="0.25">
      <c r="A101" s="2876"/>
      <c r="B101" s="2870"/>
      <c r="C101" s="679" t="str">
        <f>F!C158</f>
        <v>&gt;2 m deep. True for many fringe wetlands.</v>
      </c>
      <c r="D101" s="283">
        <f>F!D158</f>
        <v>0</v>
      </c>
      <c r="E101" s="559">
        <v>2</v>
      </c>
      <c r="F101" s="174">
        <f>D101*E101</f>
        <v>0</v>
      </c>
      <c r="G101" s="709"/>
      <c r="H101" s="2325"/>
      <c r="I101" s="2759"/>
    </row>
    <row r="102" spans="1:9" ht="21" customHeight="1" thickBot="1" x14ac:dyDescent="0.25">
      <c r="A102" s="2889" t="str">
        <f>F!A159</f>
        <v>F30</v>
      </c>
      <c r="B102" s="2868" t="str">
        <f>F!B159</f>
        <v>Depth Classes - Evenness of Proportions</v>
      </c>
      <c r="C102" s="680" t="str">
        <f>F!C159</f>
        <v>When present, surface water in most of the AA usually consists of (select one):</v>
      </c>
      <c r="D102" s="209"/>
      <c r="E102" s="299"/>
      <c r="F102" s="93"/>
      <c r="G102" s="716">
        <f>IF((AllSat1&gt;0),"",IF((TooSmall=1),"",MAX(F103:F105)/MAX(E103:E105)))</f>
        <v>1</v>
      </c>
      <c r="H102" s="2323" t="s">
        <v>1212</v>
      </c>
      <c r="I102" s="2326" t="s">
        <v>2863</v>
      </c>
    </row>
    <row r="103" spans="1:9" ht="15" customHeight="1" x14ac:dyDescent="0.2">
      <c r="A103" s="2890"/>
      <c r="B103" s="2869"/>
      <c r="C103" s="677" t="str">
        <f>F!C160</f>
        <v xml:space="preserve">One depth class that comprises &gt;90% of the AA’s inundated area (use the classes in the question above). </v>
      </c>
      <c r="D103" s="281">
        <f>F!D160</f>
        <v>0</v>
      </c>
      <c r="E103" s="299">
        <v>0</v>
      </c>
      <c r="F103" s="710">
        <f>D103*E103</f>
        <v>0</v>
      </c>
      <c r="G103" s="707"/>
      <c r="H103" s="2324"/>
      <c r="I103" s="2327"/>
    </row>
    <row r="104" spans="1:9" ht="15" customHeight="1" x14ac:dyDescent="0.2">
      <c r="A104" s="2890"/>
      <c r="B104" s="2869"/>
      <c r="C104" s="678" t="str">
        <f>F!C161</f>
        <v>One depth class that comprises 50-90% of the AA's inundated area.</v>
      </c>
      <c r="D104" s="282">
        <f>F!D161</f>
        <v>0</v>
      </c>
      <c r="E104" s="300">
        <v>1</v>
      </c>
      <c r="F104" s="87">
        <f>D104*E104</f>
        <v>0</v>
      </c>
      <c r="G104" s="708"/>
      <c r="H104" s="2324"/>
      <c r="I104" s="2327"/>
    </row>
    <row r="105" spans="1:9" ht="15" customHeight="1" thickBot="1" x14ac:dyDescent="0.25">
      <c r="A105" s="2890"/>
      <c r="B105" s="2869"/>
      <c r="C105" s="681" t="str">
        <f>F!C162</f>
        <v>Neither of above. There are 3 or more depth classes and none occupy &gt;50%.</v>
      </c>
      <c r="D105" s="284">
        <f>F!D162</f>
        <v>1</v>
      </c>
      <c r="E105" s="303">
        <v>2</v>
      </c>
      <c r="F105" s="712">
        <f>D105*E105</f>
        <v>2</v>
      </c>
      <c r="G105" s="713"/>
      <c r="H105" s="2324"/>
      <c r="I105" s="2328"/>
    </row>
    <row r="106" spans="1:9" ht="45" customHeight="1" thickBot="1" x14ac:dyDescent="0.25">
      <c r="A106" s="2864" t="str">
        <f>F!A163</f>
        <v>F31</v>
      </c>
      <c r="B106" s="2860" t="str">
        <f>F!B163</f>
        <v>% of Water That Is Ponded (not Flowing)</v>
      </c>
      <c r="C106" s="676" t="str">
        <f>F!C163</f>
        <v>During most times when surface water is present, the percentage that is (1) ponded (stagnant, or flows so slowly that fine sediment is not held in suspension) AND (2) is likely to be deeper than 0.5 m in some places, is:</v>
      </c>
      <c r="D106" s="209"/>
      <c r="E106" s="304"/>
      <c r="F106" s="176"/>
      <c r="G106" s="725">
        <f>IF((AllSat1&gt;0),"", MAX(F107:F111)/MAX(E107:E111))</f>
        <v>0</v>
      </c>
      <c r="H106" s="2323" t="s">
        <v>1214</v>
      </c>
      <c r="I106" s="2757" t="s">
        <v>218</v>
      </c>
    </row>
    <row r="107" spans="1:9" ht="15" customHeight="1" x14ac:dyDescent="0.2">
      <c r="A107" s="2865"/>
      <c r="B107" s="2861"/>
      <c r="C107" s="677" t="str">
        <f>F!C164</f>
        <v>&lt;5% of the water, or it occupies &lt;100 sq.m cumulatively. Nearly all the surface water is flowing. SKIP to F34.</v>
      </c>
      <c r="D107" s="952">
        <f>F!D164</f>
        <v>1</v>
      </c>
      <c r="E107" s="300">
        <v>0</v>
      </c>
      <c r="F107" s="87">
        <f>D107*E107</f>
        <v>0</v>
      </c>
      <c r="G107" s="708"/>
      <c r="H107" s="2324"/>
      <c r="I107" s="2758"/>
    </row>
    <row r="108" spans="1:9" ht="15" customHeight="1" x14ac:dyDescent="0.2">
      <c r="A108" s="2865"/>
      <c r="B108" s="2861"/>
      <c r="C108" s="678" t="str">
        <f>F!C165</f>
        <v>5-30% of the water.</v>
      </c>
      <c r="D108" s="953">
        <f>F!D165</f>
        <v>0</v>
      </c>
      <c r="E108" s="300">
        <v>3</v>
      </c>
      <c r="F108" s="87">
        <f>D108*E108</f>
        <v>0</v>
      </c>
      <c r="G108" s="708"/>
      <c r="H108" s="2324"/>
      <c r="I108" s="2758"/>
    </row>
    <row r="109" spans="1:9" ht="15" customHeight="1" x14ac:dyDescent="0.2">
      <c r="A109" s="2865"/>
      <c r="B109" s="2861"/>
      <c r="C109" s="678" t="str">
        <f>F!C166</f>
        <v>30-70% of the water.</v>
      </c>
      <c r="D109" s="953">
        <f>F!D166</f>
        <v>0</v>
      </c>
      <c r="E109" s="300">
        <v>4</v>
      </c>
      <c r="F109" s="87">
        <f>D109*E109</f>
        <v>0</v>
      </c>
      <c r="G109" s="713"/>
      <c r="H109" s="2324"/>
      <c r="I109" s="2758"/>
    </row>
    <row r="110" spans="1:9" ht="15" customHeight="1" x14ac:dyDescent="0.2">
      <c r="A110" s="2865"/>
      <c r="B110" s="2861"/>
      <c r="C110" s="678" t="str">
        <f>F!C167</f>
        <v>70-95% of the water.</v>
      </c>
      <c r="D110" s="953">
        <f>F!D167</f>
        <v>0</v>
      </c>
      <c r="E110" s="300">
        <v>5</v>
      </c>
      <c r="F110" s="87">
        <f>D110*E110</f>
        <v>0</v>
      </c>
      <c r="G110" s="713"/>
      <c r="H110" s="2324"/>
      <c r="I110" s="2758"/>
    </row>
    <row r="111" spans="1:9" ht="15" customHeight="1" thickBot="1" x14ac:dyDescent="0.25">
      <c r="A111" s="2866"/>
      <c r="B111" s="2862"/>
      <c r="C111" s="679" t="str">
        <f>F!C168</f>
        <v>&gt;95% of the water.</v>
      </c>
      <c r="D111" s="954">
        <f>F!D168</f>
        <v>0</v>
      </c>
      <c r="E111" s="301">
        <v>5</v>
      </c>
      <c r="F111" s="174">
        <f>D111*E111</f>
        <v>0</v>
      </c>
      <c r="G111" s="709"/>
      <c r="H111" s="2325"/>
      <c r="I111" s="2759"/>
    </row>
    <row r="112" spans="1:9" ht="30" customHeight="1" thickBot="1" x14ac:dyDescent="0.25">
      <c r="A112" s="2901" t="str">
        <f>F!A170</f>
        <v>F33</v>
      </c>
      <c r="B112" s="2901" t="str">
        <f>F!B170</f>
        <v xml:space="preserve">% of Ponded Water that is Open </v>
      </c>
      <c r="C112" s="163" t="str">
        <f>F!C170</f>
        <v>In ducks-eye aerial view, the percentage of the ponded water that is open (lacking emergent vegetation during most of the growing season, and unhidden by a forest or shrub canopy) is:</v>
      </c>
      <c r="D112" s="726"/>
      <c r="E112" s="315"/>
      <c r="F112" s="176"/>
      <c r="G112" s="706" t="str">
        <f>IF((AllSat1&gt;0),"",IF((TooSmall=1),"",IF((NoPonded=1),"",MAX(F113:F118)/MAX(E113:E118))))</f>
        <v/>
      </c>
      <c r="H112" s="2323" t="s">
        <v>1862</v>
      </c>
      <c r="I112" s="2326" t="s">
        <v>2862</v>
      </c>
    </row>
    <row r="113" spans="1:9" ht="27" customHeight="1" x14ac:dyDescent="0.2">
      <c r="A113" s="2902"/>
      <c r="B113" s="2902"/>
      <c r="C113" s="1010" t="str">
        <f>F!C171</f>
        <v>None, or &lt;1% of the AA and largest pool occupies &lt;0.01 hectares. Enter "1" and SKIP to F41 (Floating Algae &amp; Duckweed).</v>
      </c>
      <c r="D113" s="284">
        <f>F!D171</f>
        <v>0</v>
      </c>
      <c r="E113" s="300">
        <v>1</v>
      </c>
      <c r="F113" s="87">
        <f t="shared" ref="F113:F118" si="5">D113*E113</f>
        <v>0</v>
      </c>
      <c r="G113" s="707"/>
      <c r="H113" s="2324"/>
      <c r="I113" s="2327"/>
    </row>
    <row r="114" spans="1:9" ht="15" customHeight="1" x14ac:dyDescent="0.2">
      <c r="A114" s="2902"/>
      <c r="B114" s="2902"/>
      <c r="C114" s="1006" t="str">
        <f>F!C172</f>
        <v>1-4% of the ponded water. Enter "1" and SKIP to F41 (Floating Algae &amp; Duckweed).</v>
      </c>
      <c r="D114" s="282">
        <f>F!D172</f>
        <v>0</v>
      </c>
      <c r="E114" s="300">
        <v>3</v>
      </c>
      <c r="F114" s="87">
        <f t="shared" si="5"/>
        <v>0</v>
      </c>
      <c r="G114" s="708"/>
      <c r="H114" s="2324"/>
      <c r="I114" s="2327"/>
    </row>
    <row r="115" spans="1:9" ht="15" customHeight="1" x14ac:dyDescent="0.2">
      <c r="A115" s="2902"/>
      <c r="B115" s="2902"/>
      <c r="C115" s="1006" t="str">
        <f>F!C173</f>
        <v>5-30% of the ponded water.</v>
      </c>
      <c r="D115" s="282">
        <f>F!D173</f>
        <v>0</v>
      </c>
      <c r="E115" s="300">
        <v>4</v>
      </c>
      <c r="F115" s="87">
        <f t="shared" si="5"/>
        <v>0</v>
      </c>
      <c r="G115" s="708"/>
      <c r="H115" s="2324"/>
      <c r="I115" s="2327"/>
    </row>
    <row r="116" spans="1:9" ht="15" customHeight="1" x14ac:dyDescent="0.2">
      <c r="A116" s="2902"/>
      <c r="B116" s="2902"/>
      <c r="C116" s="1006" t="str">
        <f>F!C174</f>
        <v>30-70% of the ponded water.</v>
      </c>
      <c r="D116" s="282">
        <f>F!D174</f>
        <v>0</v>
      </c>
      <c r="E116" s="300">
        <v>6</v>
      </c>
      <c r="F116" s="87">
        <f t="shared" si="5"/>
        <v>0</v>
      </c>
      <c r="G116" s="708"/>
      <c r="H116" s="2324"/>
      <c r="I116" s="2327"/>
    </row>
    <row r="117" spans="1:9" ht="15" customHeight="1" x14ac:dyDescent="0.2">
      <c r="A117" s="2902"/>
      <c r="B117" s="2902"/>
      <c r="C117" s="1006" t="str">
        <f>F!C175</f>
        <v>70-99% of the ponded water.</v>
      </c>
      <c r="D117" s="282">
        <f>F!D175</f>
        <v>0</v>
      </c>
      <c r="E117" s="300">
        <v>4</v>
      </c>
      <c r="F117" s="87">
        <f t="shared" si="5"/>
        <v>0</v>
      </c>
      <c r="G117" s="708"/>
      <c r="H117" s="2324"/>
      <c r="I117" s="2327"/>
    </row>
    <row r="118" spans="1:9" ht="15" customHeight="1" thickBot="1" x14ac:dyDescent="0.25">
      <c r="A118" s="2903"/>
      <c r="B118" s="2903"/>
      <c r="C118" s="1065" t="str">
        <f>F!C176</f>
        <v xml:space="preserve">100% of the ponded water. </v>
      </c>
      <c r="D118" s="705">
        <f>F!D176</f>
        <v>0</v>
      </c>
      <c r="E118" s="643">
        <v>2</v>
      </c>
      <c r="F118" s="174">
        <f t="shared" si="5"/>
        <v>0</v>
      </c>
      <c r="G118" s="709"/>
      <c r="H118" s="2325"/>
      <c r="I118" s="2328"/>
    </row>
    <row r="119" spans="1:9" ht="30" customHeight="1" thickBot="1" x14ac:dyDescent="0.25">
      <c r="A119" s="2895" t="str">
        <f>F!A177</f>
        <v>F34</v>
      </c>
      <c r="B119" s="2861" t="str">
        <f>F!B177</f>
        <v>Width of Vegetated Zone within Wetland</v>
      </c>
      <c r="C119" s="699" t="str">
        <f>F!C177</f>
        <v>At the time during the growing season when the AA's water level is lowest, the average width of vegetated area in the AA that separates adjoining uplands from open water within the AA is:</v>
      </c>
      <c r="D119" s="710"/>
      <c r="E119" s="299"/>
      <c r="F119" s="715"/>
      <c r="G119" s="711">
        <f>IF((AllSat1&gt;0),"",IF((TooSmall=1),"",IF((NoOpenPonded=1),"",MAX(F120:F125)/MAX(E120:E125))))</f>
        <v>1</v>
      </c>
      <c r="H119" s="2324" t="s">
        <v>1213</v>
      </c>
      <c r="I119" s="2757" t="s">
        <v>221</v>
      </c>
    </row>
    <row r="120" spans="1:9" ht="15" customHeight="1" x14ac:dyDescent="0.2">
      <c r="A120" s="2895"/>
      <c r="B120" s="2861"/>
      <c r="C120" s="692" t="str">
        <f>F!C178</f>
        <v>&lt;1 m.</v>
      </c>
      <c r="D120" s="285">
        <f>F!D178</f>
        <v>0</v>
      </c>
      <c r="E120" s="300">
        <v>0</v>
      </c>
      <c r="F120" s="87">
        <f t="shared" ref="F120:F125" si="6">D120*E120</f>
        <v>0</v>
      </c>
      <c r="G120" s="707"/>
      <c r="H120" s="2324"/>
      <c r="I120" s="2758"/>
    </row>
    <row r="121" spans="1:9" ht="15" customHeight="1" x14ac:dyDescent="0.2">
      <c r="A121" s="2895"/>
      <c r="B121" s="2861"/>
      <c r="C121" s="693" t="str">
        <f>F!C179</f>
        <v>1 - 9 m.</v>
      </c>
      <c r="D121" s="286">
        <f>F!D179</f>
        <v>0</v>
      </c>
      <c r="E121" s="300">
        <v>1</v>
      </c>
      <c r="F121" s="87">
        <f t="shared" si="6"/>
        <v>0</v>
      </c>
      <c r="G121" s="708"/>
      <c r="H121" s="2324"/>
      <c r="I121" s="2758"/>
    </row>
    <row r="122" spans="1:9" ht="15" customHeight="1" x14ac:dyDescent="0.2">
      <c r="A122" s="2895"/>
      <c r="B122" s="2861"/>
      <c r="C122" s="693" t="str">
        <f>F!C180</f>
        <v>10 - 29 m.</v>
      </c>
      <c r="D122" s="286">
        <f>F!D180</f>
        <v>0</v>
      </c>
      <c r="E122" s="300">
        <v>2</v>
      </c>
      <c r="F122" s="87">
        <f t="shared" si="6"/>
        <v>0</v>
      </c>
      <c r="G122" s="708"/>
      <c r="H122" s="2324"/>
      <c r="I122" s="2758"/>
    </row>
    <row r="123" spans="1:9" ht="15" customHeight="1" x14ac:dyDescent="0.2">
      <c r="A123" s="2895"/>
      <c r="B123" s="2861"/>
      <c r="C123" s="693" t="str">
        <f>F!C181</f>
        <v>30 - 49 m.</v>
      </c>
      <c r="D123" s="286">
        <f>F!D181</f>
        <v>0</v>
      </c>
      <c r="E123" s="300">
        <v>3</v>
      </c>
      <c r="F123" s="87">
        <f t="shared" si="6"/>
        <v>0</v>
      </c>
      <c r="G123" s="708"/>
      <c r="H123" s="2324"/>
      <c r="I123" s="2758"/>
    </row>
    <row r="124" spans="1:9" ht="15" customHeight="1" x14ac:dyDescent="0.2">
      <c r="A124" s="2895"/>
      <c r="B124" s="2861"/>
      <c r="C124" s="693" t="str">
        <f>F!C182</f>
        <v>50 - 100 m.</v>
      </c>
      <c r="D124" s="286">
        <f>F!D182</f>
        <v>0</v>
      </c>
      <c r="E124" s="300">
        <v>4</v>
      </c>
      <c r="F124" s="87">
        <f t="shared" si="6"/>
        <v>0</v>
      </c>
      <c r="G124" s="708"/>
      <c r="H124" s="2324"/>
      <c r="I124" s="2758"/>
    </row>
    <row r="125" spans="1:9" ht="15" customHeight="1" thickBot="1" x14ac:dyDescent="0.25">
      <c r="A125" s="2895"/>
      <c r="B125" s="2861"/>
      <c r="C125" s="693" t="str">
        <f>F!C183</f>
        <v>&gt; 100 m, or open water is absent at that time.</v>
      </c>
      <c r="D125" s="286">
        <f>F!D183</f>
        <v>1</v>
      </c>
      <c r="E125" s="303">
        <v>6</v>
      </c>
      <c r="F125" s="712">
        <f t="shared" si="6"/>
        <v>6</v>
      </c>
      <c r="G125" s="713"/>
      <c r="H125" s="2324"/>
      <c r="I125" s="2759"/>
    </row>
    <row r="126" spans="1:9" ht="30" customHeight="1" thickBot="1" x14ac:dyDescent="0.25">
      <c r="A126" s="2864" t="str">
        <f>F!A184</f>
        <v>F35</v>
      </c>
      <c r="B126" s="2860" t="str">
        <f>F!B184</f>
        <v>Flat Shoreline Extent</v>
      </c>
      <c r="C126" s="691" t="str">
        <f>F!C184</f>
        <v>During most of the part of the growing season when water is present, the percentage of the AA's water edge length that is nearly flat (a slope less than about 5% measured within 5 m landward of the water) is:</v>
      </c>
      <c r="D126" s="209"/>
      <c r="E126" s="304"/>
      <c r="F126" s="176"/>
      <c r="G126" s="725">
        <f>IF((AllSat1&gt;0),"",IF((TooSmall=1),"",IF((NoOpenPonded=1),"",MAX(F127:F131)/MAX(E127:E131))))</f>
        <v>0.25</v>
      </c>
      <c r="H126" s="2323" t="s">
        <v>1411</v>
      </c>
      <c r="I126" s="2326" t="s">
        <v>2864</v>
      </c>
    </row>
    <row r="127" spans="1:9" ht="15" customHeight="1" x14ac:dyDescent="0.2">
      <c r="A127" s="2865"/>
      <c r="B127" s="2861"/>
      <c r="C127" s="692" t="str">
        <f>F!C185</f>
        <v>&lt;1% of the water edge.</v>
      </c>
      <c r="D127" s="285">
        <f>F!D185</f>
        <v>0</v>
      </c>
      <c r="E127" s="300">
        <v>0</v>
      </c>
      <c r="F127" s="87">
        <f>D127*E127</f>
        <v>0</v>
      </c>
      <c r="G127" s="707"/>
      <c r="H127" s="2324"/>
      <c r="I127" s="2327"/>
    </row>
    <row r="128" spans="1:9" ht="15" customHeight="1" x14ac:dyDescent="0.2">
      <c r="A128" s="2865"/>
      <c r="B128" s="2861"/>
      <c r="C128" s="693" t="str">
        <f>F!C186</f>
        <v>1-25% of the water edge.</v>
      </c>
      <c r="D128" s="286">
        <f>F!D186</f>
        <v>1</v>
      </c>
      <c r="E128" s="300">
        <v>1</v>
      </c>
      <c r="F128" s="87">
        <f>D128*E128</f>
        <v>1</v>
      </c>
      <c r="G128" s="708"/>
      <c r="H128" s="2324"/>
      <c r="I128" s="2327"/>
    </row>
    <row r="129" spans="1:9" ht="15" customHeight="1" x14ac:dyDescent="0.2">
      <c r="A129" s="2865"/>
      <c r="B129" s="2861"/>
      <c r="C129" s="693" t="str">
        <f>F!C187</f>
        <v>25-50% of the water edge.</v>
      </c>
      <c r="D129" s="286">
        <f>F!D187</f>
        <v>0</v>
      </c>
      <c r="E129" s="300">
        <v>2</v>
      </c>
      <c r="F129" s="87">
        <f>D129*E129</f>
        <v>0</v>
      </c>
      <c r="G129" s="708"/>
      <c r="H129" s="2324"/>
      <c r="I129" s="2327"/>
    </row>
    <row r="130" spans="1:9" ht="15" customHeight="1" x14ac:dyDescent="0.2">
      <c r="A130" s="2865"/>
      <c r="B130" s="2861"/>
      <c r="C130" s="693" t="str">
        <f>F!C188</f>
        <v>50-75% of the water edge.</v>
      </c>
      <c r="D130" s="286">
        <f>F!D188</f>
        <v>0</v>
      </c>
      <c r="E130" s="300">
        <v>3</v>
      </c>
      <c r="F130" s="87">
        <f>D130*E130</f>
        <v>0</v>
      </c>
      <c r="G130" s="708"/>
      <c r="H130" s="2324"/>
      <c r="I130" s="2327"/>
    </row>
    <row r="131" spans="1:9" ht="15" customHeight="1" thickBot="1" x14ac:dyDescent="0.25">
      <c r="A131" s="2865"/>
      <c r="B131" s="2861"/>
      <c r="C131" s="693" t="str">
        <f>F!C189</f>
        <v>&gt;75% of the water edge.</v>
      </c>
      <c r="D131" s="286">
        <f>F!D189</f>
        <v>0</v>
      </c>
      <c r="E131" s="303">
        <v>4</v>
      </c>
      <c r="F131" s="712">
        <f>D131*E131</f>
        <v>0</v>
      </c>
      <c r="G131" s="713"/>
      <c r="H131" s="2325"/>
      <c r="I131" s="2328"/>
    </row>
    <row r="132" spans="1:9" ht="30" customHeight="1" thickBot="1" x14ac:dyDescent="0.25">
      <c r="A132" s="2864" t="str">
        <f>F!A190</f>
        <v>F36</v>
      </c>
      <c r="B132" s="2860" t="str">
        <f>F!B190</f>
        <v>Robust Emergents</v>
      </c>
      <c r="C132" s="166" t="str">
        <f>F!C190</f>
        <v>The percentage of the emergent vegetation cover in the AA that is cattail (Typha spp.), common reed (Phragmites), or tall (&gt;1m) bulrush is:</v>
      </c>
      <c r="D132" s="315"/>
      <c r="E132" s="304"/>
      <c r="F132" s="209"/>
      <c r="G132" s="725">
        <f>IF((AllSat1&gt;0),"",IF((TooSmall=1),"",IF((NoOpenPonded=1),"",MAX(F133:F136)/MAX(E133:E136))))</f>
        <v>1</v>
      </c>
      <c r="H132" s="2323" t="s">
        <v>2324</v>
      </c>
      <c r="I132" s="2757" t="s">
        <v>2325</v>
      </c>
    </row>
    <row r="133" spans="1:9" ht="15" customHeight="1" x14ac:dyDescent="0.2">
      <c r="A133" s="2865"/>
      <c r="B133" s="2861"/>
      <c r="C133" s="1513" t="str">
        <f>F!C191</f>
        <v>&lt;1% of the emergent vegetation, or emergent vegetation is absent.  SKIP to F38.</v>
      </c>
      <c r="D133" s="290">
        <f>F!D191</f>
        <v>0</v>
      </c>
      <c r="E133" s="300">
        <v>0</v>
      </c>
      <c r="F133" s="87">
        <f>D133*E133</f>
        <v>0</v>
      </c>
      <c r="G133" s="718"/>
      <c r="H133" s="2324"/>
      <c r="I133" s="2758"/>
    </row>
    <row r="134" spans="1:9" ht="15" customHeight="1" x14ac:dyDescent="0.2">
      <c r="A134" s="2865"/>
      <c r="B134" s="2861"/>
      <c r="C134" s="1514" t="str">
        <f>F!C192</f>
        <v>1-25% of the emergent vegetation.</v>
      </c>
      <c r="D134" s="290">
        <f>F!D192</f>
        <v>0</v>
      </c>
      <c r="E134" s="300">
        <v>2</v>
      </c>
      <c r="F134" s="87">
        <f>D134*E134</f>
        <v>0</v>
      </c>
      <c r="G134" s="718"/>
      <c r="H134" s="2324"/>
      <c r="I134" s="2758"/>
    </row>
    <row r="135" spans="1:9" ht="15" customHeight="1" x14ac:dyDescent="0.2">
      <c r="A135" s="2865"/>
      <c r="B135" s="2861"/>
      <c r="C135" s="1514" t="str">
        <f>F!C193</f>
        <v>25-75% of the emergent vegetation.</v>
      </c>
      <c r="D135" s="290">
        <f>F!D193</f>
        <v>1</v>
      </c>
      <c r="E135" s="300">
        <v>4</v>
      </c>
      <c r="F135" s="87">
        <f>D135*E135</f>
        <v>4</v>
      </c>
      <c r="G135" s="718"/>
      <c r="H135" s="2324"/>
      <c r="I135" s="2758"/>
    </row>
    <row r="136" spans="1:9" ht="15" customHeight="1" thickBot="1" x14ac:dyDescent="0.25">
      <c r="A136" s="2866"/>
      <c r="B136" s="2862"/>
      <c r="C136" s="1515" t="str">
        <f>F!C194</f>
        <v>&gt;75%, of the emergent vegetation.</v>
      </c>
      <c r="D136" s="287">
        <f>F!D194</f>
        <v>0</v>
      </c>
      <c r="E136" s="301">
        <v>3</v>
      </c>
      <c r="F136" s="174">
        <f>D136*E136</f>
        <v>0</v>
      </c>
      <c r="G136" s="719"/>
      <c r="H136" s="2325"/>
      <c r="I136" s="2759"/>
    </row>
    <row r="137" spans="1:9" ht="30" customHeight="1" thickBot="1" x14ac:dyDescent="0.25">
      <c r="A137" s="2865" t="str">
        <f>F!A195</f>
        <v>F37</v>
      </c>
      <c r="B137" s="2861" t="str">
        <f>F!B195</f>
        <v>Interspersion of Emergents &amp; Open Water</v>
      </c>
      <c r="C137" s="699" t="str">
        <f>F!C195</f>
        <v>During most of the part of the growing season when water is present, the spatial pattern of emergent vegetation within the water is mostly:</v>
      </c>
      <c r="D137" s="710"/>
      <c r="E137" s="299"/>
      <c r="F137" s="715"/>
      <c r="G137" s="716" t="str">
        <f>IF((AllSat1&gt;0),"",IF((TooSmall=1),"",IF((NoPonded=1),"",IF((NoOpenPonded+NoOpenPonded1&gt;0),"",IF((AllOpenPond=1),"",IF((NoRobustEm=1),"",MAX(F138:F140)/MAX(E138:E140)))))))</f>
        <v/>
      </c>
      <c r="H137" s="2324" t="s">
        <v>1647</v>
      </c>
      <c r="I137" s="2757" t="s">
        <v>220</v>
      </c>
    </row>
    <row r="138" spans="1:9" ht="15" customHeight="1" x14ac:dyDescent="0.2">
      <c r="A138" s="2865"/>
      <c r="B138" s="2861"/>
      <c r="C138" s="700" t="str">
        <f>F!C196</f>
        <v>Scattered. More than 30% of such vegetation forms small islands or corridors surrounded by water.</v>
      </c>
      <c r="D138" s="289">
        <f>F!D196</f>
        <v>0</v>
      </c>
      <c r="E138" s="300">
        <v>3</v>
      </c>
      <c r="F138" s="324">
        <f>D138*E138</f>
        <v>0</v>
      </c>
      <c r="G138" s="715"/>
      <c r="H138" s="2324"/>
      <c r="I138" s="2758"/>
    </row>
    <row r="139" spans="1:9" ht="15" customHeight="1" x14ac:dyDescent="0.2">
      <c r="A139" s="2865"/>
      <c r="B139" s="2861"/>
      <c r="C139" s="701" t="str">
        <f>F!C197</f>
        <v>Intermediate.</v>
      </c>
      <c r="D139" s="290">
        <f>F!D197</f>
        <v>0</v>
      </c>
      <c r="E139" s="300">
        <v>2</v>
      </c>
      <c r="F139" s="324">
        <f>D139*E139</f>
        <v>0</v>
      </c>
      <c r="G139" s="715"/>
      <c r="H139" s="2324"/>
      <c r="I139" s="2758"/>
    </row>
    <row r="140" spans="1:9" ht="31.5" customHeight="1" thickBot="1" x14ac:dyDescent="0.25">
      <c r="A140" s="2865"/>
      <c r="B140" s="2861"/>
      <c r="C140" s="693" t="str">
        <f>F!C198</f>
        <v>Clumped. More than 70% of such vegetation is in bands along the wetland perimeter or is clumped at one or a few sides of the surface water area.</v>
      </c>
      <c r="D140" s="286">
        <f>F!D198</f>
        <v>1</v>
      </c>
      <c r="E140" s="303">
        <v>1</v>
      </c>
      <c r="F140" s="326">
        <f>D140*E140</f>
        <v>1</v>
      </c>
      <c r="G140" s="727"/>
      <c r="H140" s="2324"/>
      <c r="I140" s="2759"/>
    </row>
    <row r="141" spans="1:9" ht="53.25" customHeight="1" thickBot="1" x14ac:dyDescent="0.25">
      <c r="A141" s="675" t="str">
        <f>F!A204</f>
        <v>F40</v>
      </c>
      <c r="B141" s="166" t="str">
        <f>F!B204</f>
        <v>Isolated Island</v>
      </c>
      <c r="C141" s="998" t="str">
        <f>F!C204</f>
        <v>The AA contains (or is part of) an island or beaver lodge within a lake, pond, or river, and is isolated from the shore by water depths &gt;1 m on all sides during an average June. The island may be solid, or it may be a floating vegetation mat that is sufficiently large and dense to support a waterbird nest.</v>
      </c>
      <c r="D141" s="947">
        <f>F!D204</f>
        <v>1</v>
      </c>
      <c r="E141" s="320"/>
      <c r="F141" s="171"/>
      <c r="G141" s="706">
        <f>IF((TooSmall=1),"",IF((DeepPersis=0),"",IF((D141=0),"",D141)))</f>
        <v>1</v>
      </c>
      <c r="H141" s="73" t="s">
        <v>1215</v>
      </c>
      <c r="I141" s="1287" t="s">
        <v>1055</v>
      </c>
    </row>
    <row r="142" spans="1:9" ht="42" customHeight="1" thickBot="1" x14ac:dyDescent="0.25">
      <c r="A142" s="2860" t="str">
        <f>F!A224</f>
        <v>F47</v>
      </c>
      <c r="B142" s="2860" t="str">
        <f>F!B224</f>
        <v>pH Measurement</v>
      </c>
      <c r="C142" s="166" t="str">
        <f>F!C224</f>
        <v>The pH in most of the AA's surface water:</v>
      </c>
      <c r="D142" s="2115"/>
      <c r="E142" s="304"/>
      <c r="F142" s="176"/>
      <c r="G142" s="706" t="str">
        <f>IF((D145=1),"", IF((D144=1),0, IF((D145&gt;0&lt;5),0, 1)))</f>
        <v/>
      </c>
      <c r="H142" s="2323" t="s">
        <v>2593</v>
      </c>
      <c r="I142" s="2757" t="s">
        <v>233</v>
      </c>
    </row>
    <row r="143" spans="1:9" ht="24" customHeight="1" thickBot="1" x14ac:dyDescent="0.25">
      <c r="A143" s="2861"/>
      <c r="B143" s="2861"/>
      <c r="C143" s="1993" t="str">
        <f>F!C225</f>
        <v>Was measured, and is:  [enter the reading in the column to the right.]</v>
      </c>
      <c r="D143" s="2116" t="str">
        <f>IF((F!D225=""),"",F!D225)</f>
        <v/>
      </c>
      <c r="E143" s="316"/>
      <c r="F143" s="87"/>
      <c r="G143" s="93"/>
      <c r="H143" s="2324"/>
      <c r="I143" s="2758"/>
    </row>
    <row r="144" spans="1:9" ht="36" customHeight="1" x14ac:dyDescent="0.2">
      <c r="A144" s="2861"/>
      <c r="B144" s="2861"/>
      <c r="C144" s="1514" t="str">
        <f>F!C226</f>
        <v xml:space="preserve">Was not measured but surface water is present and is darkly tea-coloured.  Or if no surface water, then mosses and plants that indicate peatland (e.g., Labrador tea) are prevalent. Enter "1". </v>
      </c>
      <c r="D144" s="2110">
        <f>F!D226</f>
        <v>0</v>
      </c>
      <c r="E144" s="300"/>
      <c r="F144" s="87"/>
      <c r="G144" s="90"/>
      <c r="H144" s="2324"/>
      <c r="I144" s="2758"/>
    </row>
    <row r="145" spans="1:9" ht="30" customHeight="1" thickBot="1" x14ac:dyDescent="0.25">
      <c r="A145" s="2862"/>
      <c r="B145" s="2862"/>
      <c r="C145" s="1515" t="str">
        <f>F!C227</f>
        <v>Neither of above. Enter "1".</v>
      </c>
      <c r="D145" s="287">
        <f>F!D227</f>
        <v>1</v>
      </c>
      <c r="E145" s="317"/>
      <c r="F145" s="174"/>
      <c r="G145" s="179"/>
      <c r="H145" s="2325"/>
      <c r="I145" s="2759"/>
    </row>
    <row r="146" spans="1:9" ht="21" customHeight="1" thickBot="1" x14ac:dyDescent="0.25">
      <c r="A146" s="2864" t="str">
        <f>F!A233</f>
        <v>F49</v>
      </c>
      <c r="B146" s="2860" t="str">
        <f>F!B233</f>
        <v>Beaver Probability</v>
      </c>
      <c r="C146" s="691" t="str">
        <f>F!C233</f>
        <v>Use of the AA by beaver during the past 5 years is (select most applicable ONE):</v>
      </c>
      <c r="D146" s="209"/>
      <c r="E146" s="304"/>
      <c r="F146" s="209"/>
      <c r="G146" s="706">
        <f>IF((AllSat1&gt;0),"",MAX(F147:F149)/MAX(E147:E149))</f>
        <v>1</v>
      </c>
      <c r="H146" s="2323" t="s">
        <v>2886</v>
      </c>
      <c r="I146" s="2757" t="s">
        <v>234</v>
      </c>
    </row>
    <row r="147" spans="1:9" ht="27" customHeight="1" x14ac:dyDescent="0.2">
      <c r="A147" s="2865"/>
      <c r="B147" s="2861"/>
      <c r="C147" s="700" t="str">
        <f>F!C234</f>
        <v>Evident from direct observation or presence of gnawed limbs, dams, tracks, dens, lodges, or extensive stands of water-killed trees (snags).</v>
      </c>
      <c r="D147" s="289">
        <f>F!D234</f>
        <v>1</v>
      </c>
      <c r="E147" s="300">
        <v>3</v>
      </c>
      <c r="F147" s="87">
        <f>D147*E147</f>
        <v>3</v>
      </c>
      <c r="G147" s="708"/>
      <c r="H147" s="2324"/>
      <c r="I147" s="2758"/>
    </row>
    <row r="148" spans="1:9" ht="42" customHeight="1" x14ac:dyDescent="0.2">
      <c r="A148" s="2865"/>
      <c r="B148" s="2861"/>
      <c r="C148" s="701" t="str">
        <f>F!C235</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48" s="290">
        <f>F!D235</f>
        <v>0</v>
      </c>
      <c r="E148" s="300">
        <v>2</v>
      </c>
      <c r="F148" s="87">
        <f>D148*E148</f>
        <v>0</v>
      </c>
      <c r="G148" s="708"/>
      <c r="H148" s="2324"/>
      <c r="I148" s="2758"/>
    </row>
    <row r="149" spans="1:9" ht="27" customHeight="1" thickBot="1" x14ac:dyDescent="0.25">
      <c r="A149" s="2865"/>
      <c r="B149" s="2861"/>
      <c r="C149" s="693" t="str">
        <f>F!C236</f>
        <v xml:space="preserve">Unlikely because site characteristics above are deficient, and/or this is a settled area or other area where beaver are routinely removed. </v>
      </c>
      <c r="D149" s="286">
        <f>F!D236</f>
        <v>0</v>
      </c>
      <c r="E149" s="303">
        <v>0</v>
      </c>
      <c r="F149" s="712">
        <f>D149*E149</f>
        <v>0</v>
      </c>
      <c r="G149" s="713"/>
      <c r="H149" s="2324"/>
      <c r="I149" s="2759"/>
    </row>
    <row r="150" spans="1:9" s="1354" customFormat="1" ht="21" customHeight="1" thickBot="1" x14ac:dyDescent="0.25">
      <c r="A150" s="2863" t="str">
        <f>F!A241</f>
        <v>F51</v>
      </c>
      <c r="B150" s="2863" t="str">
        <f>F!B241</f>
        <v>Internal Gradient</v>
      </c>
      <c r="C150" s="1353" t="str">
        <f>F!C241</f>
        <v>The gradient along most of the flow path within the AA is:</v>
      </c>
      <c r="D150" s="555"/>
      <c r="E150" s="304"/>
      <c r="F150" s="322"/>
      <c r="G150" s="428">
        <f>MAX(F151:F154)/MAX(E151:E154)</f>
        <v>1</v>
      </c>
      <c r="H150" s="2693" t="s">
        <v>76</v>
      </c>
      <c r="I150" s="2757" t="s">
        <v>225</v>
      </c>
    </row>
    <row r="151" spans="1:9" s="1354" customFormat="1" ht="15" customHeight="1" x14ac:dyDescent="0.2">
      <c r="A151" s="2396"/>
      <c r="B151" s="2396"/>
      <c r="C151" s="1364" t="str">
        <f>F!C242</f>
        <v>&lt;2% or the AA has no surface water outlet (not even seasonally).</v>
      </c>
      <c r="D151" s="2111">
        <f>F!D242</f>
        <v>1</v>
      </c>
      <c r="E151" s="300">
        <v>4</v>
      </c>
      <c r="F151" s="300">
        <f>Steep13*E151</f>
        <v>4</v>
      </c>
      <c r="G151" s="429"/>
      <c r="H151" s="2663"/>
      <c r="I151" s="2758"/>
    </row>
    <row r="152" spans="1:9" s="1354" customFormat="1" ht="15" customHeight="1" x14ac:dyDescent="0.2">
      <c r="A152" s="2396"/>
      <c r="B152" s="2396"/>
      <c r="C152" s="1365" t="str">
        <f>F!C243</f>
        <v>2-5%.</v>
      </c>
      <c r="D152" s="2113">
        <f>F!D243</f>
        <v>0</v>
      </c>
      <c r="E152" s="300">
        <v>2</v>
      </c>
      <c r="F152" s="300">
        <f>D152*E152</f>
        <v>0</v>
      </c>
      <c r="G152" s="430"/>
      <c r="H152" s="2663"/>
      <c r="I152" s="2758"/>
    </row>
    <row r="153" spans="1:9" s="1354" customFormat="1" ht="15" customHeight="1" x14ac:dyDescent="0.2">
      <c r="A153" s="2396"/>
      <c r="B153" s="2396"/>
      <c r="C153" s="1367" t="str">
        <f>F!C244</f>
        <v>6-10%.</v>
      </c>
      <c r="D153" s="2113">
        <f>F!D244</f>
        <v>0</v>
      </c>
      <c r="E153" s="300">
        <v>1</v>
      </c>
      <c r="F153" s="300">
        <f>D153*E153</f>
        <v>0</v>
      </c>
      <c r="G153" s="430"/>
      <c r="H153" s="2663"/>
      <c r="I153" s="2758"/>
    </row>
    <row r="154" spans="1:9" s="1354" customFormat="1" ht="15" customHeight="1" thickBot="1" x14ac:dyDescent="0.25">
      <c r="A154" s="2408"/>
      <c r="B154" s="2408"/>
      <c r="C154" s="1366" t="str">
        <f>F!C245</f>
        <v>&gt;10%.</v>
      </c>
      <c r="D154" s="2112">
        <f>F!D245</f>
        <v>0</v>
      </c>
      <c r="E154" s="458">
        <v>0</v>
      </c>
      <c r="F154" s="303">
        <f>D154*E154</f>
        <v>0</v>
      </c>
      <c r="G154" s="439"/>
      <c r="H154" s="2664"/>
      <c r="I154" s="2759"/>
    </row>
    <row r="155" spans="1:9" s="77" customFormat="1" ht="45" customHeight="1" thickBot="1" x14ac:dyDescent="0.25">
      <c r="A155" s="2894" t="str">
        <f>F!A247</f>
        <v>F52</v>
      </c>
      <c r="B155" s="2894" t="str">
        <f>F!B247</f>
        <v>Vegetated Buffer as % of Perimeter</v>
      </c>
      <c r="C155" s="676" t="str">
        <f>F!C247</f>
        <v>Within a zone extending 30 m laterally from the AA's edge with upland and/or other wetlands, the percentage that contains perennial vegetation cover (except lawns, row crops, heavily grazed land, conifer plantations) is:</v>
      </c>
      <c r="D155" s="946"/>
      <c r="E155" s="304"/>
      <c r="F155" s="176"/>
      <c r="G155" s="725">
        <f>MAX(F156:F160)/MAX(E156:E160)</f>
        <v>0</v>
      </c>
      <c r="H155" s="2323" t="s">
        <v>614</v>
      </c>
      <c r="I155" s="2574" t="s">
        <v>228</v>
      </c>
    </row>
    <row r="156" spans="1:9" s="77" customFormat="1" ht="15" customHeight="1" x14ac:dyDescent="0.2">
      <c r="A156" s="2869"/>
      <c r="B156" s="2869"/>
      <c r="C156" s="1004" t="str">
        <f>F!C248</f>
        <v>&lt;5%.</v>
      </c>
      <c r="D156" s="282">
        <f>F!D248</f>
        <v>1</v>
      </c>
      <c r="E156" s="316">
        <v>0</v>
      </c>
      <c r="F156" s="87">
        <f>D156*E156</f>
        <v>0</v>
      </c>
      <c r="G156" s="707"/>
      <c r="H156" s="2324"/>
      <c r="I156" s="2575"/>
    </row>
    <row r="157" spans="1:9" s="77" customFormat="1" ht="15" customHeight="1" x14ac:dyDescent="0.2">
      <c r="A157" s="2869"/>
      <c r="B157" s="2869"/>
      <c r="C157" s="1006" t="str">
        <f>F!C249</f>
        <v>5 to 30%.</v>
      </c>
      <c r="D157" s="282">
        <f>F!D249</f>
        <v>0</v>
      </c>
      <c r="E157" s="316">
        <v>2</v>
      </c>
      <c r="F157" s="87">
        <f>D157*E157</f>
        <v>0</v>
      </c>
      <c r="G157" s="708"/>
      <c r="H157" s="2324"/>
      <c r="I157" s="2575"/>
    </row>
    <row r="158" spans="1:9" s="77" customFormat="1" ht="15" customHeight="1" x14ac:dyDescent="0.2">
      <c r="A158" s="2869"/>
      <c r="B158" s="2869"/>
      <c r="C158" s="1007" t="str">
        <f>F!C250</f>
        <v>30 to 60%.</v>
      </c>
      <c r="D158" s="281">
        <f>F!D250</f>
        <v>0</v>
      </c>
      <c r="E158" s="316">
        <v>3</v>
      </c>
      <c r="F158" s="87">
        <f>D158*E158</f>
        <v>0</v>
      </c>
      <c r="G158" s="708"/>
      <c r="H158" s="2324"/>
      <c r="I158" s="2575"/>
    </row>
    <row r="159" spans="1:9" s="77" customFormat="1" ht="15" customHeight="1" x14ac:dyDescent="0.2">
      <c r="A159" s="2869"/>
      <c r="B159" s="2869"/>
      <c r="C159" s="1010" t="str">
        <f>F!C251</f>
        <v>60 to 90%.</v>
      </c>
      <c r="D159" s="281">
        <f>F!D251</f>
        <v>0</v>
      </c>
      <c r="E159" s="316">
        <v>4</v>
      </c>
      <c r="F159" s="87">
        <f>D159*E159</f>
        <v>0</v>
      </c>
      <c r="G159" s="708"/>
      <c r="H159" s="2324"/>
      <c r="I159" s="2575"/>
    </row>
    <row r="160" spans="1:9" s="77" customFormat="1" ht="15" customHeight="1" thickBot="1" x14ac:dyDescent="0.25">
      <c r="A160" s="2870"/>
      <c r="B160" s="2870"/>
      <c r="C160" s="1005" t="str">
        <f>F!C252</f>
        <v>&gt;90%, or all the area within 30 m of the AA edge is other wetlands. SKIP to F55.</v>
      </c>
      <c r="D160" s="705">
        <f>F!D252</f>
        <v>0</v>
      </c>
      <c r="E160" s="317">
        <v>6</v>
      </c>
      <c r="F160" s="174">
        <f>D160*E160</f>
        <v>0</v>
      </c>
      <c r="G160" s="709"/>
      <c r="H160" s="2325"/>
      <c r="I160" s="2576"/>
    </row>
    <row r="161" spans="1:9" s="77" customFormat="1" ht="30" customHeight="1" thickBot="1" x14ac:dyDescent="0.25">
      <c r="A161" s="2868" t="str">
        <f>F!A253</f>
        <v>F53</v>
      </c>
      <c r="B161" s="2868" t="str">
        <f>F!B253</f>
        <v>Type of Cover in Buffer</v>
      </c>
      <c r="C161" s="163" t="str">
        <f>F!C253</f>
        <v>Within 30 m upslope of where the wetland transitions to upland, the upland land cover that is NOT perennial vegetation is mostly (mark ONE):</v>
      </c>
      <c r="D161" s="1011"/>
      <c r="E161" s="299"/>
      <c r="F161" s="93"/>
      <c r="G161" s="711">
        <f>IF((BuffAllNat=1),"", MAX(F162:F163)/MAX(E162:E163))</f>
        <v>0</v>
      </c>
      <c r="H161" s="2669" t="s">
        <v>2607</v>
      </c>
      <c r="I161" s="2574" t="s">
        <v>229</v>
      </c>
    </row>
    <row r="162" spans="1:9" s="77" customFormat="1" ht="15" customHeight="1" x14ac:dyDescent="0.2">
      <c r="A162" s="2868"/>
      <c r="B162" s="2868"/>
      <c r="C162" s="1007" t="str">
        <f>F!C254</f>
        <v>Impervious surface, e.g., paved road, parking lot, building, exposed rock.</v>
      </c>
      <c r="D162" s="1368">
        <f>F!D254</f>
        <v>0</v>
      </c>
      <c r="E162" s="316">
        <v>0</v>
      </c>
      <c r="F162" s="87">
        <f>D162*E162</f>
        <v>0</v>
      </c>
      <c r="G162" s="707"/>
      <c r="H162" s="2663"/>
      <c r="I162" s="2575"/>
    </row>
    <row r="163" spans="1:9" s="77" customFormat="1" ht="27" customHeight="1" thickBot="1" x14ac:dyDescent="0.25">
      <c r="A163" s="2868"/>
      <c r="B163" s="2868"/>
      <c r="C163" s="1005" t="str">
        <f>F!C255</f>
        <v>Bare or nearly bare pervious surface or managed vegetation, e.g., lawn, row crops, unpaved road, dike, landslide.</v>
      </c>
      <c r="D163" s="283">
        <f>F!D255</f>
        <v>0</v>
      </c>
      <c r="E163" s="458">
        <v>1</v>
      </c>
      <c r="F163" s="712">
        <f>D163*E163</f>
        <v>0</v>
      </c>
      <c r="G163" s="713"/>
      <c r="H163" s="2694"/>
      <c r="I163" s="2576"/>
    </row>
    <row r="164" spans="1:9" ht="66" customHeight="1" thickBot="1" x14ac:dyDescent="0.25">
      <c r="A164" s="2887" t="str">
        <f>F!A282</f>
        <v>F60</v>
      </c>
      <c r="B164" s="2887" t="str">
        <f>F!B282</f>
        <v xml:space="preserve">Unvisited Core Area </v>
      </c>
      <c r="C164" s="676"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164" s="946"/>
      <c r="E164" s="427"/>
      <c r="F164" s="714"/>
      <c r="G164" s="706">
        <f>MAX(F165:F170)/MAX(E165:E170)</f>
        <v>1</v>
      </c>
      <c r="H164" s="2323" t="s">
        <v>1470</v>
      </c>
      <c r="I164" s="2757" t="s">
        <v>226</v>
      </c>
    </row>
    <row r="165" spans="1:9" ht="15" customHeight="1" x14ac:dyDescent="0.2">
      <c r="A165" s="2868"/>
      <c r="B165" s="2868"/>
      <c r="C165" s="1009" t="str">
        <f>F!C283</f>
        <v>&lt;5% and no inhabited building is within 100 m of the AA.</v>
      </c>
      <c r="D165" s="284">
        <f>F!D283</f>
        <v>0</v>
      </c>
      <c r="E165" s="932">
        <v>1</v>
      </c>
      <c r="F165" s="87">
        <f t="shared" ref="F165:F170" si="7">D165*E165</f>
        <v>0</v>
      </c>
      <c r="G165" s="707"/>
      <c r="H165" s="2324"/>
      <c r="I165" s="2758"/>
    </row>
    <row r="166" spans="1:9" ht="15" customHeight="1" x14ac:dyDescent="0.2">
      <c r="A166" s="2868"/>
      <c r="B166" s="2868"/>
      <c r="C166" s="1006" t="str">
        <f>F!C284</f>
        <v>&lt;5% and inhabited building is within 100 m of the AA.</v>
      </c>
      <c r="D166" s="284">
        <f>F!D284</f>
        <v>0</v>
      </c>
      <c r="E166" s="932">
        <v>0</v>
      </c>
      <c r="F166" s="87">
        <f t="shared" si="7"/>
        <v>0</v>
      </c>
      <c r="G166" s="708"/>
      <c r="H166" s="2324"/>
      <c r="I166" s="2758"/>
    </row>
    <row r="167" spans="1:9" ht="15" customHeight="1" x14ac:dyDescent="0.2">
      <c r="A167" s="2868"/>
      <c r="B167" s="2868"/>
      <c r="C167" s="1006" t="str">
        <f>F!C285</f>
        <v>5-50% and no inhabited building is within 100 m of the AA.</v>
      </c>
      <c r="D167" s="284">
        <f>F!D285</f>
        <v>0</v>
      </c>
      <c r="E167" s="932">
        <v>3</v>
      </c>
      <c r="F167" s="87">
        <f t="shared" si="7"/>
        <v>0</v>
      </c>
      <c r="G167" s="708"/>
      <c r="H167" s="2324"/>
      <c r="I167" s="2758"/>
    </row>
    <row r="168" spans="1:9" ht="15" customHeight="1" x14ac:dyDescent="0.2">
      <c r="A168" s="2868"/>
      <c r="B168" s="2868"/>
      <c r="C168" s="1007" t="str">
        <f>F!C286</f>
        <v>5-50% and inhabited building is within 100 m of the AA.</v>
      </c>
      <c r="D168" s="284">
        <f>F!D286</f>
        <v>0</v>
      </c>
      <c r="E168" s="932">
        <v>2</v>
      </c>
      <c r="F168" s="87">
        <f t="shared" si="7"/>
        <v>0</v>
      </c>
      <c r="G168" s="713"/>
      <c r="H168" s="2324"/>
      <c r="I168" s="2758"/>
    </row>
    <row r="169" spans="1:9" ht="15" customHeight="1" x14ac:dyDescent="0.2">
      <c r="A169" s="2868"/>
      <c r="B169" s="2868"/>
      <c r="C169" s="1010" t="str">
        <f>F!C287</f>
        <v>50-95%, with or without inhabited building nearby.</v>
      </c>
      <c r="D169" s="284">
        <f>F!D287</f>
        <v>0</v>
      </c>
      <c r="E169" s="932">
        <v>4</v>
      </c>
      <c r="F169" s="87">
        <f t="shared" si="7"/>
        <v>0</v>
      </c>
      <c r="G169" s="713"/>
      <c r="H169" s="2324"/>
      <c r="I169" s="2758"/>
    </row>
    <row r="170" spans="1:9" ht="15" customHeight="1" thickBot="1" x14ac:dyDescent="0.25">
      <c r="A170" s="2888"/>
      <c r="B170" s="2888"/>
      <c r="C170" s="1005" t="str">
        <f>F!C288</f>
        <v>&gt;95% of the AA with or without inhabited building nearby.</v>
      </c>
      <c r="D170" s="283">
        <f>F!D288</f>
        <v>1</v>
      </c>
      <c r="E170" s="987">
        <v>5</v>
      </c>
      <c r="F170" s="174">
        <f t="shared" si="7"/>
        <v>5</v>
      </c>
      <c r="G170" s="709"/>
      <c r="H170" s="2325"/>
      <c r="I170" s="2759"/>
    </row>
    <row r="171" spans="1:9" ht="30" customHeight="1" thickBot="1" x14ac:dyDescent="0.25">
      <c r="A171" s="2868" t="str">
        <f>F!A289</f>
        <v>F61</v>
      </c>
      <c r="B171" s="2868" t="str">
        <f>F!B289</f>
        <v>Frequently Visited Area</v>
      </c>
      <c r="C171" s="676" t="str">
        <f>F!C289</f>
        <v>The part of the AA visited by humans almost daily for several weeks during an average growing season probably comprises:  [See note above.]</v>
      </c>
      <c r="D171" s="946"/>
      <c r="E171" s="330"/>
      <c r="F171" s="715"/>
      <c r="G171" s="716">
        <f>MAX(F172:F175)/MAX(E172:E175)</f>
        <v>1</v>
      </c>
      <c r="H171" s="2324" t="s">
        <v>87</v>
      </c>
      <c r="I171" s="2757" t="s">
        <v>227</v>
      </c>
    </row>
    <row r="172" spans="1:9" ht="15" customHeight="1" x14ac:dyDescent="0.2">
      <c r="A172" s="2868"/>
      <c r="B172" s="2868"/>
      <c r="C172" s="1004" t="str">
        <f>F!C290</f>
        <v>&lt;5%. If F60 was answered "&gt;95%" (mostly never visited), SKIP to F64.</v>
      </c>
      <c r="D172" s="284">
        <f>F!D290</f>
        <v>1</v>
      </c>
      <c r="E172" s="932">
        <v>2</v>
      </c>
      <c r="F172" s="87">
        <f>D172*E172</f>
        <v>2</v>
      </c>
      <c r="G172" s="707"/>
      <c r="H172" s="2324"/>
      <c r="I172" s="2758"/>
    </row>
    <row r="173" spans="1:9" ht="15" customHeight="1" x14ac:dyDescent="0.2">
      <c r="A173" s="2868"/>
      <c r="B173" s="2868"/>
      <c r="C173" s="1006" t="str">
        <f>F!C291</f>
        <v>5-50%.</v>
      </c>
      <c r="D173" s="284">
        <f>F!D291</f>
        <v>0</v>
      </c>
      <c r="E173" s="932">
        <v>1</v>
      </c>
      <c r="F173" s="87">
        <f>D173*E173</f>
        <v>0</v>
      </c>
      <c r="G173" s="708"/>
      <c r="H173" s="2324"/>
      <c r="I173" s="2758"/>
    </row>
    <row r="174" spans="1:9" ht="15" customHeight="1" x14ac:dyDescent="0.2">
      <c r="A174" s="2868"/>
      <c r="B174" s="2868"/>
      <c r="C174" s="1007" t="str">
        <f>F!C292</f>
        <v>50-95%.</v>
      </c>
      <c r="D174" s="282">
        <f>F!D292</f>
        <v>0</v>
      </c>
      <c r="E174" s="932">
        <v>0</v>
      </c>
      <c r="F174" s="87">
        <f>D174*E174</f>
        <v>0</v>
      </c>
      <c r="G174" s="708"/>
      <c r="H174" s="2324"/>
      <c r="I174" s="2758"/>
    </row>
    <row r="175" spans="1:9" ht="15" customHeight="1" thickBot="1" x14ac:dyDescent="0.25">
      <c r="A175" s="2868"/>
      <c r="B175" s="2868"/>
      <c r="C175" s="1005" t="str">
        <f>F!C293</f>
        <v>&gt;95% of the AA.</v>
      </c>
      <c r="D175" s="705">
        <f>F!D293</f>
        <v>0</v>
      </c>
      <c r="E175" s="1003">
        <v>0</v>
      </c>
      <c r="F175" s="712">
        <f>D175*E175</f>
        <v>0</v>
      </c>
      <c r="G175" s="713"/>
      <c r="H175" s="2324"/>
      <c r="I175" s="2759"/>
    </row>
    <row r="176" spans="1:9" ht="76.5" customHeight="1" thickBot="1" x14ac:dyDescent="0.25">
      <c r="A176" s="676" t="str">
        <f>F!A295</f>
        <v>F63</v>
      </c>
      <c r="B176" s="676" t="str">
        <f>F!B295</f>
        <v>BMP - Wildlife Protection</v>
      </c>
      <c r="C176" s="1008" t="str">
        <f>F!C295</f>
        <v xml:space="preserve">Fences, observation blinds, platforms, paved trails, exclusion periods, and/or well-enforced prohibitions on motorised boats, off-leash pets, and off road vehicles appear to effectively exclude or divert visitors and their pets from the AA at critical times in order to minimize disturbance of wildlife (except during hunting seasons). Enter "1" if true. </v>
      </c>
      <c r="D176" s="1000">
        <f>F!D295</f>
        <v>0</v>
      </c>
      <c r="E176" s="333"/>
      <c r="F176" s="728"/>
      <c r="G176" s="706" t="str">
        <f>IF((D170+D172&gt;1),"",D176)</f>
        <v/>
      </c>
      <c r="H176" s="73" t="s">
        <v>610</v>
      </c>
      <c r="I176" s="1287" t="s">
        <v>1044</v>
      </c>
    </row>
    <row r="177" spans="1:9" s="1359" customFormat="1" ht="36" customHeight="1" thickBot="1" x14ac:dyDescent="0.35">
      <c r="A177" s="1183" t="s">
        <v>88</v>
      </c>
      <c r="B177" s="1184" t="s">
        <v>1899</v>
      </c>
      <c r="C177" s="1186" t="s">
        <v>1165</v>
      </c>
      <c r="D177" s="1358" t="s">
        <v>45</v>
      </c>
      <c r="E177" s="1318" t="s">
        <v>1189</v>
      </c>
      <c r="F177" s="1284" t="s">
        <v>1190</v>
      </c>
      <c r="G177" s="1319" t="s">
        <v>2555</v>
      </c>
      <c r="H177" s="1184" t="s">
        <v>1118</v>
      </c>
      <c r="I177" s="1288" t="s">
        <v>2424</v>
      </c>
    </row>
    <row r="178" spans="1:9" s="57" customFormat="1" ht="114" customHeight="1" thickBot="1" x14ac:dyDescent="0.25">
      <c r="A178" s="1525" t="str">
        <f>OF!A39</f>
        <v>OF6</v>
      </c>
      <c r="B178" s="1522" t="str">
        <f>OF!B39</f>
        <v>Herbaceous Uniqueness</v>
      </c>
      <c r="C178" s="1532" t="str">
        <f>OF!C39</f>
        <v xml:space="preserve">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 NOTE: Exclude lawns, row crops, heavily grazed lands, forest, shrublands. Include moss as well as grasslike plants in this use of "herbaceous vegetation"]
</v>
      </c>
      <c r="D178" s="1530">
        <f>OF!D39</f>
        <v>3</v>
      </c>
      <c r="E178" s="984"/>
      <c r="F178" s="940"/>
      <c r="G178" s="1529">
        <f>D178/3</f>
        <v>1</v>
      </c>
      <c r="H178" s="1918" t="s">
        <v>2230</v>
      </c>
      <c r="I178" s="1868" t="s">
        <v>1677</v>
      </c>
    </row>
    <row r="179" spans="1:9" s="57" customFormat="1" ht="30" customHeight="1" thickBot="1" x14ac:dyDescent="0.25">
      <c r="A179" s="2898" t="str">
        <f>OF!A64</f>
        <v>OF13</v>
      </c>
      <c r="B179" s="2823" t="str">
        <f>OF!B64</f>
        <v>Distance to Ponded Water</v>
      </c>
      <c r="C179" s="907" t="str">
        <f>OF!C64</f>
        <v>The distance from the AA center to the closest (but separate) ponded water body visible in GoogleEarth imagery is:</v>
      </c>
      <c r="D179" s="331"/>
      <c r="E179" s="427"/>
      <c r="F179" s="304"/>
      <c r="G179" s="447">
        <f>MAX(F180:F186)/MAX(E180:E186)</f>
        <v>0.5</v>
      </c>
      <c r="H179" s="2323" t="s">
        <v>2368</v>
      </c>
      <c r="I179" s="2757" t="s">
        <v>2367</v>
      </c>
    </row>
    <row r="180" spans="1:9" s="57" customFormat="1" ht="27" x14ac:dyDescent="0.2">
      <c r="A180" s="2899"/>
      <c r="B180" s="2824"/>
      <c r="C180" s="1538" t="str">
        <f>OF!C65</f>
        <v xml:space="preserve">&lt;50 m, and not separated by any width of paved roads, stretches of open water, row crops, lawn, bare ground, or impervious surface. </v>
      </c>
      <c r="D180" s="908">
        <f>OF!D65</f>
        <v>0</v>
      </c>
      <c r="E180" s="324">
        <v>0</v>
      </c>
      <c r="F180" s="300">
        <f t="shared" ref="F180:F186" si="8">D180*E180</f>
        <v>0</v>
      </c>
      <c r="G180" s="302"/>
      <c r="H180" s="2324"/>
      <c r="I180" s="2758"/>
    </row>
    <row r="181" spans="1:9" s="57" customFormat="1" ht="15" customHeight="1" x14ac:dyDescent="0.2">
      <c r="A181" s="2899"/>
      <c r="B181" s="2824"/>
      <c r="C181" s="1533" t="str">
        <f>OF!C66</f>
        <v>&lt;50 m, but completely separated by those features.</v>
      </c>
      <c r="D181" s="908">
        <f>OF!D66</f>
        <v>0</v>
      </c>
      <c r="E181" s="324">
        <v>0</v>
      </c>
      <c r="F181" s="300">
        <f t="shared" si="8"/>
        <v>0</v>
      </c>
      <c r="G181" s="325"/>
      <c r="H181" s="2324"/>
      <c r="I181" s="2758"/>
    </row>
    <row r="182" spans="1:9" s="57" customFormat="1" ht="15" customHeight="1" x14ac:dyDescent="0.2">
      <c r="A182" s="2899"/>
      <c r="B182" s="2824"/>
      <c r="C182" s="1533" t="str">
        <f>OF!C67</f>
        <v>50-500 m, and not separated.</v>
      </c>
      <c r="D182" s="908">
        <f>OF!D67</f>
        <v>0</v>
      </c>
      <c r="E182" s="324">
        <v>1</v>
      </c>
      <c r="F182" s="300">
        <f t="shared" si="8"/>
        <v>0</v>
      </c>
      <c r="G182" s="325"/>
      <c r="H182" s="2324"/>
      <c r="I182" s="2758"/>
    </row>
    <row r="183" spans="1:9" s="57" customFormat="1" ht="15" customHeight="1" x14ac:dyDescent="0.2">
      <c r="A183" s="2899"/>
      <c r="B183" s="2824"/>
      <c r="C183" s="1533" t="str">
        <f>OF!C68</f>
        <v>50-500 m, but separated by those features.</v>
      </c>
      <c r="D183" s="908">
        <f>OF!D68</f>
        <v>0</v>
      </c>
      <c r="E183" s="324">
        <v>1</v>
      </c>
      <c r="F183" s="300">
        <f t="shared" si="8"/>
        <v>0</v>
      </c>
      <c r="G183" s="325"/>
      <c r="H183" s="2324"/>
      <c r="I183" s="2758"/>
    </row>
    <row r="184" spans="1:9" s="57" customFormat="1" ht="15" customHeight="1" x14ac:dyDescent="0.2">
      <c r="A184" s="2899"/>
      <c r="B184" s="2824"/>
      <c r="C184" s="1533" t="str">
        <f>OF!C69</f>
        <v>0.5 - 1 km, and not separated.</v>
      </c>
      <c r="D184" s="908">
        <f>OF!D69</f>
        <v>0</v>
      </c>
      <c r="E184" s="324">
        <v>2</v>
      </c>
      <c r="F184" s="300">
        <f t="shared" si="8"/>
        <v>0</v>
      </c>
      <c r="G184" s="325"/>
      <c r="H184" s="2324"/>
      <c r="I184" s="2758"/>
    </row>
    <row r="185" spans="1:9" s="57" customFormat="1" ht="15" customHeight="1" x14ac:dyDescent="0.2">
      <c r="A185" s="2899"/>
      <c r="B185" s="2824"/>
      <c r="C185" s="1533" t="str">
        <f>OF!C70</f>
        <v>0.5 - 1 km, but separated by those features.</v>
      </c>
      <c r="D185" s="908">
        <f>OF!D70</f>
        <v>1</v>
      </c>
      <c r="E185" s="324">
        <v>2</v>
      </c>
      <c r="F185" s="300">
        <f t="shared" si="8"/>
        <v>2</v>
      </c>
      <c r="G185" s="325"/>
      <c r="H185" s="2324"/>
      <c r="I185" s="2758"/>
    </row>
    <row r="186" spans="1:9" s="57" customFormat="1" ht="18" customHeight="1" thickBot="1" x14ac:dyDescent="0.25">
      <c r="A186" s="2900"/>
      <c r="B186" s="2825"/>
      <c r="C186" s="1914" t="str">
        <f>OF!C71</f>
        <v>None of the above (the closest patches or corridors that large are &gt;1 km away).</v>
      </c>
      <c r="D186" s="1915">
        <v>0</v>
      </c>
      <c r="E186" s="326">
        <v>4</v>
      </c>
      <c r="F186" s="303">
        <f t="shared" si="8"/>
        <v>0</v>
      </c>
      <c r="G186" s="327"/>
      <c r="H186" s="2325"/>
      <c r="I186" s="2758"/>
    </row>
    <row r="187" spans="1:9" s="57" customFormat="1" ht="30" customHeight="1" thickBot="1" x14ac:dyDescent="0.25">
      <c r="A187" s="1523" t="str">
        <f>OF!A139</f>
        <v>OF29</v>
      </c>
      <c r="B187" s="1524" t="str">
        <f>OF!B139</f>
        <v>Species of Conservation Concern</v>
      </c>
      <c r="C187" s="1916" t="str">
        <f>OF!C142</f>
        <v>Presence of one or more of the waterbird species (WBF, WBN) of conservation concern as listed in the Wildlife_Rare worksheet of the accompanying SuppInfo file.</v>
      </c>
      <c r="D187" s="1917">
        <f>OF!D142</f>
        <v>0</v>
      </c>
      <c r="E187" s="1001"/>
      <c r="F187" s="1002"/>
      <c r="G187" s="729">
        <f>D187</f>
        <v>0</v>
      </c>
      <c r="H187" s="1170" t="s">
        <v>1317</v>
      </c>
      <c r="I187" s="1287" t="s">
        <v>1047</v>
      </c>
    </row>
    <row r="188" spans="1:9" s="57" customFormat="1" ht="53.25" customHeight="1" thickBot="1" x14ac:dyDescent="0.25">
      <c r="A188" s="999" t="str">
        <f>OF!A145</f>
        <v>OF30</v>
      </c>
      <c r="B188" s="164" t="str">
        <f>OF!B145</f>
        <v>Important Bird Area (IBA)</v>
      </c>
      <c r="C188" s="999" t="str">
        <f>OF!C145</f>
        <v xml:space="preserve">In Google Earth, open the KMZ file that accompanies this calculator, called IBAs_Canada.  The AA is all or part of an officially designated IBA. Enter 1= yes, 0= no. </v>
      </c>
      <c r="D188" s="1000">
        <f>OF!D145</f>
        <v>0</v>
      </c>
      <c r="E188" s="1001"/>
      <c r="F188" s="1002"/>
      <c r="G188" s="729">
        <f>D188</f>
        <v>0</v>
      </c>
      <c r="H188" s="1170" t="s">
        <v>2240</v>
      </c>
      <c r="I188" s="1287" t="s">
        <v>1046</v>
      </c>
    </row>
    <row r="189" spans="1:9" s="57" customFormat="1" ht="21" customHeight="1" thickBot="1" x14ac:dyDescent="0.25">
      <c r="A189" s="2785"/>
      <c r="B189" s="2785"/>
      <c r="C189" s="2785"/>
      <c r="D189" s="2785"/>
      <c r="E189" s="2785"/>
      <c r="F189" s="2785"/>
      <c r="G189" s="2785"/>
      <c r="H189" s="2785"/>
      <c r="I189" s="14"/>
    </row>
    <row r="190" spans="1:9" s="57" customFormat="1" ht="27" customHeight="1" x14ac:dyDescent="0.2">
      <c r="A190" s="2785"/>
      <c r="B190" s="2785"/>
      <c r="C190" s="2785"/>
      <c r="D190" s="2852" t="s">
        <v>157</v>
      </c>
      <c r="E190" s="2853"/>
      <c r="F190" s="2853"/>
      <c r="G190" s="1269">
        <f>AVERAGE(ISOdry13, SatPct13,Fluctu13,MAX(SeasWpct13, PermWpct13), Depth13, DepthEven13)</f>
        <v>0.59166666666666667</v>
      </c>
      <c r="H190" s="1422" t="s">
        <v>1145</v>
      </c>
      <c r="I190" s="1423" t="s">
        <v>2151</v>
      </c>
    </row>
    <row r="191" spans="1:9" s="57" customFormat="1" ht="27" customHeight="1" x14ac:dyDescent="0.2">
      <c r="A191" s="2785"/>
      <c r="B191" s="2785"/>
      <c r="C191" s="2785"/>
      <c r="D191" s="2854" t="s">
        <v>121</v>
      </c>
      <c r="E191" s="2855"/>
      <c r="F191" s="2855"/>
      <c r="G191" s="1270" t="str">
        <f>IF((NoPonded=1),"",AVERAGE(Interspers13, AVERAGE(AqPlantCov13,EmPct13,EmRobust13,SizeHerbac13,SnagB13,VwidthAbs13)))</f>
        <v/>
      </c>
      <c r="H191" s="1543" t="s">
        <v>2369</v>
      </c>
      <c r="I191" s="1424" t="s">
        <v>2152</v>
      </c>
    </row>
    <row r="192" spans="1:9" s="57" customFormat="1" ht="21" customHeight="1" x14ac:dyDescent="0.2">
      <c r="A192" s="2785"/>
      <c r="B192" s="2785"/>
      <c r="C192" s="2785"/>
      <c r="D192" s="2854" t="s">
        <v>149</v>
      </c>
      <c r="E192" s="2855"/>
      <c r="F192" s="2855"/>
      <c r="G192" s="1270">
        <f>AVERAGE(Wettype13,Fringe13, Gradient13, Acidic13,ShoreSlope13,fISH13A, Island13)</f>
        <v>0.85</v>
      </c>
      <c r="H192" s="1543" t="s">
        <v>2188</v>
      </c>
      <c r="I192" s="1424" t="s">
        <v>2153</v>
      </c>
    </row>
    <row r="193" spans="1:9" s="57" customFormat="1" ht="27" customHeight="1" x14ac:dyDescent="0.2">
      <c r="A193" s="2785"/>
      <c r="B193" s="2785"/>
      <c r="C193" s="2785"/>
      <c r="D193" s="2854" t="s">
        <v>192</v>
      </c>
      <c r="E193" s="2855"/>
      <c r="F193" s="2855"/>
      <c r="G193" s="1270">
        <f>IF((Fen_ + Marsh=0), "", AVERAGE(Bduck13,Lacus13a,LakeProx13,Fringe13,Beaver13,PondProx13))</f>
        <v>0.6333333333333333</v>
      </c>
      <c r="H193" s="1564" t="s">
        <v>2465</v>
      </c>
      <c r="I193" s="1424" t="s">
        <v>2154</v>
      </c>
    </row>
    <row r="194" spans="1:9" s="57" customFormat="1" ht="21" customHeight="1" x14ac:dyDescent="0.2">
      <c r="A194" s="2785"/>
      <c r="B194" s="2785"/>
      <c r="C194" s="2785"/>
      <c r="D194" s="2854" t="s">
        <v>1142</v>
      </c>
      <c r="E194" s="2855"/>
      <c r="F194" s="2855"/>
      <c r="G194" s="1290">
        <f>AVERAGE(Core1_13,Core2_13, _BMP13, toxics13)</f>
        <v>1</v>
      </c>
      <c r="H194" s="1543" t="s">
        <v>2187</v>
      </c>
      <c r="I194" s="1424" t="s">
        <v>2155</v>
      </c>
    </row>
    <row r="195" spans="1:9" s="57" customFormat="1" ht="21" customHeight="1" thickBot="1" x14ac:dyDescent="0.25">
      <c r="A195" s="2785"/>
      <c r="B195" s="2785"/>
      <c r="C195" s="2785"/>
      <c r="D195" s="2856" t="s">
        <v>118</v>
      </c>
      <c r="E195" s="2857"/>
      <c r="F195" s="2857"/>
      <c r="G195" s="1271">
        <f>AVERAGE(BuffLUtype13, BuffNatPct13,RdDis13)</f>
        <v>0.33333333333333331</v>
      </c>
      <c r="H195" s="1425" t="s">
        <v>2058</v>
      </c>
      <c r="I195" s="1426" t="s">
        <v>2156</v>
      </c>
    </row>
    <row r="196" spans="1:9" ht="21" customHeight="1" thickBot="1" x14ac:dyDescent="0.25">
      <c r="A196" s="2785"/>
      <c r="B196" s="2785"/>
      <c r="C196" s="2785"/>
      <c r="D196" s="2858"/>
      <c r="E196" s="2858"/>
      <c r="F196" s="2859"/>
      <c r="G196" s="2859"/>
      <c r="H196" s="2858"/>
    </row>
    <row r="197" spans="1:9" s="57" customFormat="1" ht="45" customHeight="1" thickBot="1" x14ac:dyDescent="0.25">
      <c r="A197" s="2785"/>
      <c r="B197" s="2815"/>
      <c r="C197" s="2557" t="s">
        <v>57</v>
      </c>
      <c r="D197" s="2558"/>
      <c r="E197" s="2559"/>
      <c r="F197" s="1268" t="s">
        <v>52</v>
      </c>
      <c r="G197" s="1278">
        <f>IF((AllSat1&gt;0),0, IF((TooSteep13=1),0, IF((TooSmall=1),0, 10*(3*AVERAGE(AqPlantCov13, SizeHerbac13, Wettype13,Wscape) +2*AVERAGE(Hydro13,Struc13,Produc13) + AVERAGE(Stressors13,Lscape13))/6)))</f>
        <v>6.2361111111111107</v>
      </c>
      <c r="H197" s="2525" t="s">
        <v>2059</v>
      </c>
      <c r="I197" s="2526"/>
    </row>
    <row r="198" spans="1:9" s="57" customFormat="1" ht="30" customHeight="1" thickBot="1" x14ac:dyDescent="0.25">
      <c r="A198" s="2785"/>
      <c r="B198" s="2815"/>
      <c r="C198" s="2557" t="s">
        <v>1913</v>
      </c>
      <c r="D198" s="2558"/>
      <c r="E198" s="2559"/>
      <c r="F198" s="1268" t="s">
        <v>2219</v>
      </c>
      <c r="G198" s="1279">
        <f>10*(IF((Rare13=1),1, IF(( _IBA13=1),1, MAX(DistPond13,HerbUniq13))))</f>
        <v>10</v>
      </c>
      <c r="H198" s="2525" t="s">
        <v>2456</v>
      </c>
      <c r="I198" s="2526"/>
    </row>
    <row r="199" spans="1:9" s="57" customFormat="1" ht="21" customHeight="1" thickBot="1" x14ac:dyDescent="0.25">
      <c r="A199" s="55"/>
      <c r="B199" s="55"/>
      <c r="C199" s="55"/>
      <c r="D199" s="55"/>
      <c r="E199" s="55"/>
      <c r="F199" s="55"/>
      <c r="G199" s="55"/>
      <c r="H199" s="12"/>
      <c r="I199" s="14"/>
    </row>
    <row r="200" spans="1:9" s="57" customFormat="1" ht="21" customHeight="1" thickBot="1" x14ac:dyDescent="0.25">
      <c r="A200" s="55"/>
      <c r="B200" s="55"/>
      <c r="C200" s="55"/>
      <c r="D200" s="55"/>
      <c r="E200" s="55"/>
      <c r="F200" s="55"/>
      <c r="G200" s="55"/>
      <c r="H200" s="2755" t="s">
        <v>669</v>
      </c>
      <c r="I200" s="2756"/>
    </row>
    <row r="201" spans="1:9" s="57" customFormat="1" ht="42" customHeight="1" x14ac:dyDescent="0.2">
      <c r="A201" s="55"/>
      <c r="B201" s="55"/>
      <c r="C201" s="55"/>
      <c r="D201" s="55"/>
      <c r="E201" s="55"/>
      <c r="F201" s="55"/>
      <c r="G201" s="55"/>
      <c r="H201" s="2841" t="s">
        <v>1103</v>
      </c>
      <c r="I201" s="2842"/>
    </row>
    <row r="202" spans="1:9" s="57" customFormat="1" ht="27" customHeight="1" x14ac:dyDescent="0.2">
      <c r="A202" s="55"/>
      <c r="B202" s="55"/>
      <c r="C202" s="55"/>
      <c r="D202" s="55"/>
      <c r="E202" s="55"/>
      <c r="F202" s="55"/>
      <c r="G202" s="55"/>
      <c r="H202" s="2531" t="s">
        <v>858</v>
      </c>
      <c r="I202" s="2532"/>
    </row>
    <row r="203" spans="1:9" s="57" customFormat="1" ht="27" customHeight="1" x14ac:dyDescent="0.2">
      <c r="A203" s="55"/>
      <c r="B203" s="55"/>
      <c r="C203" s="55"/>
      <c r="D203" s="55"/>
      <c r="E203" s="55"/>
      <c r="F203" s="55"/>
      <c r="G203" s="55"/>
      <c r="H203" s="2531" t="s">
        <v>1032</v>
      </c>
      <c r="I203" s="2532"/>
    </row>
    <row r="204" spans="1:9" s="57" customFormat="1" ht="42" customHeight="1" x14ac:dyDescent="0.2">
      <c r="A204" s="55"/>
      <c r="B204" s="55"/>
      <c r="C204" s="55"/>
      <c r="D204" s="55"/>
      <c r="E204" s="55"/>
      <c r="F204" s="55"/>
      <c r="G204" s="55"/>
      <c r="H204" s="2531" t="s">
        <v>859</v>
      </c>
      <c r="I204" s="2532"/>
    </row>
    <row r="205" spans="1:9" s="57" customFormat="1" ht="30.75" customHeight="1" x14ac:dyDescent="0.2">
      <c r="A205" s="55"/>
      <c r="B205" s="55"/>
      <c r="C205" s="55"/>
      <c r="D205" s="55"/>
      <c r="E205" s="55"/>
      <c r="F205" s="55"/>
      <c r="G205" s="55"/>
      <c r="H205" s="2645" t="s">
        <v>2885</v>
      </c>
      <c r="I205" s="2817"/>
    </row>
    <row r="206" spans="1:9" ht="27" customHeight="1" x14ac:dyDescent="0.2">
      <c r="A206" s="55"/>
      <c r="B206" s="55"/>
      <c r="C206" s="55"/>
      <c r="D206" s="55"/>
      <c r="E206" s="55"/>
      <c r="F206" s="55"/>
      <c r="G206" s="55"/>
      <c r="H206" s="2535" t="s">
        <v>1377</v>
      </c>
      <c r="I206" s="2536"/>
    </row>
    <row r="207" spans="1:9" ht="42" customHeight="1" x14ac:dyDescent="0.2">
      <c r="A207" s="55"/>
      <c r="B207" s="55"/>
      <c r="C207" s="55"/>
      <c r="D207" s="55"/>
      <c r="E207" s="55"/>
      <c r="F207" s="55"/>
      <c r="G207" s="55"/>
      <c r="H207" s="2535" t="s">
        <v>1378</v>
      </c>
      <c r="I207" s="2536"/>
    </row>
    <row r="208" spans="1:9" ht="27" customHeight="1" x14ac:dyDescent="0.2">
      <c r="A208" s="55"/>
      <c r="B208" s="55"/>
      <c r="C208" s="55"/>
      <c r="D208" s="55"/>
      <c r="E208" s="55"/>
      <c r="F208" s="55"/>
      <c r="G208" s="55"/>
      <c r="H208" s="2531" t="s">
        <v>1034</v>
      </c>
      <c r="I208" s="2532"/>
    </row>
    <row r="209" spans="1:9" ht="27" customHeight="1" x14ac:dyDescent="0.2">
      <c r="A209" s="55"/>
      <c r="B209" s="55"/>
      <c r="C209" s="55"/>
      <c r="D209" s="55"/>
      <c r="E209" s="55"/>
      <c r="F209" s="55"/>
      <c r="G209" s="55"/>
      <c r="H209" s="2531" t="s">
        <v>861</v>
      </c>
      <c r="I209" s="2532"/>
    </row>
    <row r="210" spans="1:9" ht="27" customHeight="1" x14ac:dyDescent="0.2">
      <c r="A210" s="55"/>
      <c r="B210" s="55"/>
      <c r="C210" s="55"/>
      <c r="D210" s="55"/>
      <c r="E210" s="55"/>
      <c r="F210" s="55"/>
      <c r="G210" s="55"/>
      <c r="H210" s="2779" t="s">
        <v>1107</v>
      </c>
      <c r="I210" s="2849"/>
    </row>
    <row r="211" spans="1:9" s="967" customFormat="1" ht="42" customHeight="1" x14ac:dyDescent="0.2">
      <c r="A211" s="8"/>
      <c r="B211" s="3"/>
      <c r="C211" s="12"/>
      <c r="D211" s="659"/>
      <c r="E211" s="659"/>
      <c r="F211" s="1305"/>
      <c r="G211" s="1363"/>
      <c r="H211" s="2537" t="s">
        <v>1750</v>
      </c>
      <c r="I211" s="2538"/>
    </row>
    <row r="212" spans="1:9" s="967" customFormat="1" ht="27" customHeight="1" x14ac:dyDescent="0.2">
      <c r="A212" s="8"/>
      <c r="B212" s="3"/>
      <c r="C212" s="12"/>
      <c r="D212" s="659"/>
      <c r="E212" s="659"/>
      <c r="F212" s="1305"/>
      <c r="G212" s="1363"/>
      <c r="H212" s="2701" t="s">
        <v>2040</v>
      </c>
      <c r="I212" s="2702"/>
    </row>
    <row r="213" spans="1:9" s="1354" customFormat="1" ht="27" customHeight="1" x14ac:dyDescent="0.2">
      <c r="A213" s="9"/>
      <c r="B213" s="9"/>
      <c r="C213" s="6"/>
      <c r="D213" s="298"/>
      <c r="E213" s="298"/>
      <c r="F213" s="298"/>
      <c r="G213" s="836"/>
      <c r="H213" s="2701" t="s">
        <v>2039</v>
      </c>
      <c r="I213" s="2702"/>
    </row>
    <row r="214" spans="1:9" ht="27" customHeight="1" x14ac:dyDescent="0.2">
      <c r="A214" s="55"/>
      <c r="B214" s="55"/>
      <c r="C214" s="55"/>
      <c r="D214" s="55"/>
      <c r="E214" s="55"/>
      <c r="F214" s="55"/>
      <c r="G214" s="55"/>
      <c r="H214" s="2535" t="s">
        <v>1379</v>
      </c>
      <c r="I214" s="2536"/>
    </row>
    <row r="215" spans="1:9" ht="27" customHeight="1" x14ac:dyDescent="0.2">
      <c r="A215" s="55"/>
      <c r="B215" s="55"/>
      <c r="C215" s="55"/>
      <c r="D215" s="55"/>
      <c r="E215" s="55"/>
      <c r="F215" s="55"/>
      <c r="G215" s="55"/>
      <c r="H215" s="2535" t="s">
        <v>1380</v>
      </c>
      <c r="I215" s="2536"/>
    </row>
    <row r="216" spans="1:9" ht="27" customHeight="1" x14ac:dyDescent="0.2">
      <c r="A216" s="55"/>
      <c r="B216" s="55"/>
      <c r="C216" s="55"/>
      <c r="D216" s="55"/>
      <c r="E216" s="55"/>
      <c r="F216" s="55"/>
      <c r="G216" s="55"/>
      <c r="H216" s="2850" t="s">
        <v>1104</v>
      </c>
      <c r="I216" s="2851"/>
    </row>
    <row r="217" spans="1:9" ht="42" customHeight="1" x14ac:dyDescent="0.2">
      <c r="A217" s="55"/>
      <c r="B217" s="55"/>
      <c r="C217" s="55"/>
      <c r="D217" s="55"/>
      <c r="E217" s="55"/>
      <c r="F217" s="55"/>
      <c r="G217" s="55"/>
      <c r="H217" s="2701" t="s">
        <v>1105</v>
      </c>
      <c r="I217" s="2702"/>
    </row>
    <row r="218" spans="1:9" ht="42" customHeight="1" x14ac:dyDescent="0.2">
      <c r="A218" s="55"/>
      <c r="B218" s="55"/>
      <c r="C218" s="55"/>
      <c r="D218" s="55"/>
      <c r="E218" s="55"/>
      <c r="F218" s="55"/>
      <c r="G218" s="55"/>
      <c r="H218" s="2847" t="s">
        <v>1412</v>
      </c>
      <c r="I218" s="2848"/>
    </row>
    <row r="219" spans="1:9" s="967" customFormat="1" ht="27" customHeight="1" thickBot="1" x14ac:dyDescent="0.25">
      <c r="A219" s="8"/>
      <c r="B219" s="3"/>
      <c r="C219" s="12" t="s">
        <v>912</v>
      </c>
      <c r="D219" s="659"/>
      <c r="E219" s="659"/>
      <c r="F219" s="1305"/>
      <c r="G219" s="1363"/>
      <c r="H219" s="2843" t="s">
        <v>2041</v>
      </c>
      <c r="I219" s="2844"/>
    </row>
    <row r="220" spans="1:9" s="967" customFormat="1" x14ac:dyDescent="0.2">
      <c r="A220" s="8"/>
      <c r="B220" s="3"/>
      <c r="C220" s="12"/>
      <c r="D220" s="659"/>
      <c r="E220" s="659"/>
      <c r="F220" s="1305"/>
      <c r="G220" s="1363"/>
      <c r="H220" s="21"/>
      <c r="I220" s="9"/>
    </row>
    <row r="221" spans="1:9" s="967" customFormat="1" x14ac:dyDescent="0.2">
      <c r="A221" s="8"/>
      <c r="B221" s="3"/>
      <c r="C221" s="12"/>
      <c r="D221" s="659"/>
      <c r="E221" s="659"/>
      <c r="F221" s="1305"/>
      <c r="G221" s="1363"/>
      <c r="H221" s="1306"/>
      <c r="I221" s="14"/>
    </row>
    <row r="222" spans="1:9" s="57" customFormat="1" x14ac:dyDescent="0.2">
      <c r="A222" s="55"/>
      <c r="B222" s="43"/>
      <c r="C222" s="56"/>
      <c r="D222" s="733"/>
      <c r="E222" s="733"/>
      <c r="F222" s="730"/>
      <c r="G222" s="734"/>
      <c r="H222" s="20"/>
      <c r="I222" s="14"/>
    </row>
    <row r="223" spans="1:9" s="57" customFormat="1" x14ac:dyDescent="0.2">
      <c r="A223" s="55"/>
      <c r="B223" s="43"/>
      <c r="C223" s="56"/>
      <c r="D223" s="733"/>
      <c r="E223" s="733"/>
      <c r="F223" s="730"/>
      <c r="G223" s="734"/>
      <c r="H223" s="20"/>
      <c r="I223" s="14"/>
    </row>
    <row r="224" spans="1:9" s="57" customFormat="1" x14ac:dyDescent="0.2">
      <c r="A224" s="55"/>
      <c r="B224" s="43"/>
      <c r="C224" s="56"/>
      <c r="D224" s="733"/>
      <c r="E224" s="733"/>
      <c r="F224" s="730"/>
      <c r="G224" s="734"/>
      <c r="H224" s="20"/>
      <c r="I224" s="14"/>
    </row>
    <row r="225" spans="1:9" s="57" customFormat="1" x14ac:dyDescent="0.2">
      <c r="A225" s="55"/>
      <c r="B225" s="43"/>
      <c r="C225" s="56"/>
      <c r="D225" s="733"/>
      <c r="E225" s="733"/>
      <c r="F225" s="730"/>
      <c r="G225" s="734"/>
      <c r="H225" s="20"/>
      <c r="I225" s="14"/>
    </row>
    <row r="226" spans="1:9" s="57" customFormat="1" x14ac:dyDescent="0.2">
      <c r="A226" s="55"/>
      <c r="B226" s="43"/>
      <c r="C226" s="56"/>
      <c r="D226" s="733"/>
      <c r="E226" s="733"/>
      <c r="F226" s="730"/>
      <c r="G226" s="734"/>
      <c r="H226" s="20"/>
      <c r="I226" s="14"/>
    </row>
    <row r="227" spans="1:9" s="57" customFormat="1" x14ac:dyDescent="0.2">
      <c r="A227" s="55"/>
      <c r="B227" s="43"/>
      <c r="C227" s="56"/>
      <c r="D227" s="733"/>
      <c r="E227" s="733"/>
      <c r="F227" s="730"/>
      <c r="G227" s="734"/>
      <c r="H227" s="20"/>
      <c r="I227" s="14"/>
    </row>
    <row r="228" spans="1:9" s="57" customFormat="1" x14ac:dyDescent="0.2">
      <c r="A228" s="55"/>
      <c r="B228" s="43"/>
      <c r="C228" s="56"/>
      <c r="D228" s="733"/>
      <c r="E228" s="733"/>
      <c r="F228" s="730"/>
      <c r="G228" s="734"/>
      <c r="H228" s="20"/>
      <c r="I228" s="14"/>
    </row>
    <row r="229" spans="1:9" s="57" customFormat="1" x14ac:dyDescent="0.2">
      <c r="A229" s="55"/>
      <c r="B229" s="43"/>
      <c r="C229" s="56"/>
      <c r="D229" s="733"/>
      <c r="E229" s="733"/>
      <c r="F229" s="730"/>
      <c r="G229" s="734"/>
      <c r="H229" s="20"/>
      <c r="I229" s="14"/>
    </row>
    <row r="230" spans="1:9" s="57" customFormat="1" x14ac:dyDescent="0.2">
      <c r="A230" s="55"/>
      <c r="B230" s="43"/>
      <c r="C230" s="56"/>
      <c r="D230" s="733"/>
      <c r="E230" s="733"/>
      <c r="F230" s="730"/>
      <c r="G230" s="734"/>
      <c r="H230" s="20"/>
      <c r="I230" s="14"/>
    </row>
    <row r="231" spans="1:9" s="57" customFormat="1" x14ac:dyDescent="0.2">
      <c r="A231" s="55"/>
      <c r="B231" s="43"/>
      <c r="C231" s="56"/>
      <c r="D231" s="733"/>
      <c r="E231" s="733"/>
      <c r="F231" s="730"/>
      <c r="G231" s="734"/>
      <c r="H231" s="20"/>
      <c r="I231" s="14"/>
    </row>
    <row r="232" spans="1:9" s="57" customFormat="1" x14ac:dyDescent="0.2">
      <c r="A232" s="55"/>
      <c r="B232" s="43"/>
      <c r="C232" s="56"/>
      <c r="D232" s="733"/>
      <c r="E232" s="733"/>
      <c r="F232" s="730"/>
      <c r="G232" s="734"/>
      <c r="H232" s="20"/>
      <c r="I232" s="14"/>
    </row>
    <row r="233" spans="1:9" s="57" customFormat="1" x14ac:dyDescent="0.2">
      <c r="A233" s="55"/>
      <c r="B233" s="43"/>
      <c r="C233" s="56"/>
      <c r="D233" s="733"/>
      <c r="E233" s="733"/>
      <c r="F233" s="730"/>
      <c r="G233" s="734"/>
      <c r="H233" s="20"/>
      <c r="I233" s="14"/>
    </row>
    <row r="234" spans="1:9" s="57" customFormat="1" x14ac:dyDescent="0.2">
      <c r="A234" s="55"/>
      <c r="B234" s="43"/>
      <c r="C234" s="56"/>
      <c r="D234" s="733"/>
      <c r="E234" s="733"/>
      <c r="F234" s="730"/>
      <c r="G234" s="734"/>
      <c r="H234" s="20"/>
      <c r="I234" s="14"/>
    </row>
    <row r="235" spans="1:9" s="57" customFormat="1" x14ac:dyDescent="0.2">
      <c r="A235" s="55"/>
      <c r="B235" s="43"/>
      <c r="C235" s="56"/>
      <c r="D235" s="733"/>
      <c r="E235" s="733"/>
      <c r="F235" s="730"/>
      <c r="G235" s="734"/>
      <c r="H235" s="20"/>
      <c r="I235" s="14"/>
    </row>
    <row r="236" spans="1:9" s="57" customFormat="1" x14ac:dyDescent="0.2">
      <c r="A236" s="55"/>
      <c r="B236" s="43"/>
      <c r="C236" s="56"/>
      <c r="D236" s="733"/>
      <c r="E236" s="733"/>
      <c r="F236" s="730"/>
      <c r="G236" s="734"/>
      <c r="H236" s="20"/>
      <c r="I236" s="14"/>
    </row>
    <row r="237" spans="1:9" s="57" customFormat="1" x14ac:dyDescent="0.2">
      <c r="A237" s="55"/>
      <c r="B237" s="43"/>
      <c r="C237" s="56"/>
      <c r="D237" s="733"/>
      <c r="E237" s="733"/>
      <c r="F237" s="730"/>
      <c r="G237" s="734"/>
      <c r="H237" s="20"/>
      <c r="I237" s="14"/>
    </row>
    <row r="238" spans="1:9" s="57" customFormat="1" x14ac:dyDescent="0.2">
      <c r="A238" s="55"/>
      <c r="B238" s="43"/>
      <c r="C238" s="56"/>
      <c r="D238" s="733"/>
      <c r="E238" s="733"/>
      <c r="F238" s="730"/>
      <c r="G238" s="734"/>
      <c r="H238" s="20"/>
      <c r="I238" s="14"/>
    </row>
    <row r="239" spans="1:9" s="57" customFormat="1" x14ac:dyDescent="0.2">
      <c r="A239" s="55"/>
      <c r="B239" s="43"/>
      <c r="C239" s="56"/>
      <c r="D239" s="733"/>
      <c r="E239" s="733"/>
      <c r="F239" s="730"/>
      <c r="G239" s="734"/>
      <c r="H239" s="20"/>
      <c r="I239" s="14"/>
    </row>
    <row r="240" spans="1:9" s="57" customFormat="1" x14ac:dyDescent="0.2">
      <c r="A240" s="55"/>
      <c r="B240" s="43"/>
      <c r="C240" s="56"/>
      <c r="D240" s="733"/>
      <c r="E240" s="733"/>
      <c r="F240" s="730"/>
      <c r="G240" s="734"/>
      <c r="H240" s="20"/>
      <c r="I240" s="14"/>
    </row>
    <row r="241" spans="1:9" s="57" customFormat="1" x14ac:dyDescent="0.2">
      <c r="A241" s="55"/>
      <c r="B241" s="43"/>
      <c r="C241" s="56"/>
      <c r="D241" s="733"/>
      <c r="E241" s="733"/>
      <c r="F241" s="730"/>
      <c r="G241" s="734"/>
      <c r="H241" s="20"/>
      <c r="I241" s="14"/>
    </row>
    <row r="242" spans="1:9" s="57" customFormat="1" x14ac:dyDescent="0.2">
      <c r="A242" s="55"/>
      <c r="B242" s="43"/>
      <c r="C242" s="56"/>
      <c r="D242" s="733"/>
      <c r="E242" s="733"/>
      <c r="F242" s="730"/>
      <c r="G242" s="734"/>
      <c r="H242" s="20"/>
      <c r="I242" s="14"/>
    </row>
    <row r="243" spans="1:9" s="57" customFormat="1" x14ac:dyDescent="0.2">
      <c r="A243" s="55"/>
      <c r="B243" s="43"/>
      <c r="C243" s="56"/>
      <c r="D243" s="733"/>
      <c r="E243" s="733"/>
      <c r="F243" s="730"/>
      <c r="G243" s="734"/>
      <c r="H243" s="20"/>
      <c r="I243" s="14"/>
    </row>
    <row r="244" spans="1:9" s="57" customFormat="1" x14ac:dyDescent="0.2">
      <c r="A244" s="55"/>
      <c r="B244" s="43"/>
      <c r="C244" s="56"/>
      <c r="D244" s="733"/>
      <c r="E244" s="733"/>
      <c r="F244" s="730"/>
      <c r="G244" s="734"/>
      <c r="H244" s="20"/>
      <c r="I244" s="14"/>
    </row>
    <row r="245" spans="1:9" s="57" customFormat="1" x14ac:dyDescent="0.2">
      <c r="A245" s="55"/>
      <c r="B245" s="43"/>
      <c r="C245" s="56"/>
      <c r="D245" s="733"/>
      <c r="E245" s="733"/>
      <c r="F245" s="730"/>
      <c r="G245" s="734"/>
      <c r="H245" s="20"/>
      <c r="I245" s="14"/>
    </row>
    <row r="246" spans="1:9" s="57" customFormat="1" x14ac:dyDescent="0.2">
      <c r="A246" s="55"/>
      <c r="B246" s="43"/>
      <c r="C246" s="56"/>
      <c r="D246" s="733"/>
      <c r="E246" s="733"/>
      <c r="F246" s="730"/>
      <c r="G246" s="734"/>
      <c r="H246" s="20"/>
      <c r="I246" s="14"/>
    </row>
    <row r="247" spans="1:9" s="57" customFormat="1" x14ac:dyDescent="0.2">
      <c r="A247" s="55"/>
      <c r="B247" s="43"/>
      <c r="C247" s="56"/>
      <c r="D247" s="733"/>
      <c r="E247" s="733"/>
      <c r="F247" s="730"/>
      <c r="G247" s="734"/>
      <c r="H247" s="20"/>
      <c r="I247" s="14"/>
    </row>
    <row r="248" spans="1:9" s="57" customFormat="1" x14ac:dyDescent="0.2">
      <c r="A248" s="55"/>
      <c r="B248" s="43"/>
      <c r="C248" s="56"/>
      <c r="D248" s="733"/>
      <c r="E248" s="733"/>
      <c r="F248" s="730"/>
      <c r="G248" s="734"/>
      <c r="H248" s="20"/>
      <c r="I248" s="14"/>
    </row>
    <row r="249" spans="1:9" s="57" customFormat="1" x14ac:dyDescent="0.2">
      <c r="A249" s="55"/>
      <c r="B249" s="43"/>
      <c r="C249" s="56"/>
      <c r="D249" s="733"/>
      <c r="E249" s="733"/>
      <c r="F249" s="730"/>
      <c r="G249" s="734"/>
      <c r="H249" s="20"/>
      <c r="I249" s="14"/>
    </row>
    <row r="250" spans="1:9" s="57" customFormat="1" x14ac:dyDescent="0.2">
      <c r="A250" s="55"/>
      <c r="B250" s="43"/>
      <c r="C250" s="56"/>
      <c r="D250" s="733"/>
      <c r="E250" s="733"/>
      <c r="F250" s="730"/>
      <c r="G250" s="734"/>
      <c r="H250" s="20"/>
      <c r="I250" s="14"/>
    </row>
    <row r="251" spans="1:9" s="57" customFormat="1" x14ac:dyDescent="0.2">
      <c r="A251" s="55"/>
      <c r="B251" s="43"/>
      <c r="C251" s="56"/>
      <c r="D251" s="733"/>
      <c r="E251" s="733"/>
      <c r="F251" s="730"/>
      <c r="G251" s="734"/>
      <c r="H251" s="20"/>
      <c r="I251" s="14"/>
    </row>
    <row r="252" spans="1:9" s="57" customFormat="1" x14ac:dyDescent="0.2">
      <c r="A252" s="55"/>
      <c r="B252" s="43"/>
      <c r="C252" s="56"/>
      <c r="D252" s="733"/>
      <c r="E252" s="733"/>
      <c r="F252" s="730"/>
      <c r="G252" s="734"/>
      <c r="H252" s="20"/>
      <c r="I252" s="14"/>
    </row>
    <row r="253" spans="1:9" s="57" customFormat="1" x14ac:dyDescent="0.2">
      <c r="A253" s="55"/>
      <c r="B253" s="43"/>
      <c r="C253" s="56"/>
      <c r="D253" s="733"/>
      <c r="E253" s="733"/>
      <c r="F253" s="730"/>
      <c r="G253" s="734"/>
      <c r="H253" s="20"/>
      <c r="I253" s="14"/>
    </row>
    <row r="254" spans="1:9" s="57" customFormat="1" x14ac:dyDescent="0.2">
      <c r="A254" s="55"/>
      <c r="B254" s="43"/>
      <c r="C254" s="56"/>
      <c r="D254" s="733"/>
      <c r="E254" s="733"/>
      <c r="F254" s="730"/>
      <c r="G254" s="734"/>
      <c r="H254" s="20"/>
      <c r="I254" s="14"/>
    </row>
    <row r="255" spans="1:9" s="57" customFormat="1" x14ac:dyDescent="0.2">
      <c r="A255" s="55"/>
      <c r="B255" s="43"/>
      <c r="C255" s="56"/>
      <c r="D255" s="733"/>
      <c r="E255" s="733"/>
      <c r="F255" s="730"/>
      <c r="G255" s="734"/>
      <c r="H255" s="20"/>
      <c r="I255" s="14"/>
    </row>
    <row r="256" spans="1:9" s="57" customFormat="1" x14ac:dyDescent="0.2">
      <c r="A256" s="55"/>
      <c r="B256" s="43"/>
      <c r="C256" s="56"/>
      <c r="D256" s="733"/>
      <c r="E256" s="733"/>
      <c r="F256" s="730"/>
      <c r="G256" s="734"/>
      <c r="H256" s="20"/>
      <c r="I256" s="14"/>
    </row>
    <row r="257" spans="1:9" s="57" customFormat="1" x14ac:dyDescent="0.2">
      <c r="A257" s="55"/>
      <c r="B257" s="43"/>
      <c r="C257" s="56"/>
      <c r="D257" s="733"/>
      <c r="E257" s="733"/>
      <c r="F257" s="730"/>
      <c r="G257" s="734"/>
      <c r="H257" s="20"/>
      <c r="I257" s="14"/>
    </row>
    <row r="258" spans="1:9" s="57" customFormat="1" x14ac:dyDescent="0.2">
      <c r="A258" s="55"/>
      <c r="B258" s="43"/>
      <c r="C258" s="56"/>
      <c r="D258" s="733"/>
      <c r="E258" s="733"/>
      <c r="F258" s="730"/>
      <c r="G258" s="734"/>
      <c r="H258" s="20"/>
      <c r="I258" s="14"/>
    </row>
    <row r="259" spans="1:9" s="57" customFormat="1" x14ac:dyDescent="0.2">
      <c r="A259" s="55"/>
      <c r="B259" s="43"/>
      <c r="C259" s="56"/>
      <c r="D259" s="733"/>
      <c r="E259" s="733"/>
      <c r="F259" s="730"/>
      <c r="G259" s="734"/>
      <c r="H259" s="20"/>
      <c r="I259" s="14"/>
    </row>
    <row r="260" spans="1:9" s="57" customFormat="1" x14ac:dyDescent="0.2">
      <c r="A260" s="55"/>
      <c r="B260" s="43"/>
      <c r="C260" s="56"/>
      <c r="D260" s="733"/>
      <c r="E260" s="733"/>
      <c r="F260" s="730"/>
      <c r="G260" s="734"/>
      <c r="H260" s="20"/>
      <c r="I260" s="14"/>
    </row>
    <row r="261" spans="1:9" s="57" customFormat="1" x14ac:dyDescent="0.2">
      <c r="A261" s="55"/>
      <c r="B261" s="43"/>
      <c r="C261" s="56"/>
      <c r="D261" s="733"/>
      <c r="E261" s="733"/>
      <c r="F261" s="730"/>
      <c r="G261" s="734"/>
      <c r="H261" s="20"/>
      <c r="I261" s="14"/>
    </row>
    <row r="262" spans="1:9" s="57" customFormat="1" x14ac:dyDescent="0.2">
      <c r="A262" s="55"/>
      <c r="B262" s="43"/>
      <c r="C262" s="56"/>
      <c r="D262" s="733"/>
      <c r="E262" s="733"/>
      <c r="F262" s="730"/>
      <c r="G262" s="734"/>
      <c r="H262" s="20"/>
      <c r="I262" s="14"/>
    </row>
    <row r="263" spans="1:9" s="57" customFormat="1" x14ac:dyDescent="0.2">
      <c r="A263" s="55"/>
      <c r="B263" s="43"/>
      <c r="C263" s="56"/>
      <c r="D263" s="733"/>
      <c r="E263" s="733"/>
      <c r="F263" s="730"/>
      <c r="G263" s="734"/>
      <c r="H263" s="20"/>
      <c r="I263" s="14"/>
    </row>
    <row r="264" spans="1:9" s="57" customFormat="1" x14ac:dyDescent="0.2">
      <c r="A264" s="55"/>
      <c r="B264" s="43"/>
      <c r="C264" s="56"/>
      <c r="D264" s="733"/>
      <c r="E264" s="733"/>
      <c r="F264" s="730"/>
      <c r="G264" s="734"/>
      <c r="H264" s="20"/>
      <c r="I264" s="14"/>
    </row>
    <row r="265" spans="1:9" s="57" customFormat="1" x14ac:dyDescent="0.2">
      <c r="A265" s="55"/>
      <c r="B265" s="43"/>
      <c r="C265" s="56"/>
      <c r="D265" s="733"/>
      <c r="E265" s="733"/>
      <c r="F265" s="730"/>
      <c r="G265" s="734"/>
      <c r="H265" s="20"/>
      <c r="I265" s="14"/>
    </row>
    <row r="266" spans="1:9" s="57" customFormat="1" x14ac:dyDescent="0.2">
      <c r="A266" s="55"/>
      <c r="B266" s="43"/>
      <c r="C266" s="56"/>
      <c r="D266" s="733"/>
      <c r="E266" s="733"/>
      <c r="F266" s="730"/>
      <c r="G266" s="734"/>
      <c r="H266" s="20"/>
      <c r="I266" s="14"/>
    </row>
    <row r="267" spans="1:9" s="57" customFormat="1" x14ac:dyDescent="0.2">
      <c r="A267" s="55"/>
      <c r="B267" s="43"/>
      <c r="C267" s="56"/>
      <c r="D267" s="733"/>
      <c r="E267" s="733"/>
      <c r="F267" s="730"/>
      <c r="G267" s="734"/>
      <c r="H267" s="20"/>
      <c r="I267" s="14"/>
    </row>
    <row r="268" spans="1:9" s="57" customFormat="1" x14ac:dyDescent="0.2">
      <c r="A268" s="55"/>
      <c r="B268" s="43"/>
      <c r="C268" s="56"/>
      <c r="D268" s="733"/>
      <c r="E268" s="733"/>
      <c r="F268" s="730"/>
      <c r="G268" s="734"/>
      <c r="H268" s="20"/>
      <c r="I268" s="14"/>
    </row>
    <row r="269" spans="1:9" s="57" customFormat="1" x14ac:dyDescent="0.2">
      <c r="A269" s="55"/>
      <c r="B269" s="43"/>
      <c r="C269" s="56"/>
      <c r="D269" s="733"/>
      <c r="E269" s="733"/>
      <c r="F269" s="730"/>
      <c r="G269" s="734"/>
      <c r="H269" s="20"/>
      <c r="I269" s="14"/>
    </row>
    <row r="270" spans="1:9" s="57" customFormat="1" x14ac:dyDescent="0.2">
      <c r="A270" s="55"/>
      <c r="B270" s="43"/>
      <c r="C270" s="56"/>
      <c r="D270" s="733"/>
      <c r="E270" s="733"/>
      <c r="F270" s="730"/>
      <c r="G270" s="734"/>
      <c r="H270" s="20"/>
      <c r="I270" s="14"/>
    </row>
    <row r="271" spans="1:9" s="57" customFormat="1" x14ac:dyDescent="0.2">
      <c r="A271" s="55"/>
      <c r="B271" s="43"/>
      <c r="C271" s="56"/>
      <c r="D271" s="733"/>
      <c r="E271" s="733"/>
      <c r="F271" s="730"/>
      <c r="G271" s="734"/>
      <c r="H271" s="20"/>
      <c r="I271" s="14"/>
    </row>
    <row r="272" spans="1:9" s="57" customFormat="1" x14ac:dyDescent="0.2">
      <c r="A272" s="55"/>
      <c r="B272" s="43"/>
      <c r="C272" s="56"/>
      <c r="D272" s="733"/>
      <c r="E272" s="733"/>
      <c r="F272" s="730"/>
      <c r="G272" s="734"/>
      <c r="H272" s="20"/>
      <c r="I272" s="14"/>
    </row>
    <row r="273" spans="1:9" s="57" customFormat="1" x14ac:dyDescent="0.2">
      <c r="A273" s="55"/>
      <c r="B273" s="43"/>
      <c r="C273" s="56"/>
      <c r="D273" s="733"/>
      <c r="E273" s="733"/>
      <c r="F273" s="730"/>
      <c r="G273" s="734"/>
      <c r="H273" s="20"/>
      <c r="I273" s="14"/>
    </row>
    <row r="274" spans="1:9" s="57" customFormat="1" x14ac:dyDescent="0.2">
      <c r="A274" s="55"/>
      <c r="B274" s="43"/>
      <c r="C274" s="56"/>
      <c r="D274" s="733"/>
      <c r="E274" s="733"/>
      <c r="F274" s="730"/>
      <c r="G274" s="734"/>
      <c r="H274" s="20"/>
      <c r="I274" s="14"/>
    </row>
    <row r="275" spans="1:9" s="57" customFormat="1" x14ac:dyDescent="0.2">
      <c r="A275" s="55"/>
      <c r="B275" s="43"/>
      <c r="C275" s="56"/>
      <c r="D275" s="733"/>
      <c r="E275" s="733"/>
      <c r="F275" s="730"/>
      <c r="G275" s="734"/>
      <c r="H275" s="20"/>
      <c r="I275" s="14"/>
    </row>
    <row r="276" spans="1:9" s="57" customFormat="1" x14ac:dyDescent="0.2">
      <c r="A276" s="55"/>
      <c r="B276" s="43"/>
      <c r="C276" s="56"/>
      <c r="D276" s="733"/>
      <c r="E276" s="733"/>
      <c r="F276" s="730"/>
      <c r="G276" s="734"/>
      <c r="H276" s="20"/>
      <c r="I276" s="14"/>
    </row>
    <row r="277" spans="1:9" s="57" customFormat="1" x14ac:dyDescent="0.2">
      <c r="A277" s="55"/>
      <c r="B277" s="43"/>
      <c r="C277" s="56"/>
      <c r="D277" s="733"/>
      <c r="E277" s="733"/>
      <c r="F277" s="730"/>
      <c r="G277" s="734"/>
      <c r="H277" s="20"/>
      <c r="I277" s="14"/>
    </row>
    <row r="278" spans="1:9" s="57" customFormat="1" x14ac:dyDescent="0.2">
      <c r="A278" s="55"/>
      <c r="B278" s="43"/>
      <c r="C278" s="56"/>
      <c r="D278" s="733"/>
      <c r="E278" s="733"/>
      <c r="F278" s="730"/>
      <c r="G278" s="734"/>
      <c r="H278" s="20"/>
      <c r="I278" s="14"/>
    </row>
    <row r="279" spans="1:9" s="57" customFormat="1" x14ac:dyDescent="0.2">
      <c r="A279" s="55"/>
      <c r="B279" s="43"/>
      <c r="C279" s="56"/>
      <c r="D279" s="733"/>
      <c r="E279" s="733"/>
      <c r="F279" s="730"/>
      <c r="G279" s="734"/>
      <c r="H279" s="20"/>
      <c r="I279" s="14"/>
    </row>
    <row r="280" spans="1:9" s="57" customFormat="1" x14ac:dyDescent="0.2">
      <c r="A280" s="55"/>
      <c r="B280" s="43"/>
      <c r="C280" s="56"/>
      <c r="D280" s="733"/>
      <c r="E280" s="733"/>
      <c r="F280" s="730"/>
      <c r="G280" s="734"/>
      <c r="H280" s="20"/>
      <c r="I280" s="14"/>
    </row>
    <row r="281" spans="1:9" s="57" customFormat="1" x14ac:dyDescent="0.2">
      <c r="A281" s="55"/>
      <c r="B281" s="43"/>
      <c r="C281" s="56"/>
      <c r="D281" s="733"/>
      <c r="E281" s="733"/>
      <c r="F281" s="730"/>
      <c r="G281" s="734"/>
      <c r="H281" s="20"/>
      <c r="I281" s="14"/>
    </row>
    <row r="282" spans="1:9" s="57" customFormat="1" x14ac:dyDescent="0.2">
      <c r="A282" s="55"/>
      <c r="B282" s="43"/>
      <c r="C282" s="56"/>
      <c r="D282" s="733"/>
      <c r="E282" s="733"/>
      <c r="F282" s="730"/>
      <c r="G282" s="734"/>
      <c r="H282" s="20"/>
      <c r="I282" s="14"/>
    </row>
    <row r="283" spans="1:9" s="57" customFormat="1" x14ac:dyDescent="0.2">
      <c r="A283" s="55"/>
      <c r="B283" s="43"/>
      <c r="C283" s="56"/>
      <c r="D283" s="733"/>
      <c r="E283" s="733"/>
      <c r="F283" s="730"/>
      <c r="G283" s="734"/>
      <c r="H283" s="20"/>
      <c r="I283" s="14"/>
    </row>
    <row r="284" spans="1:9" s="57" customFormat="1" x14ac:dyDescent="0.2">
      <c r="A284" s="55"/>
      <c r="B284" s="43"/>
      <c r="C284" s="56"/>
      <c r="D284" s="733"/>
      <c r="E284" s="733"/>
      <c r="F284" s="730"/>
      <c r="G284" s="734"/>
      <c r="H284" s="20"/>
      <c r="I284" s="14"/>
    </row>
    <row r="285" spans="1:9" s="57" customFormat="1" x14ac:dyDescent="0.2">
      <c r="A285" s="55"/>
      <c r="B285" s="43"/>
      <c r="C285" s="56"/>
      <c r="D285" s="733"/>
      <c r="E285" s="733"/>
      <c r="F285" s="730"/>
      <c r="G285" s="734"/>
      <c r="H285" s="20"/>
      <c r="I285" s="14"/>
    </row>
    <row r="286" spans="1:9" s="57" customFormat="1" x14ac:dyDescent="0.2">
      <c r="A286" s="55"/>
      <c r="B286" s="43"/>
      <c r="C286" s="56"/>
      <c r="D286" s="733"/>
      <c r="E286" s="733"/>
      <c r="F286" s="730"/>
      <c r="G286" s="734"/>
      <c r="H286" s="20"/>
      <c r="I286" s="14"/>
    </row>
    <row r="287" spans="1:9" s="57" customFormat="1" x14ac:dyDescent="0.2">
      <c r="A287" s="55"/>
      <c r="B287" s="43"/>
      <c r="C287" s="56"/>
      <c r="D287" s="733"/>
      <c r="E287" s="733"/>
      <c r="F287" s="730"/>
      <c r="G287" s="734"/>
      <c r="H287" s="20"/>
      <c r="I287" s="14"/>
    </row>
    <row r="288" spans="1:9" s="57" customFormat="1" x14ac:dyDescent="0.2">
      <c r="A288" s="55"/>
      <c r="B288" s="43"/>
      <c r="C288" s="56"/>
      <c r="D288" s="733"/>
      <c r="E288" s="733"/>
      <c r="F288" s="730"/>
      <c r="G288" s="734"/>
      <c r="H288" s="20"/>
      <c r="I288" s="14"/>
    </row>
    <row r="289" spans="1:9" s="57" customFormat="1" x14ac:dyDescent="0.2">
      <c r="A289" s="55"/>
      <c r="B289" s="43"/>
      <c r="C289" s="56"/>
      <c r="D289" s="733"/>
      <c r="E289" s="733"/>
      <c r="F289" s="730"/>
      <c r="G289" s="734"/>
      <c r="H289" s="20"/>
      <c r="I289" s="14"/>
    </row>
    <row r="290" spans="1:9" s="57" customFormat="1" x14ac:dyDescent="0.2">
      <c r="A290" s="55"/>
      <c r="B290" s="43"/>
      <c r="C290" s="56"/>
      <c r="D290" s="733"/>
      <c r="E290" s="733"/>
      <c r="F290" s="730"/>
      <c r="G290" s="734"/>
      <c r="H290" s="20"/>
      <c r="I290" s="14"/>
    </row>
    <row r="291" spans="1:9" s="57" customFormat="1" x14ac:dyDescent="0.2">
      <c r="A291" s="55"/>
      <c r="B291" s="43"/>
      <c r="C291" s="56"/>
      <c r="D291" s="733"/>
      <c r="E291" s="733"/>
      <c r="F291" s="730"/>
      <c r="G291" s="734"/>
      <c r="H291" s="20"/>
      <c r="I291" s="14"/>
    </row>
    <row r="292" spans="1:9" s="57" customFormat="1" x14ac:dyDescent="0.2">
      <c r="A292" s="55"/>
      <c r="B292" s="43"/>
      <c r="C292" s="56"/>
      <c r="D292" s="733"/>
      <c r="E292" s="733"/>
      <c r="F292" s="730"/>
      <c r="G292" s="734"/>
      <c r="H292" s="20"/>
      <c r="I292" s="14"/>
    </row>
    <row r="293" spans="1:9" s="57" customFormat="1" x14ac:dyDescent="0.2">
      <c r="A293" s="55"/>
      <c r="B293" s="43"/>
      <c r="C293" s="56"/>
      <c r="D293" s="733"/>
      <c r="E293" s="733"/>
      <c r="F293" s="730"/>
      <c r="G293" s="734"/>
      <c r="H293" s="20"/>
      <c r="I293" s="14"/>
    </row>
    <row r="294" spans="1:9" s="57" customFormat="1" x14ac:dyDescent="0.2">
      <c r="A294" s="55"/>
      <c r="B294" s="43"/>
      <c r="C294" s="56"/>
      <c r="D294" s="733"/>
      <c r="E294" s="733"/>
      <c r="F294" s="730"/>
      <c r="G294" s="734"/>
      <c r="H294" s="20"/>
      <c r="I294" s="14"/>
    </row>
    <row r="295" spans="1:9" s="57" customFormat="1" x14ac:dyDescent="0.2">
      <c r="A295" s="55"/>
      <c r="B295" s="43"/>
      <c r="C295" s="56"/>
      <c r="D295" s="733"/>
      <c r="E295" s="733"/>
      <c r="F295" s="730"/>
      <c r="G295" s="734"/>
      <c r="H295" s="20"/>
      <c r="I295" s="14"/>
    </row>
    <row r="296" spans="1:9" s="57" customFormat="1" x14ac:dyDescent="0.2">
      <c r="A296" s="55"/>
      <c r="B296" s="43"/>
      <c r="C296" s="56"/>
      <c r="D296" s="733"/>
      <c r="E296" s="733"/>
      <c r="F296" s="730"/>
      <c r="G296" s="734"/>
      <c r="H296" s="20"/>
      <c r="I296" s="14"/>
    </row>
    <row r="297" spans="1:9" s="57" customFormat="1" x14ac:dyDescent="0.2">
      <c r="A297" s="55"/>
      <c r="B297" s="43"/>
      <c r="C297" s="56"/>
      <c r="D297" s="733"/>
      <c r="E297" s="733"/>
      <c r="F297" s="730"/>
      <c r="G297" s="734"/>
      <c r="H297" s="20"/>
      <c r="I297" s="14"/>
    </row>
    <row r="298" spans="1:9" s="57" customFormat="1" x14ac:dyDescent="0.2">
      <c r="A298" s="55"/>
      <c r="B298" s="43"/>
      <c r="C298" s="56"/>
      <c r="D298" s="733"/>
      <c r="E298" s="733"/>
      <c r="F298" s="730"/>
      <c r="G298" s="734"/>
      <c r="H298" s="20"/>
      <c r="I298" s="14"/>
    </row>
    <row r="299" spans="1:9" s="57" customFormat="1" x14ac:dyDescent="0.2">
      <c r="A299" s="55"/>
      <c r="B299" s="43"/>
      <c r="C299" s="56"/>
      <c r="D299" s="733"/>
      <c r="E299" s="733"/>
      <c r="F299" s="730"/>
      <c r="G299" s="734"/>
      <c r="H299" s="20"/>
      <c r="I299" s="14"/>
    </row>
    <row r="300" spans="1:9" s="57" customFormat="1" x14ac:dyDescent="0.2">
      <c r="A300" s="55"/>
      <c r="B300" s="43"/>
      <c r="C300" s="56"/>
      <c r="D300" s="733"/>
      <c r="E300" s="733"/>
      <c r="F300" s="730"/>
      <c r="G300" s="734"/>
      <c r="H300" s="20"/>
      <c r="I300" s="14"/>
    </row>
    <row r="301" spans="1:9" s="57" customFormat="1" x14ac:dyDescent="0.2">
      <c r="A301" s="55"/>
      <c r="B301" s="43"/>
      <c r="C301" s="56"/>
      <c r="D301" s="733"/>
      <c r="E301" s="733"/>
      <c r="F301" s="730"/>
      <c r="G301" s="734"/>
      <c r="H301" s="20"/>
      <c r="I301" s="14"/>
    </row>
    <row r="302" spans="1:9" s="57" customFormat="1" x14ac:dyDescent="0.2">
      <c r="A302" s="55"/>
      <c r="B302" s="43"/>
      <c r="C302" s="56"/>
      <c r="D302" s="733"/>
      <c r="E302" s="733"/>
      <c r="F302" s="730"/>
      <c r="G302" s="734"/>
      <c r="H302" s="20"/>
      <c r="I302" s="14"/>
    </row>
    <row r="303" spans="1:9" s="57" customFormat="1" x14ac:dyDescent="0.2">
      <c r="A303" s="55"/>
      <c r="B303" s="43"/>
      <c r="C303" s="56"/>
      <c r="D303" s="733"/>
      <c r="E303" s="733"/>
      <c r="F303" s="730"/>
      <c r="G303" s="734"/>
      <c r="H303" s="20"/>
      <c r="I303" s="14"/>
    </row>
    <row r="304" spans="1:9" s="57" customFormat="1" x14ac:dyDescent="0.2">
      <c r="A304" s="55"/>
      <c r="B304" s="43"/>
      <c r="C304" s="56"/>
      <c r="D304" s="733"/>
      <c r="E304" s="733"/>
      <c r="F304" s="730"/>
      <c r="G304" s="734"/>
      <c r="H304" s="20"/>
      <c r="I304" s="14"/>
    </row>
    <row r="305" spans="1:9" s="57" customFormat="1" x14ac:dyDescent="0.2">
      <c r="A305" s="55"/>
      <c r="B305" s="43"/>
      <c r="C305" s="56"/>
      <c r="D305" s="733"/>
      <c r="E305" s="733"/>
      <c r="F305" s="730"/>
      <c r="G305" s="734"/>
      <c r="H305" s="20"/>
      <c r="I305" s="14"/>
    </row>
    <row r="306" spans="1:9" s="57" customFormat="1" x14ac:dyDescent="0.2">
      <c r="A306" s="55"/>
      <c r="B306" s="43"/>
      <c r="C306" s="56"/>
      <c r="D306" s="733"/>
      <c r="E306" s="733"/>
      <c r="F306" s="730"/>
      <c r="G306" s="734"/>
      <c r="H306" s="20"/>
      <c r="I306" s="14"/>
    </row>
    <row r="307" spans="1:9" s="57" customFormat="1" x14ac:dyDescent="0.2">
      <c r="A307" s="55"/>
      <c r="B307" s="43"/>
      <c r="C307" s="56"/>
      <c r="D307" s="733"/>
      <c r="E307" s="733"/>
      <c r="F307" s="730"/>
      <c r="G307" s="734"/>
      <c r="H307" s="20"/>
      <c r="I307" s="14"/>
    </row>
    <row r="308" spans="1:9" s="57" customFormat="1" x14ac:dyDescent="0.2">
      <c r="A308" s="55"/>
      <c r="B308" s="43"/>
      <c r="C308" s="56"/>
      <c r="D308" s="733"/>
      <c r="E308" s="733"/>
      <c r="F308" s="730"/>
      <c r="G308" s="734"/>
      <c r="H308" s="20"/>
      <c r="I308" s="14"/>
    </row>
    <row r="309" spans="1:9" s="57" customFormat="1" x14ac:dyDescent="0.2">
      <c r="A309" s="55"/>
      <c r="B309" s="43"/>
      <c r="C309" s="56"/>
      <c r="D309" s="733"/>
      <c r="E309" s="733"/>
      <c r="F309" s="730"/>
      <c r="G309" s="734"/>
      <c r="H309" s="20"/>
      <c r="I309" s="14"/>
    </row>
    <row r="310" spans="1:9" s="57" customFormat="1" x14ac:dyDescent="0.2">
      <c r="A310" s="55"/>
      <c r="B310" s="43"/>
      <c r="C310" s="56"/>
      <c r="D310" s="733"/>
      <c r="E310" s="733"/>
      <c r="F310" s="730"/>
      <c r="G310" s="734"/>
      <c r="H310" s="20"/>
      <c r="I310" s="14"/>
    </row>
    <row r="311" spans="1:9" s="57" customFormat="1" x14ac:dyDescent="0.2">
      <c r="A311" s="55"/>
      <c r="B311" s="43"/>
      <c r="C311" s="56"/>
      <c r="D311" s="733"/>
      <c r="E311" s="733"/>
      <c r="F311" s="730"/>
      <c r="G311" s="734"/>
      <c r="H311" s="20"/>
      <c r="I311" s="14"/>
    </row>
    <row r="312" spans="1:9" s="57" customFormat="1" x14ac:dyDescent="0.2">
      <c r="A312" s="55"/>
      <c r="B312" s="43"/>
      <c r="C312" s="56"/>
      <c r="D312" s="733"/>
      <c r="E312" s="733"/>
      <c r="F312" s="730"/>
      <c r="G312" s="734"/>
      <c r="H312" s="20"/>
      <c r="I312" s="14"/>
    </row>
    <row r="313" spans="1:9" s="57" customFormat="1" x14ac:dyDescent="0.2">
      <c r="A313" s="55"/>
      <c r="B313" s="43"/>
      <c r="C313" s="56"/>
      <c r="D313" s="733"/>
      <c r="E313" s="733"/>
      <c r="F313" s="730"/>
      <c r="G313" s="734"/>
      <c r="H313" s="20"/>
      <c r="I313" s="14"/>
    </row>
    <row r="314" spans="1:9" s="57" customFormat="1" x14ac:dyDescent="0.2">
      <c r="A314" s="55"/>
      <c r="B314" s="43"/>
      <c r="C314" s="56"/>
      <c r="D314" s="733"/>
      <c r="E314" s="733"/>
      <c r="F314" s="730"/>
      <c r="G314" s="734"/>
      <c r="H314" s="20"/>
      <c r="I314" s="14"/>
    </row>
    <row r="315" spans="1:9" s="57" customFormat="1" x14ac:dyDescent="0.2">
      <c r="A315" s="55"/>
      <c r="B315" s="43"/>
      <c r="C315" s="56"/>
      <c r="D315" s="733"/>
      <c r="E315" s="733"/>
      <c r="F315" s="730"/>
      <c r="G315" s="734"/>
      <c r="H315" s="20"/>
      <c r="I315" s="14"/>
    </row>
    <row r="316" spans="1:9" s="57" customFormat="1" x14ac:dyDescent="0.2">
      <c r="A316" s="55"/>
      <c r="B316" s="43"/>
      <c r="C316" s="56"/>
      <c r="D316" s="733"/>
      <c r="E316" s="733"/>
      <c r="F316" s="730"/>
      <c r="G316" s="734"/>
      <c r="H316" s="20"/>
      <c r="I316" s="14"/>
    </row>
    <row r="317" spans="1:9" s="57" customFormat="1" x14ac:dyDescent="0.2">
      <c r="A317" s="55"/>
      <c r="B317" s="43"/>
      <c r="C317" s="56"/>
      <c r="D317" s="733"/>
      <c r="E317" s="733"/>
      <c r="F317" s="730"/>
      <c r="G317" s="734"/>
      <c r="H317" s="20"/>
      <c r="I317" s="14"/>
    </row>
    <row r="318" spans="1:9" s="57" customFormat="1" x14ac:dyDescent="0.2">
      <c r="A318" s="55"/>
      <c r="B318" s="43"/>
      <c r="C318" s="56"/>
      <c r="D318" s="733"/>
      <c r="E318" s="733"/>
      <c r="F318" s="730"/>
      <c r="G318" s="734"/>
      <c r="H318" s="20"/>
      <c r="I318" s="14"/>
    </row>
    <row r="319" spans="1:9" s="57" customFormat="1" x14ac:dyDescent="0.2">
      <c r="A319" s="55"/>
      <c r="B319" s="43"/>
      <c r="C319" s="56"/>
      <c r="D319" s="733"/>
      <c r="E319" s="733"/>
      <c r="F319" s="730"/>
      <c r="G319" s="734"/>
      <c r="H319" s="20"/>
      <c r="I319" s="14"/>
    </row>
    <row r="320" spans="1:9" s="57" customFormat="1" x14ac:dyDescent="0.2">
      <c r="A320" s="55"/>
      <c r="B320" s="43"/>
      <c r="C320" s="56"/>
      <c r="D320" s="733"/>
      <c r="E320" s="733"/>
      <c r="F320" s="730"/>
      <c r="G320" s="734"/>
      <c r="H320" s="20"/>
      <c r="I320" s="14"/>
    </row>
    <row r="321" spans="1:9" s="57" customFormat="1" x14ac:dyDescent="0.2">
      <c r="A321" s="55"/>
      <c r="B321" s="43"/>
      <c r="C321" s="56"/>
      <c r="D321" s="733"/>
      <c r="E321" s="733"/>
      <c r="F321" s="730"/>
      <c r="G321" s="734"/>
      <c r="H321" s="20"/>
      <c r="I321" s="14"/>
    </row>
    <row r="322" spans="1:9" s="57" customFormat="1" x14ac:dyDescent="0.2">
      <c r="A322" s="55"/>
      <c r="B322" s="43"/>
      <c r="C322" s="56"/>
      <c r="D322" s="733"/>
      <c r="E322" s="733"/>
      <c r="F322" s="730"/>
      <c r="G322" s="734"/>
      <c r="H322" s="20"/>
      <c r="I322" s="14"/>
    </row>
    <row r="323" spans="1:9" s="57" customFormat="1" x14ac:dyDescent="0.2">
      <c r="A323" s="55"/>
      <c r="B323" s="43"/>
      <c r="C323" s="56"/>
      <c r="D323" s="733"/>
      <c r="E323" s="733"/>
      <c r="F323" s="730"/>
      <c r="G323" s="734"/>
      <c r="H323" s="20"/>
      <c r="I323" s="14"/>
    </row>
    <row r="324" spans="1:9" s="57" customFormat="1" x14ac:dyDescent="0.2">
      <c r="A324" s="55"/>
      <c r="B324" s="43"/>
      <c r="C324" s="56"/>
      <c r="D324" s="733"/>
      <c r="E324" s="733"/>
      <c r="F324" s="730"/>
      <c r="G324" s="734"/>
      <c r="H324" s="20"/>
      <c r="I324" s="14"/>
    </row>
    <row r="325" spans="1:9" s="57" customFormat="1" x14ac:dyDescent="0.2">
      <c r="A325" s="55"/>
      <c r="B325" s="43"/>
      <c r="C325" s="56"/>
      <c r="D325" s="733"/>
      <c r="E325" s="733"/>
      <c r="F325" s="730"/>
      <c r="G325" s="734"/>
      <c r="H325" s="20"/>
      <c r="I325" s="14"/>
    </row>
    <row r="326" spans="1:9" s="57" customFormat="1" x14ac:dyDescent="0.2">
      <c r="A326" s="55"/>
      <c r="B326" s="43"/>
      <c r="C326" s="56"/>
      <c r="D326" s="733"/>
      <c r="E326" s="733"/>
      <c r="F326" s="730"/>
      <c r="G326" s="734"/>
      <c r="H326" s="20"/>
      <c r="I326" s="14"/>
    </row>
    <row r="327" spans="1:9" s="57" customFormat="1" x14ac:dyDescent="0.2">
      <c r="A327" s="55"/>
      <c r="B327" s="43"/>
      <c r="C327" s="56"/>
      <c r="D327" s="733"/>
      <c r="E327" s="733"/>
      <c r="F327" s="730"/>
      <c r="G327" s="734"/>
      <c r="H327" s="20"/>
      <c r="I327" s="14"/>
    </row>
    <row r="328" spans="1:9" s="57" customFormat="1" x14ac:dyDescent="0.2">
      <c r="A328" s="55"/>
      <c r="B328" s="43"/>
      <c r="C328" s="56"/>
      <c r="D328" s="733"/>
      <c r="E328" s="733"/>
      <c r="F328" s="730"/>
      <c r="G328" s="734"/>
      <c r="H328" s="20"/>
      <c r="I328" s="14"/>
    </row>
    <row r="329" spans="1:9" s="57" customFormat="1" x14ac:dyDescent="0.2">
      <c r="A329" s="55"/>
      <c r="B329" s="43"/>
      <c r="C329" s="56"/>
      <c r="D329" s="733"/>
      <c r="E329" s="733"/>
      <c r="F329" s="730"/>
      <c r="G329" s="734"/>
      <c r="H329" s="20"/>
      <c r="I329" s="14"/>
    </row>
    <row r="330" spans="1:9" s="57" customFormat="1" x14ac:dyDescent="0.2">
      <c r="A330" s="55"/>
      <c r="B330" s="43"/>
      <c r="C330" s="56"/>
      <c r="D330" s="733"/>
      <c r="E330" s="733"/>
      <c r="F330" s="730"/>
      <c r="G330" s="734"/>
      <c r="H330" s="20"/>
      <c r="I330" s="14"/>
    </row>
    <row r="331" spans="1:9" s="57" customFormat="1" x14ac:dyDescent="0.2">
      <c r="A331" s="55"/>
      <c r="B331" s="43"/>
      <c r="C331" s="56"/>
      <c r="D331" s="733"/>
      <c r="E331" s="733"/>
      <c r="F331" s="730"/>
      <c r="G331" s="734"/>
      <c r="H331" s="20"/>
      <c r="I331" s="14"/>
    </row>
    <row r="332" spans="1:9" s="57" customFormat="1" x14ac:dyDescent="0.2">
      <c r="A332" s="55"/>
      <c r="B332" s="43"/>
      <c r="C332" s="56"/>
      <c r="D332" s="733"/>
      <c r="E332" s="733"/>
      <c r="F332" s="730"/>
      <c r="G332" s="734"/>
      <c r="H332" s="20"/>
      <c r="I332" s="14"/>
    </row>
    <row r="333" spans="1:9" s="57" customFormat="1" x14ac:dyDescent="0.2">
      <c r="A333" s="55"/>
      <c r="B333" s="43"/>
      <c r="C333" s="56"/>
      <c r="D333" s="733"/>
      <c r="E333" s="733"/>
      <c r="F333" s="730"/>
      <c r="G333" s="734"/>
      <c r="H333" s="20"/>
      <c r="I333" s="14"/>
    </row>
    <row r="334" spans="1:9" s="57" customFormat="1" x14ac:dyDescent="0.2">
      <c r="A334" s="55"/>
      <c r="B334" s="43"/>
      <c r="C334" s="56"/>
      <c r="D334" s="733"/>
      <c r="E334" s="733"/>
      <c r="F334" s="730"/>
      <c r="G334" s="734"/>
      <c r="H334" s="20"/>
      <c r="I334" s="14"/>
    </row>
    <row r="335" spans="1:9" s="57" customFormat="1" x14ac:dyDescent="0.2">
      <c r="A335" s="55"/>
      <c r="B335" s="43"/>
      <c r="C335" s="56"/>
      <c r="D335" s="733"/>
      <c r="E335" s="733"/>
      <c r="F335" s="730"/>
      <c r="G335" s="734"/>
      <c r="H335" s="20"/>
      <c r="I335" s="14"/>
    </row>
    <row r="336" spans="1:9" s="57" customFormat="1" x14ac:dyDescent="0.2">
      <c r="A336" s="55"/>
      <c r="B336" s="43"/>
      <c r="C336" s="56"/>
      <c r="D336" s="733"/>
      <c r="E336" s="733"/>
      <c r="F336" s="730"/>
      <c r="G336" s="734"/>
      <c r="H336" s="20"/>
      <c r="I336" s="14"/>
    </row>
    <row r="337" spans="1:9" s="57" customFormat="1" x14ac:dyDescent="0.2">
      <c r="A337" s="55"/>
      <c r="B337" s="43"/>
      <c r="C337" s="56"/>
      <c r="D337" s="733"/>
      <c r="E337" s="733"/>
      <c r="F337" s="730"/>
      <c r="G337" s="734"/>
      <c r="H337" s="20"/>
      <c r="I337" s="14"/>
    </row>
    <row r="338" spans="1:9" s="57" customFormat="1" x14ac:dyDescent="0.2">
      <c r="A338" s="55"/>
      <c r="B338" s="43"/>
      <c r="C338" s="56"/>
      <c r="D338" s="733"/>
      <c r="E338" s="733"/>
      <c r="F338" s="730"/>
      <c r="G338" s="734"/>
      <c r="H338" s="20"/>
      <c r="I338" s="14"/>
    </row>
    <row r="339" spans="1:9" s="57" customFormat="1" x14ac:dyDescent="0.2">
      <c r="A339" s="55"/>
      <c r="B339" s="43"/>
      <c r="C339" s="56"/>
      <c r="D339" s="733"/>
      <c r="E339" s="733"/>
      <c r="F339" s="730"/>
      <c r="G339" s="734"/>
      <c r="H339" s="20"/>
      <c r="I339" s="14"/>
    </row>
    <row r="340" spans="1:9" s="57" customFormat="1" x14ac:dyDescent="0.2">
      <c r="A340" s="55"/>
      <c r="B340" s="43"/>
      <c r="C340" s="56"/>
      <c r="D340" s="733"/>
      <c r="E340" s="733"/>
      <c r="F340" s="730"/>
      <c r="G340" s="734"/>
      <c r="H340" s="20"/>
      <c r="I340" s="14"/>
    </row>
    <row r="341" spans="1:9" s="57" customFormat="1" x14ac:dyDescent="0.2">
      <c r="A341" s="55"/>
      <c r="B341" s="43"/>
      <c r="C341" s="56"/>
      <c r="D341" s="733"/>
      <c r="E341" s="733"/>
      <c r="F341" s="730"/>
      <c r="G341" s="734"/>
      <c r="H341" s="20"/>
      <c r="I341" s="14"/>
    </row>
    <row r="342" spans="1:9" s="57" customFormat="1" x14ac:dyDescent="0.2">
      <c r="A342" s="55"/>
      <c r="B342" s="43"/>
      <c r="C342" s="56"/>
      <c r="D342" s="733"/>
      <c r="E342" s="733"/>
      <c r="F342" s="730"/>
      <c r="G342" s="734"/>
      <c r="H342" s="20"/>
      <c r="I342" s="14"/>
    </row>
    <row r="343" spans="1:9" s="57" customFormat="1" x14ac:dyDescent="0.2">
      <c r="A343" s="55"/>
      <c r="B343" s="43"/>
      <c r="C343" s="56"/>
      <c r="D343" s="733"/>
      <c r="E343" s="733"/>
      <c r="F343" s="730"/>
      <c r="G343" s="734"/>
      <c r="H343" s="20"/>
      <c r="I343" s="14"/>
    </row>
    <row r="344" spans="1:9" s="57" customFormat="1" x14ac:dyDescent="0.2">
      <c r="A344" s="55"/>
      <c r="B344" s="43"/>
      <c r="C344" s="56"/>
      <c r="D344" s="733"/>
      <c r="E344" s="733"/>
      <c r="F344" s="730"/>
      <c r="G344" s="734"/>
      <c r="H344" s="20"/>
      <c r="I344" s="14"/>
    </row>
    <row r="345" spans="1:9" s="57" customFormat="1" x14ac:dyDescent="0.2">
      <c r="A345" s="55"/>
      <c r="B345" s="43"/>
      <c r="C345" s="56"/>
      <c r="D345" s="733"/>
      <c r="E345" s="733"/>
      <c r="F345" s="730"/>
      <c r="G345" s="734"/>
      <c r="H345" s="20"/>
      <c r="I345" s="14"/>
    </row>
    <row r="346" spans="1:9" s="57" customFormat="1" x14ac:dyDescent="0.2">
      <c r="A346" s="55"/>
      <c r="B346" s="43"/>
      <c r="C346" s="56"/>
      <c r="D346" s="733"/>
      <c r="E346" s="733"/>
      <c r="F346" s="730"/>
      <c r="G346" s="734"/>
      <c r="H346" s="20"/>
      <c r="I346" s="14"/>
    </row>
    <row r="347" spans="1:9" s="57" customFormat="1" x14ac:dyDescent="0.2">
      <c r="A347" s="55"/>
      <c r="B347" s="43"/>
      <c r="C347" s="56"/>
      <c r="D347" s="733"/>
      <c r="E347" s="733"/>
      <c r="F347" s="730"/>
      <c r="G347" s="734"/>
      <c r="H347" s="20"/>
      <c r="I347" s="14"/>
    </row>
    <row r="348" spans="1:9" s="57" customFormat="1" x14ac:dyDescent="0.2">
      <c r="A348" s="55"/>
      <c r="B348" s="43"/>
      <c r="C348" s="56"/>
      <c r="D348" s="733"/>
      <c r="E348" s="733"/>
      <c r="F348" s="730"/>
      <c r="G348" s="734"/>
      <c r="H348" s="20"/>
      <c r="I348" s="14"/>
    </row>
    <row r="349" spans="1:9" s="57" customFormat="1" x14ac:dyDescent="0.2">
      <c r="A349" s="55"/>
      <c r="B349" s="43"/>
      <c r="C349" s="56"/>
      <c r="D349" s="733"/>
      <c r="E349" s="733"/>
      <c r="F349" s="730"/>
      <c r="G349" s="734"/>
      <c r="H349" s="20"/>
      <c r="I349" s="14"/>
    </row>
    <row r="350" spans="1:9" s="57" customFormat="1" x14ac:dyDescent="0.2">
      <c r="A350" s="55"/>
      <c r="B350" s="43"/>
      <c r="C350" s="56"/>
      <c r="D350" s="733"/>
      <c r="E350" s="733"/>
      <c r="F350" s="730"/>
      <c r="G350" s="734"/>
      <c r="H350" s="20"/>
      <c r="I350" s="14"/>
    </row>
    <row r="351" spans="1:9" s="57" customFormat="1" x14ac:dyDescent="0.2">
      <c r="A351" s="55"/>
      <c r="B351" s="43"/>
      <c r="C351" s="56"/>
      <c r="D351" s="733"/>
      <c r="E351" s="733"/>
      <c r="F351" s="730"/>
      <c r="G351" s="734"/>
      <c r="H351" s="20"/>
      <c r="I351" s="14"/>
    </row>
    <row r="352" spans="1:9" s="57" customFormat="1" x14ac:dyDescent="0.2">
      <c r="A352" s="55"/>
      <c r="B352" s="43"/>
      <c r="C352" s="56"/>
      <c r="D352" s="733"/>
      <c r="E352" s="733"/>
      <c r="F352" s="730"/>
      <c r="G352" s="734"/>
      <c r="H352" s="20"/>
      <c r="I352" s="14"/>
    </row>
    <row r="353" spans="1:9" s="57" customFormat="1" x14ac:dyDescent="0.2">
      <c r="A353" s="55"/>
      <c r="B353" s="43"/>
      <c r="C353" s="56"/>
      <c r="D353" s="733"/>
      <c r="E353" s="733"/>
      <c r="F353" s="730"/>
      <c r="G353" s="734"/>
      <c r="H353" s="20"/>
      <c r="I353" s="14"/>
    </row>
    <row r="354" spans="1:9" s="57" customFormat="1" x14ac:dyDescent="0.2">
      <c r="A354" s="55"/>
      <c r="B354" s="43"/>
      <c r="C354" s="56"/>
      <c r="D354" s="733"/>
      <c r="E354" s="733"/>
      <c r="F354" s="730"/>
      <c r="G354" s="734"/>
      <c r="H354" s="20"/>
      <c r="I354" s="14"/>
    </row>
    <row r="355" spans="1:9" s="57" customFormat="1" x14ac:dyDescent="0.2">
      <c r="A355" s="55"/>
      <c r="B355" s="43"/>
      <c r="C355" s="56"/>
      <c r="D355" s="733"/>
      <c r="E355" s="733"/>
      <c r="F355" s="730"/>
      <c r="G355" s="734"/>
      <c r="H355" s="20"/>
      <c r="I355" s="14"/>
    </row>
    <row r="356" spans="1:9" s="57" customFormat="1" x14ac:dyDescent="0.2">
      <c r="A356" s="55"/>
      <c r="B356" s="43"/>
      <c r="C356" s="56"/>
      <c r="D356" s="733"/>
      <c r="E356" s="733"/>
      <c r="F356" s="730"/>
      <c r="G356" s="734"/>
      <c r="H356" s="20"/>
      <c r="I356" s="14"/>
    </row>
    <row r="357" spans="1:9" s="57" customFormat="1" x14ac:dyDescent="0.2">
      <c r="A357" s="55"/>
      <c r="B357" s="43"/>
      <c r="C357" s="56"/>
      <c r="D357" s="733"/>
      <c r="E357" s="733"/>
      <c r="F357" s="730"/>
      <c r="G357" s="734"/>
      <c r="H357" s="20"/>
      <c r="I357" s="14"/>
    </row>
    <row r="358" spans="1:9" s="57" customFormat="1" x14ac:dyDescent="0.2">
      <c r="A358" s="55"/>
      <c r="B358" s="43"/>
      <c r="C358" s="56"/>
      <c r="D358" s="733"/>
      <c r="E358" s="733"/>
      <c r="F358" s="730"/>
      <c r="G358" s="734"/>
      <c r="H358" s="20"/>
      <c r="I358" s="14"/>
    </row>
    <row r="359" spans="1:9" s="57" customFormat="1" x14ac:dyDescent="0.2">
      <c r="A359" s="55"/>
      <c r="B359" s="43"/>
      <c r="C359" s="56"/>
      <c r="D359" s="733"/>
      <c r="E359" s="733"/>
      <c r="F359" s="730"/>
      <c r="G359" s="734"/>
      <c r="H359" s="20"/>
      <c r="I359" s="14"/>
    </row>
    <row r="360" spans="1:9" s="57" customFormat="1" x14ac:dyDescent="0.2">
      <c r="A360" s="55"/>
      <c r="B360" s="43"/>
      <c r="C360" s="56"/>
      <c r="D360" s="733"/>
      <c r="E360" s="733"/>
      <c r="F360" s="730"/>
      <c r="G360" s="734"/>
      <c r="H360" s="20"/>
      <c r="I360" s="14"/>
    </row>
    <row r="361" spans="1:9" s="57" customFormat="1" x14ac:dyDescent="0.2">
      <c r="A361" s="55"/>
      <c r="B361" s="43"/>
      <c r="C361" s="56"/>
      <c r="D361" s="733"/>
      <c r="E361" s="733"/>
      <c r="F361" s="730"/>
      <c r="G361" s="734"/>
      <c r="H361" s="20"/>
      <c r="I361" s="14"/>
    </row>
    <row r="362" spans="1:9" s="57" customFormat="1" x14ac:dyDescent="0.2">
      <c r="A362" s="55"/>
      <c r="B362" s="43"/>
      <c r="C362" s="56"/>
      <c r="D362" s="733"/>
      <c r="E362" s="733"/>
      <c r="F362" s="730"/>
      <c r="G362" s="734"/>
      <c r="H362" s="20"/>
      <c r="I362" s="14"/>
    </row>
    <row r="363" spans="1:9" s="57" customFormat="1" x14ac:dyDescent="0.2">
      <c r="A363" s="55"/>
      <c r="B363" s="43"/>
      <c r="C363" s="56"/>
      <c r="D363" s="733"/>
      <c r="E363" s="733"/>
      <c r="F363" s="730"/>
      <c r="G363" s="734"/>
      <c r="H363" s="20"/>
      <c r="I363" s="14"/>
    </row>
    <row r="364" spans="1:9" s="57" customFormat="1" x14ac:dyDescent="0.2">
      <c r="A364" s="55"/>
      <c r="B364" s="43"/>
      <c r="C364" s="56"/>
      <c r="D364" s="733"/>
      <c r="E364" s="733"/>
      <c r="F364" s="730"/>
      <c r="G364" s="734"/>
      <c r="H364" s="20"/>
      <c r="I364" s="14"/>
    </row>
    <row r="365" spans="1:9" s="57" customFormat="1" x14ac:dyDescent="0.2">
      <c r="A365" s="55"/>
      <c r="B365" s="43"/>
      <c r="C365" s="56"/>
      <c r="D365" s="733"/>
      <c r="E365" s="733"/>
      <c r="F365" s="730"/>
      <c r="G365" s="734"/>
      <c r="H365" s="20"/>
      <c r="I365" s="14"/>
    </row>
    <row r="366" spans="1:9" s="57" customFormat="1" x14ac:dyDescent="0.2">
      <c r="A366" s="55"/>
      <c r="B366" s="43"/>
      <c r="C366" s="56"/>
      <c r="D366" s="733"/>
      <c r="E366" s="733"/>
      <c r="F366" s="730"/>
      <c r="G366" s="734"/>
      <c r="H366" s="20"/>
      <c r="I366" s="14"/>
    </row>
    <row r="367" spans="1:9" s="57" customFormat="1" x14ac:dyDescent="0.2">
      <c r="A367" s="55"/>
      <c r="B367" s="43"/>
      <c r="C367" s="56"/>
      <c r="D367" s="733"/>
      <c r="E367" s="733"/>
      <c r="F367" s="730"/>
      <c r="G367" s="734"/>
      <c r="H367" s="20"/>
      <c r="I367" s="14"/>
    </row>
    <row r="368" spans="1:9" s="57" customFormat="1" x14ac:dyDescent="0.2">
      <c r="A368" s="55"/>
      <c r="B368" s="43"/>
      <c r="C368" s="56"/>
      <c r="D368" s="733"/>
      <c r="E368" s="733"/>
      <c r="F368" s="730"/>
      <c r="G368" s="734"/>
      <c r="H368" s="20"/>
      <c r="I368" s="14"/>
    </row>
    <row r="369" spans="1:9" s="57" customFormat="1" x14ac:dyDescent="0.2">
      <c r="A369" s="55"/>
      <c r="B369" s="43"/>
      <c r="C369" s="56"/>
      <c r="D369" s="733"/>
      <c r="E369" s="733"/>
      <c r="F369" s="730"/>
      <c r="G369" s="734"/>
      <c r="H369" s="20"/>
      <c r="I369" s="14"/>
    </row>
    <row r="370" spans="1:9" s="57" customFormat="1" x14ac:dyDescent="0.2">
      <c r="A370" s="55"/>
      <c r="B370" s="43"/>
      <c r="C370" s="56"/>
      <c r="D370" s="733"/>
      <c r="E370" s="733"/>
      <c r="F370" s="730"/>
      <c r="G370" s="734"/>
      <c r="H370" s="20"/>
      <c r="I370" s="14"/>
    </row>
    <row r="371" spans="1:9" s="57" customFormat="1" x14ac:dyDescent="0.2">
      <c r="A371" s="55"/>
      <c r="B371" s="43"/>
      <c r="C371" s="56"/>
      <c r="D371" s="733"/>
      <c r="E371" s="733"/>
      <c r="F371" s="730"/>
      <c r="G371" s="734"/>
      <c r="H371" s="20"/>
      <c r="I371" s="14"/>
    </row>
    <row r="372" spans="1:9" s="57" customFormat="1" x14ac:dyDescent="0.2">
      <c r="A372" s="55"/>
      <c r="B372" s="43"/>
      <c r="C372" s="56"/>
      <c r="D372" s="733"/>
      <c r="E372" s="733"/>
      <c r="F372" s="730"/>
      <c r="G372" s="734"/>
      <c r="H372" s="20"/>
      <c r="I372" s="14"/>
    </row>
    <row r="373" spans="1:9" s="57" customFormat="1" x14ac:dyDescent="0.2">
      <c r="A373" s="55"/>
      <c r="B373" s="43"/>
      <c r="C373" s="56"/>
      <c r="D373" s="733"/>
      <c r="E373" s="733"/>
      <c r="F373" s="730"/>
      <c r="G373" s="734"/>
      <c r="H373" s="20"/>
      <c r="I373" s="14"/>
    </row>
    <row r="374" spans="1:9" s="57" customFormat="1" x14ac:dyDescent="0.2">
      <c r="A374" s="55"/>
      <c r="B374" s="43"/>
      <c r="C374" s="56"/>
      <c r="D374" s="733"/>
      <c r="E374" s="733"/>
      <c r="F374" s="730"/>
      <c r="G374" s="734"/>
      <c r="H374" s="20"/>
      <c r="I374" s="14"/>
    </row>
    <row r="375" spans="1:9" s="57" customFormat="1" x14ac:dyDescent="0.2">
      <c r="A375" s="55"/>
      <c r="B375" s="43"/>
      <c r="C375" s="56"/>
      <c r="D375" s="733"/>
      <c r="E375" s="733"/>
      <c r="F375" s="730"/>
      <c r="G375" s="734"/>
      <c r="H375" s="20"/>
      <c r="I375" s="14"/>
    </row>
    <row r="376" spans="1:9" s="57" customFormat="1" x14ac:dyDescent="0.2">
      <c r="A376" s="55"/>
      <c r="B376" s="43"/>
      <c r="C376" s="56"/>
      <c r="D376" s="733"/>
      <c r="E376" s="733"/>
      <c r="F376" s="730"/>
      <c r="G376" s="734"/>
      <c r="H376" s="20"/>
      <c r="I376" s="14"/>
    </row>
    <row r="377" spans="1:9" s="57" customFormat="1" x14ac:dyDescent="0.2">
      <c r="A377" s="55"/>
      <c r="B377" s="43"/>
      <c r="C377" s="56"/>
      <c r="D377" s="733"/>
      <c r="E377" s="733"/>
      <c r="F377" s="730"/>
      <c r="G377" s="734"/>
      <c r="H377" s="20"/>
      <c r="I377" s="14"/>
    </row>
    <row r="378" spans="1:9" s="57" customFormat="1" x14ac:dyDescent="0.2">
      <c r="A378" s="55"/>
      <c r="B378" s="43"/>
      <c r="C378" s="56"/>
      <c r="D378" s="733"/>
      <c r="E378" s="733"/>
      <c r="F378" s="730"/>
      <c r="G378" s="734"/>
      <c r="H378" s="20"/>
      <c r="I378" s="14"/>
    </row>
    <row r="379" spans="1:9" s="57" customFormat="1" x14ac:dyDescent="0.2">
      <c r="A379" s="55"/>
      <c r="B379" s="43"/>
      <c r="C379" s="56"/>
      <c r="D379" s="733"/>
      <c r="E379" s="733"/>
      <c r="F379" s="730"/>
      <c r="G379" s="734"/>
      <c r="H379" s="20"/>
      <c r="I379" s="14"/>
    </row>
    <row r="380" spans="1:9" s="57" customFormat="1" x14ac:dyDescent="0.2">
      <c r="A380" s="55"/>
      <c r="B380" s="43"/>
      <c r="C380" s="56"/>
      <c r="D380" s="733"/>
      <c r="E380" s="733"/>
      <c r="F380" s="730"/>
      <c r="G380" s="734"/>
      <c r="H380" s="20"/>
      <c r="I380" s="14"/>
    </row>
    <row r="381" spans="1:9" s="57" customFormat="1" x14ac:dyDescent="0.2">
      <c r="A381" s="55"/>
      <c r="B381" s="43"/>
      <c r="C381" s="56"/>
      <c r="D381" s="733"/>
      <c r="E381" s="733"/>
      <c r="F381" s="730"/>
      <c r="G381" s="734"/>
      <c r="H381" s="20"/>
      <c r="I381" s="14"/>
    </row>
    <row r="382" spans="1:9" s="57" customFormat="1" x14ac:dyDescent="0.2">
      <c r="A382" s="55"/>
      <c r="B382" s="43"/>
      <c r="C382" s="56"/>
      <c r="D382" s="733"/>
      <c r="E382" s="733"/>
      <c r="F382" s="730"/>
      <c r="G382" s="734"/>
      <c r="H382" s="20"/>
      <c r="I382" s="14"/>
    </row>
    <row r="383" spans="1:9" s="57" customFormat="1" x14ac:dyDescent="0.2">
      <c r="A383" s="55"/>
      <c r="B383" s="43"/>
      <c r="C383" s="56"/>
      <c r="D383" s="733"/>
      <c r="E383" s="733"/>
      <c r="F383" s="730"/>
      <c r="G383" s="734"/>
      <c r="H383" s="20"/>
      <c r="I383" s="14"/>
    </row>
    <row r="384" spans="1:9" s="57" customFormat="1" x14ac:dyDescent="0.2">
      <c r="A384" s="55"/>
      <c r="B384" s="43"/>
      <c r="C384" s="56"/>
      <c r="D384" s="733"/>
      <c r="E384" s="733"/>
      <c r="F384" s="730"/>
      <c r="G384" s="734"/>
      <c r="H384" s="20"/>
      <c r="I384" s="14"/>
    </row>
    <row r="385" spans="1:9" s="57" customFormat="1" x14ac:dyDescent="0.2">
      <c r="A385" s="55"/>
      <c r="B385" s="43"/>
      <c r="C385" s="56"/>
      <c r="D385" s="733"/>
      <c r="E385" s="733"/>
      <c r="F385" s="730"/>
      <c r="G385" s="734"/>
      <c r="H385" s="20"/>
      <c r="I385" s="14"/>
    </row>
    <row r="386" spans="1:9" s="57" customFormat="1" x14ac:dyDescent="0.2">
      <c r="A386" s="55"/>
      <c r="B386" s="43"/>
      <c r="C386" s="56"/>
      <c r="D386" s="733"/>
      <c r="E386" s="733"/>
      <c r="F386" s="730"/>
      <c r="G386" s="734"/>
      <c r="H386" s="20"/>
      <c r="I386" s="14"/>
    </row>
    <row r="387" spans="1:9" s="57" customFormat="1" x14ac:dyDescent="0.2">
      <c r="A387" s="55"/>
      <c r="B387" s="43"/>
      <c r="C387" s="56"/>
      <c r="D387" s="733"/>
      <c r="E387" s="733"/>
      <c r="F387" s="730"/>
      <c r="G387" s="734"/>
      <c r="H387" s="20"/>
      <c r="I387" s="14"/>
    </row>
    <row r="388" spans="1:9" s="57" customFormat="1" x14ac:dyDescent="0.2">
      <c r="A388" s="55"/>
      <c r="B388" s="43"/>
      <c r="C388" s="56"/>
      <c r="D388" s="733"/>
      <c r="E388" s="733"/>
      <c r="F388" s="730"/>
      <c r="G388" s="734"/>
      <c r="H388" s="20"/>
      <c r="I388" s="14"/>
    </row>
    <row r="389" spans="1:9" s="57" customFormat="1" x14ac:dyDescent="0.2">
      <c r="A389" s="55"/>
      <c r="B389" s="43"/>
      <c r="C389" s="56"/>
      <c r="D389" s="733"/>
      <c r="E389" s="733"/>
      <c r="F389" s="730"/>
      <c r="G389" s="734"/>
      <c r="H389" s="20"/>
      <c r="I389" s="14"/>
    </row>
    <row r="390" spans="1:9" s="57" customFormat="1" x14ac:dyDescent="0.2">
      <c r="A390" s="55"/>
      <c r="B390" s="43"/>
      <c r="C390" s="56"/>
      <c r="D390" s="733"/>
      <c r="E390" s="733"/>
      <c r="F390" s="730"/>
      <c r="G390" s="734"/>
      <c r="H390" s="20"/>
      <c r="I390" s="14"/>
    </row>
    <row r="391" spans="1:9" s="57" customFormat="1" x14ac:dyDescent="0.2">
      <c r="A391" s="55"/>
      <c r="B391" s="43"/>
      <c r="C391" s="56"/>
      <c r="D391" s="733"/>
      <c r="E391" s="733"/>
      <c r="F391" s="730"/>
      <c r="G391" s="734"/>
      <c r="H391" s="20"/>
      <c r="I391" s="14"/>
    </row>
    <row r="392" spans="1:9" s="57" customFormat="1" x14ac:dyDescent="0.2">
      <c r="A392" s="55"/>
      <c r="B392" s="43"/>
      <c r="C392" s="56"/>
      <c r="D392" s="733"/>
      <c r="E392" s="733"/>
      <c r="F392" s="730"/>
      <c r="G392" s="734"/>
      <c r="H392" s="20"/>
      <c r="I392" s="14"/>
    </row>
    <row r="393" spans="1:9" s="57" customFormat="1" x14ac:dyDescent="0.2">
      <c r="A393" s="55"/>
      <c r="B393" s="43"/>
      <c r="C393" s="56"/>
      <c r="D393" s="733"/>
      <c r="E393" s="733"/>
      <c r="F393" s="730"/>
      <c r="G393" s="734"/>
      <c r="H393" s="20"/>
      <c r="I393" s="14"/>
    </row>
    <row r="394" spans="1:9" s="57" customFormat="1" x14ac:dyDescent="0.2">
      <c r="A394" s="55"/>
      <c r="B394" s="43"/>
      <c r="C394" s="56"/>
      <c r="D394" s="733"/>
      <c r="E394" s="733"/>
      <c r="F394" s="730"/>
      <c r="G394" s="734"/>
      <c r="H394" s="20"/>
      <c r="I394" s="14"/>
    </row>
    <row r="395" spans="1:9" s="57" customFormat="1" x14ac:dyDescent="0.2">
      <c r="A395" s="55"/>
      <c r="B395" s="43"/>
      <c r="C395" s="56"/>
      <c r="D395" s="733"/>
      <c r="E395" s="733"/>
      <c r="F395" s="730"/>
      <c r="G395" s="734"/>
      <c r="H395" s="20"/>
      <c r="I395" s="14"/>
    </row>
    <row r="396" spans="1:9" s="57" customFormat="1" x14ac:dyDescent="0.2">
      <c r="A396" s="55"/>
      <c r="B396" s="43"/>
      <c r="C396" s="56"/>
      <c r="D396" s="733"/>
      <c r="E396" s="733"/>
      <c r="F396" s="730"/>
      <c r="G396" s="734"/>
      <c r="H396" s="20"/>
      <c r="I396" s="14"/>
    </row>
    <row r="397" spans="1:9" s="57" customFormat="1" x14ac:dyDescent="0.2">
      <c r="A397" s="55"/>
      <c r="B397" s="43"/>
      <c r="C397" s="56"/>
      <c r="D397" s="733"/>
      <c r="E397" s="733"/>
      <c r="F397" s="730"/>
      <c r="G397" s="734"/>
      <c r="H397" s="20"/>
      <c r="I397" s="14"/>
    </row>
    <row r="398" spans="1:9" s="57" customFormat="1" x14ac:dyDescent="0.2">
      <c r="A398" s="55"/>
      <c r="B398" s="43"/>
      <c r="C398" s="56"/>
      <c r="D398" s="733"/>
      <c r="E398" s="733"/>
      <c r="F398" s="730"/>
      <c r="G398" s="734"/>
      <c r="H398" s="20"/>
      <c r="I398" s="14"/>
    </row>
    <row r="399" spans="1:9" s="57" customFormat="1" x14ac:dyDescent="0.2">
      <c r="A399" s="55"/>
      <c r="B399" s="43"/>
      <c r="C399" s="56"/>
      <c r="D399" s="733"/>
      <c r="E399" s="733"/>
      <c r="F399" s="730"/>
      <c r="G399" s="734"/>
      <c r="H399" s="20"/>
      <c r="I399" s="14"/>
    </row>
    <row r="400" spans="1:9" s="57" customFormat="1" x14ac:dyDescent="0.2">
      <c r="A400" s="55"/>
      <c r="B400" s="43"/>
      <c r="C400" s="56"/>
      <c r="D400" s="733"/>
      <c r="E400" s="733"/>
      <c r="F400" s="730"/>
      <c r="G400" s="734"/>
      <c r="H400" s="20"/>
      <c r="I400" s="14"/>
    </row>
    <row r="401" spans="1:9" s="57" customFormat="1" x14ac:dyDescent="0.2">
      <c r="A401" s="79"/>
      <c r="B401" s="79"/>
      <c r="C401" s="43"/>
      <c r="D401" s="730"/>
      <c r="E401" s="730"/>
      <c r="F401" s="730"/>
      <c r="G401" s="734"/>
      <c r="H401" s="20"/>
      <c r="I401" s="14"/>
    </row>
    <row r="402" spans="1:9" s="57" customFormat="1" x14ac:dyDescent="0.2">
      <c r="A402" s="79"/>
      <c r="B402" s="79"/>
      <c r="C402" s="43"/>
      <c r="D402" s="730"/>
      <c r="E402" s="730"/>
      <c r="F402" s="730"/>
      <c r="G402" s="734"/>
      <c r="H402" s="20"/>
      <c r="I402" s="14"/>
    </row>
    <row r="403" spans="1:9" s="57" customFormat="1" x14ac:dyDescent="0.2">
      <c r="A403" s="79"/>
      <c r="B403" s="79"/>
      <c r="C403" s="43"/>
      <c r="D403" s="730"/>
      <c r="E403" s="730"/>
      <c r="F403" s="730"/>
      <c r="G403" s="734"/>
      <c r="H403" s="20"/>
      <c r="I403" s="14"/>
    </row>
    <row r="404" spans="1:9" s="57" customFormat="1" x14ac:dyDescent="0.2">
      <c r="A404" s="79"/>
      <c r="B404" s="79"/>
      <c r="C404" s="43"/>
      <c r="D404" s="730"/>
      <c r="E404" s="730"/>
      <c r="F404" s="730"/>
      <c r="G404" s="734"/>
      <c r="H404" s="20"/>
      <c r="I404" s="14"/>
    </row>
    <row r="405" spans="1:9" s="57" customFormat="1" x14ac:dyDescent="0.2">
      <c r="A405" s="79"/>
      <c r="B405" s="79"/>
      <c r="C405" s="43"/>
      <c r="D405" s="730"/>
      <c r="E405" s="730"/>
      <c r="F405" s="730"/>
      <c r="G405" s="734"/>
      <c r="H405" s="20"/>
      <c r="I405" s="14"/>
    </row>
    <row r="406" spans="1:9" s="57" customFormat="1" x14ac:dyDescent="0.2">
      <c r="A406" s="79"/>
      <c r="B406" s="79"/>
      <c r="C406" s="43"/>
      <c r="D406" s="730"/>
      <c r="E406" s="730"/>
      <c r="F406" s="730"/>
      <c r="G406" s="734"/>
      <c r="H406" s="20"/>
      <c r="I406" s="14"/>
    </row>
    <row r="407" spans="1:9" s="57" customFormat="1" x14ac:dyDescent="0.2">
      <c r="A407" s="79"/>
      <c r="B407" s="79"/>
      <c r="C407" s="43"/>
      <c r="D407" s="730"/>
      <c r="E407" s="730"/>
      <c r="F407" s="730"/>
      <c r="G407" s="734"/>
      <c r="H407" s="20"/>
      <c r="I407" s="14"/>
    </row>
    <row r="408" spans="1:9" s="57" customFormat="1" x14ac:dyDescent="0.2">
      <c r="A408" s="79"/>
      <c r="B408" s="79"/>
      <c r="C408" s="43"/>
      <c r="D408" s="730"/>
      <c r="E408" s="730"/>
      <c r="F408" s="730"/>
      <c r="G408" s="734"/>
      <c r="H408" s="20"/>
      <c r="I408" s="14"/>
    </row>
    <row r="409" spans="1:9" s="57" customFormat="1" x14ac:dyDescent="0.2">
      <c r="A409" s="79"/>
      <c r="B409" s="79"/>
      <c r="C409" s="43"/>
      <c r="D409" s="730"/>
      <c r="E409" s="730"/>
      <c r="F409" s="730"/>
      <c r="G409" s="734"/>
      <c r="H409" s="20"/>
      <c r="I409" s="14"/>
    </row>
    <row r="410" spans="1:9" s="57" customFormat="1" x14ac:dyDescent="0.2">
      <c r="A410" s="79"/>
      <c r="B410" s="79"/>
      <c r="C410" s="43"/>
      <c r="D410" s="730"/>
      <c r="E410" s="730"/>
      <c r="F410" s="730"/>
      <c r="G410" s="734"/>
      <c r="H410" s="20"/>
      <c r="I410" s="14"/>
    </row>
    <row r="411" spans="1:9" s="57" customFormat="1" x14ac:dyDescent="0.2">
      <c r="A411" s="79"/>
      <c r="B411" s="79"/>
      <c r="C411" s="43"/>
      <c r="D411" s="730"/>
      <c r="E411" s="730"/>
      <c r="F411" s="730"/>
      <c r="G411" s="734"/>
      <c r="H411" s="20"/>
      <c r="I411" s="14"/>
    </row>
    <row r="412" spans="1:9" s="57" customFormat="1" x14ac:dyDescent="0.2">
      <c r="A412" s="79"/>
      <c r="B412" s="79"/>
      <c r="C412" s="43"/>
      <c r="D412" s="730"/>
      <c r="E412" s="730"/>
      <c r="F412" s="730"/>
      <c r="G412" s="734"/>
      <c r="H412" s="20"/>
      <c r="I412" s="14"/>
    </row>
    <row r="413" spans="1:9" s="57" customFormat="1" x14ac:dyDescent="0.2">
      <c r="A413" s="79"/>
      <c r="B413" s="79"/>
      <c r="C413" s="43"/>
      <c r="D413" s="730"/>
      <c r="E413" s="730"/>
      <c r="F413" s="730"/>
      <c r="G413" s="734"/>
      <c r="H413" s="20"/>
      <c r="I413" s="14"/>
    </row>
    <row r="414" spans="1:9" s="57" customFormat="1" x14ac:dyDescent="0.2">
      <c r="A414" s="79"/>
      <c r="B414" s="79"/>
      <c r="C414" s="43"/>
      <c r="D414" s="730"/>
      <c r="E414" s="730"/>
      <c r="F414" s="730"/>
      <c r="G414" s="734"/>
      <c r="H414" s="20"/>
      <c r="I414" s="14"/>
    </row>
    <row r="415" spans="1:9" s="57" customFormat="1" x14ac:dyDescent="0.2">
      <c r="A415" s="79"/>
      <c r="B415" s="79"/>
      <c r="C415" s="43"/>
      <c r="D415" s="730"/>
      <c r="E415" s="730"/>
      <c r="F415" s="730"/>
      <c r="G415" s="734"/>
      <c r="H415" s="20"/>
      <c r="I415" s="14"/>
    </row>
    <row r="416" spans="1:9" s="57" customFormat="1" x14ac:dyDescent="0.2">
      <c r="A416" s="79"/>
      <c r="B416" s="79"/>
      <c r="C416" s="43"/>
      <c r="D416" s="730"/>
      <c r="E416" s="730"/>
      <c r="F416" s="730"/>
      <c r="G416" s="734"/>
      <c r="H416" s="20"/>
      <c r="I416" s="14"/>
    </row>
    <row r="417" spans="1:9" s="57" customFormat="1" x14ac:dyDescent="0.2">
      <c r="A417" s="79"/>
      <c r="B417" s="79"/>
      <c r="C417" s="43"/>
      <c r="D417" s="730"/>
      <c r="E417" s="730"/>
      <c r="F417" s="730"/>
      <c r="G417" s="734"/>
      <c r="H417" s="20"/>
      <c r="I417" s="14"/>
    </row>
    <row r="418" spans="1:9" s="57" customFormat="1" x14ac:dyDescent="0.2">
      <c r="A418" s="79"/>
      <c r="B418" s="79"/>
      <c r="C418" s="43"/>
      <c r="D418" s="730"/>
      <c r="E418" s="730"/>
      <c r="F418" s="730"/>
      <c r="G418" s="734"/>
      <c r="H418" s="20"/>
      <c r="I418" s="14"/>
    </row>
    <row r="419" spans="1:9" s="57" customFormat="1" x14ac:dyDescent="0.2">
      <c r="A419" s="79"/>
      <c r="B419" s="79"/>
      <c r="C419" s="43"/>
      <c r="D419" s="730"/>
      <c r="E419" s="730"/>
      <c r="F419" s="730"/>
      <c r="G419" s="734"/>
      <c r="H419" s="20"/>
      <c r="I419" s="14"/>
    </row>
    <row r="420" spans="1:9" s="57" customFormat="1" x14ac:dyDescent="0.2">
      <c r="A420" s="79"/>
      <c r="B420" s="79"/>
      <c r="C420" s="43"/>
      <c r="D420" s="730"/>
      <c r="E420" s="730"/>
      <c r="F420" s="730"/>
      <c r="G420" s="734"/>
      <c r="H420" s="20"/>
      <c r="I420" s="14"/>
    </row>
    <row r="421" spans="1:9" s="57" customFormat="1" x14ac:dyDescent="0.2">
      <c r="A421" s="79"/>
      <c r="B421" s="79"/>
      <c r="C421" s="43"/>
      <c r="D421" s="730"/>
      <c r="E421" s="730"/>
      <c r="F421" s="730"/>
      <c r="G421" s="734"/>
      <c r="H421" s="20"/>
      <c r="I421" s="14"/>
    </row>
    <row r="422" spans="1:9" s="57" customFormat="1" x14ac:dyDescent="0.2">
      <c r="A422" s="79"/>
      <c r="B422" s="79"/>
      <c r="C422" s="43"/>
      <c r="D422" s="730"/>
      <c r="E422" s="730"/>
      <c r="F422" s="730"/>
      <c r="G422" s="734"/>
      <c r="H422" s="20"/>
      <c r="I422" s="14"/>
    </row>
    <row r="423" spans="1:9" s="57" customFormat="1" x14ac:dyDescent="0.2">
      <c r="A423" s="79"/>
      <c r="B423" s="79"/>
      <c r="C423" s="43"/>
      <c r="D423" s="730"/>
      <c r="E423" s="730"/>
      <c r="F423" s="730"/>
      <c r="G423" s="734"/>
      <c r="H423" s="20"/>
      <c r="I423" s="14"/>
    </row>
    <row r="424" spans="1:9" s="57" customFormat="1" x14ac:dyDescent="0.2">
      <c r="A424" s="79"/>
      <c r="B424" s="79"/>
      <c r="C424" s="43"/>
      <c r="D424" s="730"/>
      <c r="E424" s="730"/>
      <c r="F424" s="730"/>
      <c r="G424" s="734"/>
      <c r="H424" s="20"/>
      <c r="I424" s="14"/>
    </row>
    <row r="425" spans="1:9" s="57" customFormat="1" x14ac:dyDescent="0.2">
      <c r="A425" s="79"/>
      <c r="B425" s="79"/>
      <c r="C425" s="43"/>
      <c r="D425" s="730"/>
      <c r="E425" s="730"/>
      <c r="F425" s="730"/>
      <c r="G425" s="734"/>
      <c r="H425" s="20"/>
      <c r="I425" s="14"/>
    </row>
    <row r="426" spans="1:9" s="57" customFormat="1" x14ac:dyDescent="0.2">
      <c r="A426" s="79"/>
      <c r="B426" s="79"/>
      <c r="C426" s="43"/>
      <c r="D426" s="730"/>
      <c r="E426" s="730"/>
      <c r="F426" s="730"/>
      <c r="G426" s="734"/>
      <c r="H426" s="20"/>
      <c r="I426" s="14"/>
    </row>
    <row r="427" spans="1:9" s="57" customFormat="1" x14ac:dyDescent="0.2">
      <c r="A427" s="79"/>
      <c r="B427" s="79"/>
      <c r="C427" s="43"/>
      <c r="D427" s="730"/>
      <c r="E427" s="730"/>
      <c r="F427" s="730"/>
      <c r="G427" s="734"/>
      <c r="H427" s="20"/>
      <c r="I427" s="14"/>
    </row>
    <row r="428" spans="1:9" s="57" customFormat="1" x14ac:dyDescent="0.2">
      <c r="A428" s="79"/>
      <c r="B428" s="79"/>
      <c r="C428" s="43"/>
      <c r="D428" s="730"/>
      <c r="E428" s="730"/>
      <c r="F428" s="730"/>
      <c r="G428" s="734"/>
      <c r="H428" s="20"/>
      <c r="I428" s="14"/>
    </row>
    <row r="429" spans="1:9" s="57" customFormat="1" x14ac:dyDescent="0.2">
      <c r="A429" s="79"/>
      <c r="B429" s="79"/>
      <c r="C429" s="43"/>
      <c r="D429" s="730"/>
      <c r="E429" s="730"/>
      <c r="F429" s="730"/>
      <c r="G429" s="734"/>
      <c r="H429" s="20"/>
      <c r="I429" s="14"/>
    </row>
    <row r="430" spans="1:9" s="57" customFormat="1" x14ac:dyDescent="0.2">
      <c r="A430" s="79"/>
      <c r="B430" s="79"/>
      <c r="C430" s="43"/>
      <c r="D430" s="730"/>
      <c r="E430" s="730"/>
      <c r="F430" s="730"/>
      <c r="G430" s="734"/>
      <c r="H430" s="20"/>
      <c r="I430" s="14"/>
    </row>
    <row r="431" spans="1:9" s="57" customFormat="1" x14ac:dyDescent="0.2">
      <c r="A431" s="79"/>
      <c r="B431" s="79"/>
      <c r="C431" s="43"/>
      <c r="D431" s="730"/>
      <c r="E431" s="730"/>
      <c r="F431" s="730"/>
      <c r="G431" s="734"/>
      <c r="H431" s="20"/>
      <c r="I431" s="14"/>
    </row>
    <row r="432" spans="1:9" s="57" customFormat="1" x14ac:dyDescent="0.2">
      <c r="A432" s="79"/>
      <c r="B432" s="79"/>
      <c r="C432" s="43"/>
      <c r="D432" s="730"/>
      <c r="E432" s="730"/>
      <c r="F432" s="730"/>
      <c r="G432" s="734"/>
      <c r="H432" s="20"/>
      <c r="I432" s="14"/>
    </row>
    <row r="433" spans="1:9" s="57" customFormat="1" x14ac:dyDescent="0.2">
      <c r="A433" s="79"/>
      <c r="B433" s="79"/>
      <c r="C433" s="43"/>
      <c r="D433" s="730"/>
      <c r="E433" s="730"/>
      <c r="F433" s="730"/>
      <c r="G433" s="734"/>
      <c r="H433" s="20"/>
      <c r="I433" s="14"/>
    </row>
    <row r="434" spans="1:9" s="57" customFormat="1" x14ac:dyDescent="0.2">
      <c r="A434" s="79"/>
      <c r="B434" s="79"/>
      <c r="C434" s="43"/>
      <c r="D434" s="730"/>
      <c r="E434" s="730"/>
      <c r="F434" s="730"/>
      <c r="G434" s="734"/>
      <c r="H434" s="20"/>
      <c r="I434" s="14"/>
    </row>
    <row r="435" spans="1:9" s="57" customFormat="1" x14ac:dyDescent="0.2">
      <c r="A435" s="79"/>
      <c r="B435" s="79"/>
      <c r="C435" s="43"/>
      <c r="D435" s="730"/>
      <c r="E435" s="730"/>
      <c r="F435" s="730"/>
      <c r="G435" s="734"/>
      <c r="H435" s="20"/>
      <c r="I435" s="14"/>
    </row>
    <row r="436" spans="1:9" s="57" customFormat="1" x14ac:dyDescent="0.2">
      <c r="A436" s="79"/>
      <c r="B436" s="79"/>
      <c r="C436" s="43"/>
      <c r="D436" s="730"/>
      <c r="E436" s="730"/>
      <c r="F436" s="730"/>
      <c r="G436" s="734"/>
      <c r="H436" s="20"/>
      <c r="I436" s="14"/>
    </row>
    <row r="437" spans="1:9" s="57" customFormat="1" x14ac:dyDescent="0.2">
      <c r="A437" s="79"/>
      <c r="B437" s="79"/>
      <c r="C437" s="43"/>
      <c r="D437" s="730"/>
      <c r="E437" s="730"/>
      <c r="F437" s="730"/>
      <c r="G437" s="734"/>
      <c r="H437" s="20"/>
      <c r="I437" s="14"/>
    </row>
    <row r="438" spans="1:9" s="57" customFormat="1" x14ac:dyDescent="0.2">
      <c r="A438" s="79"/>
      <c r="B438" s="79"/>
      <c r="C438" s="43"/>
      <c r="D438" s="730"/>
      <c r="E438" s="730"/>
      <c r="F438" s="730"/>
      <c r="G438" s="734"/>
      <c r="H438" s="20"/>
      <c r="I438" s="14"/>
    </row>
    <row r="439" spans="1:9" s="57" customFormat="1" x14ac:dyDescent="0.2">
      <c r="A439" s="79"/>
      <c r="B439" s="79"/>
      <c r="C439" s="43"/>
      <c r="D439" s="730"/>
      <c r="E439" s="730"/>
      <c r="F439" s="730"/>
      <c r="G439" s="734"/>
      <c r="H439" s="20"/>
      <c r="I439" s="14"/>
    </row>
    <row r="440" spans="1:9" s="57" customFormat="1" x14ac:dyDescent="0.2">
      <c r="A440" s="79"/>
      <c r="B440" s="79"/>
      <c r="C440" s="43"/>
      <c r="D440" s="730"/>
      <c r="E440" s="730"/>
      <c r="F440" s="730"/>
      <c r="G440" s="734"/>
      <c r="H440" s="20"/>
      <c r="I440" s="14"/>
    </row>
    <row r="441" spans="1:9" s="57" customFormat="1" x14ac:dyDescent="0.2">
      <c r="A441" s="79"/>
      <c r="B441" s="79"/>
      <c r="C441" s="43"/>
      <c r="D441" s="730"/>
      <c r="E441" s="730"/>
      <c r="F441" s="730"/>
      <c r="G441" s="734"/>
      <c r="H441" s="20"/>
      <c r="I441" s="14"/>
    </row>
    <row r="442" spans="1:9" s="57" customFormat="1" x14ac:dyDescent="0.2">
      <c r="A442" s="79"/>
      <c r="B442" s="79"/>
      <c r="C442" s="43"/>
      <c r="D442" s="730"/>
      <c r="E442" s="730"/>
      <c r="F442" s="730"/>
      <c r="G442" s="734"/>
      <c r="H442" s="20"/>
      <c r="I442" s="14"/>
    </row>
    <row r="443" spans="1:9" s="57" customFormat="1" x14ac:dyDescent="0.2">
      <c r="A443" s="79"/>
      <c r="B443" s="79"/>
      <c r="C443" s="43"/>
      <c r="D443" s="730"/>
      <c r="E443" s="730"/>
      <c r="F443" s="730"/>
      <c r="G443" s="734"/>
      <c r="H443" s="20"/>
      <c r="I443" s="14"/>
    </row>
    <row r="444" spans="1:9" s="57" customFormat="1" x14ac:dyDescent="0.2">
      <c r="A444" s="79"/>
      <c r="B444" s="79"/>
      <c r="C444" s="43"/>
      <c r="D444" s="730"/>
      <c r="E444" s="730"/>
      <c r="F444" s="730"/>
      <c r="G444" s="734"/>
      <c r="H444" s="20"/>
      <c r="I444" s="14"/>
    </row>
    <row r="445" spans="1:9" s="57" customFormat="1" x14ac:dyDescent="0.2">
      <c r="A445" s="79"/>
      <c r="B445" s="79"/>
      <c r="C445" s="43"/>
      <c r="D445" s="730"/>
      <c r="E445" s="730"/>
      <c r="F445" s="730"/>
      <c r="G445" s="734"/>
      <c r="H445" s="20"/>
      <c r="I445" s="14"/>
    </row>
    <row r="446" spans="1:9" s="57" customFormat="1" x14ac:dyDescent="0.2">
      <c r="A446" s="79"/>
      <c r="B446" s="79"/>
      <c r="C446" s="43"/>
      <c r="D446" s="730"/>
      <c r="E446" s="730"/>
      <c r="F446" s="730"/>
      <c r="G446" s="734"/>
      <c r="H446" s="20"/>
      <c r="I446" s="14"/>
    </row>
    <row r="447" spans="1:9" s="57" customFormat="1" x14ac:dyDescent="0.2">
      <c r="A447" s="79"/>
      <c r="B447" s="79"/>
      <c r="C447" s="43"/>
      <c r="D447" s="730"/>
      <c r="E447" s="730"/>
      <c r="F447" s="730"/>
      <c r="G447" s="734"/>
      <c r="H447" s="20"/>
      <c r="I447" s="14"/>
    </row>
    <row r="448" spans="1:9" s="57" customFormat="1" x14ac:dyDescent="0.2">
      <c r="A448" s="79"/>
      <c r="B448" s="79"/>
      <c r="C448" s="43"/>
      <c r="D448" s="730"/>
      <c r="E448" s="730"/>
      <c r="F448" s="730"/>
      <c r="G448" s="734"/>
      <c r="H448" s="20"/>
      <c r="I448" s="14"/>
    </row>
    <row r="449" spans="1:9" s="57" customFormat="1" x14ac:dyDescent="0.2">
      <c r="A449" s="79"/>
      <c r="B449" s="79"/>
      <c r="C449" s="43"/>
      <c r="D449" s="730"/>
      <c r="E449" s="730"/>
      <c r="F449" s="730"/>
      <c r="G449" s="734"/>
      <c r="H449" s="20"/>
      <c r="I449" s="14"/>
    </row>
    <row r="450" spans="1:9" s="57" customFormat="1" x14ac:dyDescent="0.2">
      <c r="A450" s="79"/>
      <c r="B450" s="79"/>
      <c r="C450" s="43"/>
      <c r="D450" s="730"/>
      <c r="E450" s="730"/>
      <c r="F450" s="730"/>
      <c r="G450" s="734"/>
      <c r="H450" s="20"/>
      <c r="I450" s="14"/>
    </row>
    <row r="451" spans="1:9" s="57" customFormat="1" x14ac:dyDescent="0.2">
      <c r="A451" s="79"/>
      <c r="B451" s="79"/>
      <c r="C451" s="43"/>
      <c r="D451" s="730"/>
      <c r="E451" s="730"/>
      <c r="F451" s="730"/>
      <c r="G451" s="734"/>
      <c r="H451" s="20"/>
      <c r="I451" s="14"/>
    </row>
    <row r="452" spans="1:9" s="57" customFormat="1" x14ac:dyDescent="0.2">
      <c r="A452" s="79"/>
      <c r="B452" s="79"/>
      <c r="C452" s="43"/>
      <c r="D452" s="730"/>
      <c r="E452" s="730"/>
      <c r="F452" s="730"/>
      <c r="G452" s="734"/>
      <c r="H452" s="20"/>
      <c r="I452" s="14"/>
    </row>
    <row r="453" spans="1:9" s="57" customFormat="1" x14ac:dyDescent="0.2">
      <c r="A453" s="79"/>
      <c r="B453" s="79"/>
      <c r="C453" s="43"/>
      <c r="D453" s="730"/>
      <c r="E453" s="730"/>
      <c r="F453" s="730"/>
      <c r="G453" s="734"/>
      <c r="H453" s="20"/>
      <c r="I453" s="14"/>
    </row>
    <row r="454" spans="1:9" s="57" customFormat="1" x14ac:dyDescent="0.2">
      <c r="A454" s="79"/>
      <c r="B454" s="79"/>
      <c r="C454" s="43"/>
      <c r="D454" s="730"/>
      <c r="E454" s="730"/>
      <c r="F454" s="730"/>
      <c r="G454" s="734"/>
      <c r="H454" s="20"/>
      <c r="I454" s="14"/>
    </row>
    <row r="455" spans="1:9" s="57" customFormat="1" x14ac:dyDescent="0.2">
      <c r="A455" s="79"/>
      <c r="B455" s="79"/>
      <c r="C455" s="43"/>
      <c r="D455" s="730"/>
      <c r="E455" s="730"/>
      <c r="F455" s="730"/>
      <c r="G455" s="734"/>
      <c r="H455" s="20"/>
      <c r="I455" s="14"/>
    </row>
    <row r="456" spans="1:9" s="57" customFormat="1" x14ac:dyDescent="0.2">
      <c r="A456" s="79"/>
      <c r="B456" s="79"/>
      <c r="C456" s="43"/>
      <c r="D456" s="730"/>
      <c r="E456" s="730"/>
      <c r="F456" s="730"/>
      <c r="G456" s="734"/>
      <c r="H456" s="20"/>
      <c r="I456" s="14"/>
    </row>
    <row r="457" spans="1:9" s="57" customFormat="1" x14ac:dyDescent="0.2">
      <c r="A457" s="79"/>
      <c r="B457" s="79"/>
      <c r="C457" s="43"/>
      <c r="D457" s="730"/>
      <c r="E457" s="730"/>
      <c r="F457" s="730"/>
      <c r="G457" s="734"/>
      <c r="H457" s="20"/>
      <c r="I457" s="14"/>
    </row>
    <row r="458" spans="1:9" s="57" customFormat="1" x14ac:dyDescent="0.2">
      <c r="A458" s="79"/>
      <c r="B458" s="79"/>
      <c r="C458" s="43"/>
      <c r="D458" s="730"/>
      <c r="E458" s="730"/>
      <c r="F458" s="730"/>
      <c r="G458" s="734"/>
      <c r="H458" s="20"/>
      <c r="I458" s="14"/>
    </row>
    <row r="459" spans="1:9" s="57" customFormat="1" x14ac:dyDescent="0.2">
      <c r="A459" s="79"/>
      <c r="B459" s="79"/>
      <c r="C459" s="43"/>
      <c r="D459" s="730"/>
      <c r="E459" s="730"/>
      <c r="F459" s="730"/>
      <c r="G459" s="734"/>
      <c r="H459" s="20"/>
      <c r="I459" s="14"/>
    </row>
    <row r="460" spans="1:9" s="57" customFormat="1" x14ac:dyDescent="0.2">
      <c r="A460" s="79"/>
      <c r="B460" s="79"/>
      <c r="C460" s="43"/>
      <c r="D460" s="730"/>
      <c r="E460" s="730"/>
      <c r="F460" s="730"/>
      <c r="G460" s="734"/>
      <c r="H460" s="20"/>
      <c r="I460" s="14"/>
    </row>
    <row r="461" spans="1:9" s="57" customFormat="1" x14ac:dyDescent="0.2">
      <c r="A461" s="79"/>
      <c r="B461" s="79"/>
      <c r="C461" s="43"/>
      <c r="D461" s="730"/>
      <c r="E461" s="730"/>
      <c r="F461" s="730"/>
      <c r="G461" s="734"/>
      <c r="H461" s="20"/>
      <c r="I461" s="14"/>
    </row>
    <row r="462" spans="1:9" s="57" customFormat="1" x14ac:dyDescent="0.2">
      <c r="A462" s="79"/>
      <c r="B462" s="79"/>
      <c r="C462" s="43"/>
      <c r="D462" s="730"/>
      <c r="E462" s="730"/>
      <c r="F462" s="730"/>
      <c r="G462" s="734"/>
      <c r="H462" s="20"/>
      <c r="I462" s="14"/>
    </row>
    <row r="463" spans="1:9" s="57" customFormat="1" x14ac:dyDescent="0.2">
      <c r="A463" s="79"/>
      <c r="B463" s="79"/>
      <c r="C463" s="43"/>
      <c r="D463" s="730"/>
      <c r="E463" s="730"/>
      <c r="F463" s="730"/>
      <c r="G463" s="734"/>
      <c r="H463" s="20"/>
      <c r="I463" s="14"/>
    </row>
    <row r="464" spans="1:9" s="57" customFormat="1" x14ac:dyDescent="0.2">
      <c r="A464" s="79"/>
      <c r="B464" s="79"/>
      <c r="C464" s="43"/>
      <c r="D464" s="730"/>
      <c r="E464" s="730"/>
      <c r="F464" s="730"/>
      <c r="G464" s="734"/>
      <c r="H464" s="20"/>
      <c r="I464" s="14"/>
    </row>
    <row r="465" spans="1:9" s="57" customFormat="1" x14ac:dyDescent="0.2">
      <c r="A465" s="79"/>
      <c r="B465" s="79"/>
      <c r="C465" s="43"/>
      <c r="D465" s="730"/>
      <c r="E465" s="730"/>
      <c r="F465" s="730"/>
      <c r="G465" s="734"/>
      <c r="H465" s="20"/>
      <c r="I465" s="14"/>
    </row>
    <row r="466" spans="1:9" s="57" customFormat="1" x14ac:dyDescent="0.2">
      <c r="A466" s="79"/>
      <c r="B466" s="79"/>
      <c r="C466" s="43"/>
      <c r="D466" s="730"/>
      <c r="E466" s="730"/>
      <c r="F466" s="730"/>
      <c r="G466" s="734"/>
      <c r="H466" s="20"/>
      <c r="I466" s="14"/>
    </row>
    <row r="467" spans="1:9" s="57" customFormat="1" x14ac:dyDescent="0.2">
      <c r="A467" s="79"/>
      <c r="B467" s="79"/>
      <c r="C467" s="43"/>
      <c r="D467" s="730"/>
      <c r="E467" s="730"/>
      <c r="F467" s="730"/>
      <c r="G467" s="734"/>
      <c r="H467" s="20"/>
      <c r="I467" s="14"/>
    </row>
    <row r="468" spans="1:9" s="57" customFormat="1" x14ac:dyDescent="0.2">
      <c r="A468" s="79"/>
      <c r="B468" s="79"/>
      <c r="C468" s="43"/>
      <c r="D468" s="730"/>
      <c r="E468" s="730"/>
      <c r="F468" s="730"/>
      <c r="G468" s="734"/>
      <c r="H468" s="20"/>
      <c r="I468" s="14"/>
    </row>
    <row r="469" spans="1:9" s="57" customFormat="1" x14ac:dyDescent="0.2">
      <c r="A469" s="79"/>
      <c r="B469" s="79"/>
      <c r="C469" s="43"/>
      <c r="D469" s="730"/>
      <c r="E469" s="730"/>
      <c r="F469" s="730"/>
      <c r="G469" s="734"/>
      <c r="H469" s="20"/>
      <c r="I469" s="14"/>
    </row>
    <row r="470" spans="1:9" s="57" customFormat="1" x14ac:dyDescent="0.2">
      <c r="A470" s="79"/>
      <c r="B470" s="79"/>
      <c r="C470" s="43"/>
      <c r="D470" s="730"/>
      <c r="E470" s="730"/>
      <c r="F470" s="730"/>
      <c r="G470" s="734"/>
      <c r="H470" s="20"/>
      <c r="I470" s="14"/>
    </row>
    <row r="471" spans="1:9" s="57" customFormat="1" x14ac:dyDescent="0.2">
      <c r="A471" s="79"/>
      <c r="B471" s="79"/>
      <c r="C471" s="43"/>
      <c r="D471" s="730"/>
      <c r="E471" s="730"/>
      <c r="F471" s="730"/>
      <c r="G471" s="734"/>
      <c r="H471" s="20"/>
      <c r="I471" s="14"/>
    </row>
    <row r="472" spans="1:9" s="57" customFormat="1" x14ac:dyDescent="0.2">
      <c r="A472" s="79"/>
      <c r="B472" s="79"/>
      <c r="C472" s="43"/>
      <c r="D472" s="730"/>
      <c r="E472" s="730"/>
      <c r="F472" s="730"/>
      <c r="G472" s="734"/>
      <c r="H472" s="20"/>
      <c r="I472" s="14"/>
    </row>
    <row r="473" spans="1:9" s="57" customFormat="1" x14ac:dyDescent="0.2">
      <c r="A473" s="79"/>
      <c r="B473" s="79"/>
      <c r="C473" s="43"/>
      <c r="D473" s="730"/>
      <c r="E473" s="730"/>
      <c r="F473" s="730"/>
      <c r="G473" s="734"/>
      <c r="H473" s="20"/>
      <c r="I473" s="14"/>
    </row>
    <row r="474" spans="1:9" s="57" customFormat="1" x14ac:dyDescent="0.2">
      <c r="A474" s="79"/>
      <c r="B474" s="79"/>
      <c r="C474" s="43"/>
      <c r="D474" s="730"/>
      <c r="E474" s="730"/>
      <c r="F474" s="730"/>
      <c r="G474" s="734"/>
      <c r="H474" s="20"/>
      <c r="I474" s="14"/>
    </row>
    <row r="475" spans="1:9" s="57" customFormat="1" x14ac:dyDescent="0.2">
      <c r="A475" s="79"/>
      <c r="B475" s="79"/>
      <c r="C475" s="43"/>
      <c r="D475" s="730"/>
      <c r="E475" s="730"/>
      <c r="F475" s="730"/>
      <c r="G475" s="734"/>
      <c r="H475" s="20"/>
      <c r="I475" s="14"/>
    </row>
    <row r="476" spans="1:9" s="57" customFormat="1" x14ac:dyDescent="0.2">
      <c r="A476" s="79"/>
      <c r="B476" s="79"/>
      <c r="C476" s="43"/>
      <c r="D476" s="730"/>
      <c r="E476" s="730"/>
      <c r="F476" s="730"/>
      <c r="G476" s="734"/>
      <c r="H476" s="20"/>
      <c r="I476" s="14"/>
    </row>
    <row r="477" spans="1:9" s="57" customFormat="1" x14ac:dyDescent="0.2">
      <c r="A477" s="79"/>
      <c r="B477" s="79"/>
      <c r="C477" s="43"/>
      <c r="D477" s="730"/>
      <c r="E477" s="730"/>
      <c r="F477" s="730"/>
      <c r="G477" s="734"/>
      <c r="H477" s="20"/>
      <c r="I477" s="14"/>
    </row>
    <row r="478" spans="1:9" s="57" customFormat="1" x14ac:dyDescent="0.2">
      <c r="A478" s="79"/>
      <c r="B478" s="79"/>
      <c r="C478" s="43"/>
      <c r="D478" s="730"/>
      <c r="E478" s="730"/>
      <c r="F478" s="730"/>
      <c r="G478" s="734"/>
      <c r="H478" s="20"/>
      <c r="I478" s="14"/>
    </row>
    <row r="479" spans="1:9" s="57" customFormat="1" x14ac:dyDescent="0.2">
      <c r="A479" s="79"/>
      <c r="B479" s="79"/>
      <c r="C479" s="43"/>
      <c r="D479" s="730"/>
      <c r="E479" s="730"/>
      <c r="F479" s="730"/>
      <c r="G479" s="734"/>
      <c r="H479" s="20"/>
      <c r="I479" s="14"/>
    </row>
    <row r="480" spans="1:9" s="57" customFormat="1" x14ac:dyDescent="0.2">
      <c r="A480" s="79"/>
      <c r="B480" s="79"/>
      <c r="C480" s="43"/>
      <c r="D480" s="730"/>
      <c r="E480" s="730"/>
      <c r="F480" s="730"/>
      <c r="G480" s="734"/>
      <c r="H480" s="20"/>
      <c r="I480" s="14"/>
    </row>
    <row r="481" spans="1:9" s="57" customFormat="1" x14ac:dyDescent="0.2">
      <c r="A481" s="79"/>
      <c r="B481" s="79"/>
      <c r="C481" s="43"/>
      <c r="D481" s="730"/>
      <c r="E481" s="730"/>
      <c r="F481" s="730"/>
      <c r="G481" s="734"/>
      <c r="H481" s="20"/>
      <c r="I481" s="14"/>
    </row>
    <row r="482" spans="1:9" s="57" customFormat="1" x14ac:dyDescent="0.2">
      <c r="A482" s="79"/>
      <c r="B482" s="79"/>
      <c r="C482" s="43"/>
      <c r="D482" s="730"/>
      <c r="E482" s="730"/>
      <c r="F482" s="730"/>
      <c r="G482" s="734"/>
      <c r="H482" s="20"/>
      <c r="I482" s="14"/>
    </row>
    <row r="483" spans="1:9" s="57" customFormat="1" x14ac:dyDescent="0.2">
      <c r="A483" s="79"/>
      <c r="B483" s="79"/>
      <c r="C483" s="43"/>
      <c r="D483" s="730"/>
      <c r="E483" s="730"/>
      <c r="F483" s="730"/>
      <c r="G483" s="734"/>
      <c r="H483" s="20"/>
      <c r="I483" s="14"/>
    </row>
    <row r="484" spans="1:9" s="57" customFormat="1" x14ac:dyDescent="0.2">
      <c r="A484" s="79"/>
      <c r="B484" s="79"/>
      <c r="C484" s="43"/>
      <c r="D484" s="730"/>
      <c r="E484" s="730"/>
      <c r="F484" s="730"/>
      <c r="G484" s="734"/>
      <c r="H484" s="20"/>
      <c r="I484" s="14"/>
    </row>
    <row r="485" spans="1:9" s="57" customFormat="1" x14ac:dyDescent="0.2">
      <c r="A485" s="79"/>
      <c r="B485" s="79"/>
      <c r="C485" s="43"/>
      <c r="D485" s="730"/>
      <c r="E485" s="730"/>
      <c r="F485" s="730"/>
      <c r="G485" s="734"/>
      <c r="H485" s="20"/>
      <c r="I485" s="14"/>
    </row>
    <row r="486" spans="1:9" s="57" customFormat="1" x14ac:dyDescent="0.2">
      <c r="A486" s="79"/>
      <c r="B486" s="79"/>
      <c r="C486" s="43"/>
      <c r="D486" s="730"/>
      <c r="E486" s="730"/>
      <c r="F486" s="730"/>
      <c r="G486" s="734"/>
      <c r="H486" s="20"/>
      <c r="I486" s="14"/>
    </row>
    <row r="487" spans="1:9" s="57" customFormat="1" x14ac:dyDescent="0.2">
      <c r="A487" s="79"/>
      <c r="B487" s="79"/>
      <c r="C487" s="43"/>
      <c r="D487" s="730"/>
      <c r="E487" s="730"/>
      <c r="F487" s="730"/>
      <c r="G487" s="734"/>
      <c r="H487" s="20"/>
      <c r="I487" s="14"/>
    </row>
    <row r="488" spans="1:9" s="57" customFormat="1" x14ac:dyDescent="0.2">
      <c r="A488" s="79"/>
      <c r="B488" s="79"/>
      <c r="C488" s="43"/>
      <c r="D488" s="730"/>
      <c r="E488" s="730"/>
      <c r="F488" s="730"/>
      <c r="G488" s="734"/>
      <c r="H488" s="20"/>
      <c r="I488" s="14"/>
    </row>
    <row r="489" spans="1:9" s="57" customFormat="1" x14ac:dyDescent="0.2">
      <c r="A489" s="79"/>
      <c r="B489" s="79"/>
      <c r="C489" s="43"/>
      <c r="D489" s="730"/>
      <c r="E489" s="730"/>
      <c r="F489" s="730"/>
      <c r="G489" s="734"/>
      <c r="H489" s="20"/>
      <c r="I489" s="14"/>
    </row>
    <row r="490" spans="1:9" s="57" customFormat="1" x14ac:dyDescent="0.2">
      <c r="A490" s="79"/>
      <c r="B490" s="79"/>
      <c r="C490" s="43"/>
      <c r="D490" s="730"/>
      <c r="E490" s="730"/>
      <c r="F490" s="730"/>
      <c r="G490" s="734"/>
      <c r="H490" s="20"/>
      <c r="I490" s="14"/>
    </row>
    <row r="491" spans="1:9" s="57" customFormat="1" x14ac:dyDescent="0.2">
      <c r="A491" s="79"/>
      <c r="B491" s="79"/>
      <c r="C491" s="43"/>
      <c r="D491" s="730"/>
      <c r="E491" s="730"/>
      <c r="F491" s="730"/>
      <c r="G491" s="734"/>
      <c r="H491" s="20"/>
      <c r="I491" s="14"/>
    </row>
    <row r="492" spans="1:9" s="57" customFormat="1" x14ac:dyDescent="0.2">
      <c r="A492" s="79"/>
      <c r="B492" s="79"/>
      <c r="C492" s="43"/>
      <c r="D492" s="730"/>
      <c r="E492" s="730"/>
      <c r="F492" s="730"/>
      <c r="G492" s="734"/>
      <c r="H492" s="20"/>
      <c r="I492" s="14"/>
    </row>
    <row r="493" spans="1:9" s="57" customFormat="1" x14ac:dyDescent="0.2">
      <c r="A493" s="79"/>
      <c r="B493" s="79"/>
      <c r="C493" s="43"/>
      <c r="D493" s="730"/>
      <c r="E493" s="730"/>
      <c r="F493" s="730"/>
      <c r="G493" s="734"/>
      <c r="H493" s="20"/>
      <c r="I493" s="14"/>
    </row>
    <row r="494" spans="1:9" s="57" customFormat="1" x14ac:dyDescent="0.2">
      <c r="A494" s="79"/>
      <c r="B494" s="79"/>
      <c r="C494" s="43"/>
      <c r="D494" s="730"/>
      <c r="E494" s="730"/>
      <c r="F494" s="730"/>
      <c r="G494" s="734"/>
      <c r="H494" s="20"/>
      <c r="I494" s="14"/>
    </row>
    <row r="495" spans="1:9" s="57" customFormat="1" x14ac:dyDescent="0.2">
      <c r="A495" s="79"/>
      <c r="B495" s="79"/>
      <c r="C495" s="43"/>
      <c r="D495" s="730"/>
      <c r="E495" s="730"/>
      <c r="F495" s="730"/>
      <c r="G495" s="734"/>
      <c r="H495" s="20"/>
      <c r="I495" s="14"/>
    </row>
    <row r="496" spans="1:9" s="57" customFormat="1" x14ac:dyDescent="0.2">
      <c r="A496" s="79"/>
      <c r="B496" s="79"/>
      <c r="C496" s="43"/>
      <c r="D496" s="730"/>
      <c r="E496" s="730"/>
      <c r="F496" s="730"/>
      <c r="G496" s="734"/>
      <c r="H496" s="20"/>
      <c r="I496" s="14"/>
    </row>
    <row r="497" spans="1:9" s="57" customFormat="1" x14ac:dyDescent="0.2">
      <c r="A497" s="79"/>
      <c r="B497" s="79"/>
      <c r="C497" s="43"/>
      <c r="D497" s="730"/>
      <c r="E497" s="730"/>
      <c r="F497" s="730"/>
      <c r="G497" s="734"/>
      <c r="H497" s="20"/>
      <c r="I497" s="14"/>
    </row>
    <row r="498" spans="1:9" s="57" customFormat="1" x14ac:dyDescent="0.2">
      <c r="A498" s="79"/>
      <c r="B498" s="79"/>
      <c r="C498" s="43"/>
      <c r="D498" s="730"/>
      <c r="E498" s="730"/>
      <c r="F498" s="730"/>
      <c r="G498" s="734"/>
      <c r="H498" s="20"/>
      <c r="I498" s="14"/>
    </row>
    <row r="499" spans="1:9" s="57" customFormat="1" x14ac:dyDescent="0.2">
      <c r="A499" s="79"/>
      <c r="B499" s="79"/>
      <c r="C499" s="43"/>
      <c r="D499" s="730"/>
      <c r="E499" s="730"/>
      <c r="F499" s="730"/>
      <c r="G499" s="734"/>
      <c r="H499" s="20"/>
      <c r="I499" s="14"/>
    </row>
    <row r="500" spans="1:9" s="57" customFormat="1" x14ac:dyDescent="0.2">
      <c r="A500" s="79"/>
      <c r="B500" s="79"/>
      <c r="C500" s="43"/>
      <c r="D500" s="730"/>
      <c r="E500" s="730"/>
      <c r="F500" s="730"/>
      <c r="G500" s="734"/>
      <c r="H500" s="20"/>
      <c r="I500" s="14"/>
    </row>
    <row r="501" spans="1:9" s="57" customFormat="1" x14ac:dyDescent="0.2">
      <c r="A501" s="79"/>
      <c r="B501" s="79"/>
      <c r="C501" s="43"/>
      <c r="D501" s="730"/>
      <c r="E501" s="730"/>
      <c r="F501" s="730"/>
      <c r="G501" s="734"/>
      <c r="H501" s="20"/>
      <c r="I501" s="14"/>
    </row>
    <row r="502" spans="1:9" s="57" customFormat="1" x14ac:dyDescent="0.2">
      <c r="A502" s="79"/>
      <c r="B502" s="79"/>
      <c r="C502" s="43"/>
      <c r="D502" s="730"/>
      <c r="E502" s="730"/>
      <c r="F502" s="730"/>
      <c r="G502" s="734"/>
      <c r="H502" s="20"/>
      <c r="I502" s="14"/>
    </row>
    <row r="503" spans="1:9" s="57" customFormat="1" x14ac:dyDescent="0.2">
      <c r="A503" s="79"/>
      <c r="B503" s="79"/>
      <c r="C503" s="43"/>
      <c r="D503" s="730"/>
      <c r="E503" s="730"/>
      <c r="F503" s="730"/>
      <c r="G503" s="734"/>
      <c r="H503" s="20"/>
      <c r="I503" s="14"/>
    </row>
    <row r="504" spans="1:9" s="57" customFormat="1" x14ac:dyDescent="0.2">
      <c r="A504" s="79"/>
      <c r="B504" s="79"/>
      <c r="C504" s="43"/>
      <c r="D504" s="730"/>
      <c r="E504" s="730"/>
      <c r="F504" s="730"/>
      <c r="G504" s="734"/>
      <c r="H504" s="20"/>
      <c r="I504" s="14"/>
    </row>
    <row r="505" spans="1:9" s="57" customFormat="1" x14ac:dyDescent="0.2">
      <c r="A505" s="79"/>
      <c r="B505" s="79"/>
      <c r="C505" s="43"/>
      <c r="D505" s="730"/>
      <c r="E505" s="730"/>
      <c r="F505" s="730"/>
      <c r="G505" s="734"/>
      <c r="H505" s="20"/>
      <c r="I505" s="14"/>
    </row>
    <row r="506" spans="1:9" s="57" customFormat="1" x14ac:dyDescent="0.2">
      <c r="A506" s="79"/>
      <c r="B506" s="79"/>
      <c r="C506" s="43"/>
      <c r="D506" s="730"/>
      <c r="E506" s="730"/>
      <c r="F506" s="730"/>
      <c r="G506" s="734"/>
      <c r="H506" s="20"/>
      <c r="I506" s="14"/>
    </row>
    <row r="507" spans="1:9" s="57" customFormat="1" x14ac:dyDescent="0.2">
      <c r="A507" s="79"/>
      <c r="B507" s="79"/>
      <c r="C507" s="43"/>
      <c r="D507" s="730"/>
      <c r="E507" s="730"/>
      <c r="F507" s="730"/>
      <c r="G507" s="734"/>
      <c r="H507" s="20"/>
      <c r="I507" s="14"/>
    </row>
    <row r="508" spans="1:9" s="57" customFormat="1" x14ac:dyDescent="0.2">
      <c r="A508" s="79"/>
      <c r="B508" s="79"/>
      <c r="C508" s="43"/>
      <c r="D508" s="730"/>
      <c r="E508" s="730"/>
      <c r="F508" s="730"/>
      <c r="G508" s="734"/>
      <c r="H508" s="20"/>
      <c r="I508" s="14"/>
    </row>
    <row r="509" spans="1:9" s="57" customFormat="1" x14ac:dyDescent="0.2">
      <c r="A509" s="79"/>
      <c r="B509" s="79"/>
      <c r="C509" s="43"/>
      <c r="D509" s="730"/>
      <c r="E509" s="730"/>
      <c r="F509" s="730"/>
      <c r="G509" s="734"/>
      <c r="H509" s="20"/>
      <c r="I509" s="14"/>
    </row>
    <row r="510" spans="1:9" s="57" customFormat="1" x14ac:dyDescent="0.2">
      <c r="A510" s="79"/>
      <c r="B510" s="79"/>
      <c r="C510" s="43"/>
      <c r="D510" s="730"/>
      <c r="E510" s="730"/>
      <c r="F510" s="730"/>
      <c r="G510" s="734"/>
      <c r="H510" s="20"/>
      <c r="I510" s="14"/>
    </row>
    <row r="511" spans="1:9" s="57" customFormat="1" x14ac:dyDescent="0.2">
      <c r="A511" s="79"/>
      <c r="B511" s="79"/>
      <c r="C511" s="43"/>
      <c r="D511" s="730"/>
      <c r="E511" s="730"/>
      <c r="F511" s="730"/>
      <c r="G511" s="734"/>
      <c r="H511" s="20"/>
      <c r="I511" s="14"/>
    </row>
    <row r="512" spans="1:9" s="57" customFormat="1" x14ac:dyDescent="0.2">
      <c r="A512" s="79"/>
      <c r="B512" s="79"/>
      <c r="C512" s="43"/>
      <c r="D512" s="730"/>
      <c r="E512" s="730"/>
      <c r="F512" s="730"/>
      <c r="G512" s="734"/>
      <c r="H512" s="20"/>
      <c r="I512" s="14"/>
    </row>
    <row r="513" spans="1:9" s="57" customFormat="1" x14ac:dyDescent="0.2">
      <c r="A513" s="79"/>
      <c r="B513" s="79"/>
      <c r="C513" s="43"/>
      <c r="D513" s="730"/>
      <c r="E513" s="730"/>
      <c r="F513" s="730"/>
      <c r="G513" s="734"/>
      <c r="H513" s="20"/>
      <c r="I513" s="14"/>
    </row>
    <row r="514" spans="1:9" s="57" customFormat="1" x14ac:dyDescent="0.2">
      <c r="A514" s="79"/>
      <c r="B514" s="79"/>
      <c r="C514" s="43"/>
      <c r="D514" s="730"/>
      <c r="E514" s="730"/>
      <c r="F514" s="730"/>
      <c r="G514" s="734"/>
      <c r="H514" s="20"/>
      <c r="I514" s="14"/>
    </row>
    <row r="515" spans="1:9" s="57" customFormat="1" x14ac:dyDescent="0.2">
      <c r="A515" s="79"/>
      <c r="B515" s="79"/>
      <c r="C515" s="43"/>
      <c r="D515" s="730"/>
      <c r="E515" s="730"/>
      <c r="F515" s="730"/>
      <c r="G515" s="734"/>
      <c r="H515" s="20"/>
      <c r="I515" s="14"/>
    </row>
    <row r="516" spans="1:9" s="57" customFormat="1" x14ac:dyDescent="0.2">
      <c r="A516" s="79"/>
      <c r="B516" s="79"/>
      <c r="C516" s="43"/>
      <c r="D516" s="730"/>
      <c r="E516" s="730"/>
      <c r="F516" s="730"/>
      <c r="G516" s="734"/>
      <c r="H516" s="20"/>
      <c r="I516" s="14"/>
    </row>
    <row r="517" spans="1:9" s="57" customFormat="1" x14ac:dyDescent="0.2">
      <c r="A517" s="79"/>
      <c r="B517" s="79"/>
      <c r="C517" s="43"/>
      <c r="D517" s="730"/>
      <c r="E517" s="730"/>
      <c r="F517" s="730"/>
      <c r="G517" s="734"/>
      <c r="H517" s="20"/>
      <c r="I517" s="14"/>
    </row>
    <row r="518" spans="1:9" s="57" customFormat="1" x14ac:dyDescent="0.2">
      <c r="A518" s="79"/>
      <c r="B518" s="79"/>
      <c r="C518" s="43"/>
      <c r="D518" s="730"/>
      <c r="E518" s="730"/>
      <c r="F518" s="730"/>
      <c r="G518" s="734"/>
      <c r="H518" s="20"/>
      <c r="I518" s="14"/>
    </row>
    <row r="519" spans="1:9" s="57" customFormat="1" x14ac:dyDescent="0.2">
      <c r="A519" s="79"/>
      <c r="B519" s="79"/>
      <c r="C519" s="43"/>
      <c r="D519" s="730"/>
      <c r="E519" s="730"/>
      <c r="F519" s="730"/>
      <c r="G519" s="734"/>
      <c r="H519" s="20"/>
      <c r="I519" s="14"/>
    </row>
    <row r="520" spans="1:9" s="57" customFormat="1" x14ac:dyDescent="0.2">
      <c r="A520" s="79"/>
      <c r="B520" s="79"/>
      <c r="C520" s="43"/>
      <c r="D520" s="730"/>
      <c r="E520" s="730"/>
      <c r="F520" s="730"/>
      <c r="G520" s="734"/>
      <c r="H520" s="20"/>
      <c r="I520" s="14"/>
    </row>
    <row r="521" spans="1:9" s="57" customFormat="1" x14ac:dyDescent="0.2">
      <c r="A521" s="79"/>
      <c r="B521" s="79"/>
      <c r="C521" s="43"/>
      <c r="D521" s="730"/>
      <c r="E521" s="730"/>
      <c r="F521" s="730"/>
      <c r="G521" s="734"/>
      <c r="H521" s="20"/>
      <c r="I521" s="14"/>
    </row>
    <row r="522" spans="1:9" s="57" customFormat="1" x14ac:dyDescent="0.2">
      <c r="A522" s="79"/>
      <c r="B522" s="79"/>
      <c r="C522" s="43"/>
      <c r="D522" s="730"/>
      <c r="E522" s="730"/>
      <c r="F522" s="730"/>
      <c r="G522" s="734"/>
      <c r="H522" s="20"/>
      <c r="I522" s="14"/>
    </row>
    <row r="523" spans="1:9" s="57" customFormat="1" x14ac:dyDescent="0.2">
      <c r="A523" s="79"/>
      <c r="B523" s="79"/>
      <c r="C523" s="43"/>
      <c r="D523" s="730"/>
      <c r="E523" s="730"/>
      <c r="F523" s="730"/>
      <c r="G523" s="734"/>
      <c r="H523" s="20"/>
      <c r="I523" s="14"/>
    </row>
    <row r="524" spans="1:9" s="57" customFormat="1" x14ac:dyDescent="0.2">
      <c r="A524" s="79"/>
      <c r="B524" s="79"/>
      <c r="C524" s="43"/>
      <c r="D524" s="730"/>
      <c r="E524" s="730"/>
      <c r="F524" s="730"/>
      <c r="G524" s="734"/>
      <c r="H524" s="20"/>
      <c r="I524" s="14"/>
    </row>
    <row r="525" spans="1:9" s="57" customFormat="1" x14ac:dyDescent="0.2">
      <c r="A525" s="79"/>
      <c r="B525" s="79"/>
      <c r="C525" s="43"/>
      <c r="D525" s="730"/>
      <c r="E525" s="730"/>
      <c r="F525" s="730"/>
      <c r="G525" s="734"/>
      <c r="H525" s="20"/>
      <c r="I525" s="14"/>
    </row>
    <row r="526" spans="1:9" s="57" customFormat="1" x14ac:dyDescent="0.2">
      <c r="A526" s="79"/>
      <c r="B526" s="79"/>
      <c r="C526" s="43"/>
      <c r="D526" s="730"/>
      <c r="E526" s="730"/>
      <c r="F526" s="730"/>
      <c r="G526" s="734"/>
      <c r="H526" s="20"/>
      <c r="I526" s="14"/>
    </row>
    <row r="527" spans="1:9" s="57" customFormat="1" x14ac:dyDescent="0.2">
      <c r="A527" s="79"/>
      <c r="B527" s="79"/>
      <c r="C527" s="43"/>
      <c r="D527" s="730"/>
      <c r="E527" s="730"/>
      <c r="F527" s="730"/>
      <c r="G527" s="734"/>
      <c r="H527" s="20"/>
      <c r="I527" s="14"/>
    </row>
    <row r="528" spans="1:9" s="57" customFormat="1" x14ac:dyDescent="0.2">
      <c r="A528" s="79"/>
      <c r="B528" s="79"/>
      <c r="C528" s="43"/>
      <c r="D528" s="730"/>
      <c r="E528" s="730"/>
      <c r="F528" s="730"/>
      <c r="G528" s="734"/>
      <c r="H528" s="20"/>
      <c r="I528" s="14"/>
    </row>
    <row r="529" spans="1:9" s="57" customFormat="1" x14ac:dyDescent="0.2">
      <c r="A529" s="79"/>
      <c r="B529" s="79"/>
      <c r="C529" s="43"/>
      <c r="D529" s="730"/>
      <c r="E529" s="730"/>
      <c r="F529" s="730"/>
      <c r="G529" s="734"/>
      <c r="H529" s="20"/>
      <c r="I529" s="14"/>
    </row>
    <row r="530" spans="1:9" s="57" customFormat="1" x14ac:dyDescent="0.2">
      <c r="A530" s="79"/>
      <c r="B530" s="79"/>
      <c r="C530" s="43"/>
      <c r="D530" s="730"/>
      <c r="E530" s="730"/>
      <c r="F530" s="730"/>
      <c r="G530" s="734"/>
      <c r="H530" s="20"/>
      <c r="I530" s="14"/>
    </row>
    <row r="531" spans="1:9" s="57" customFormat="1" x14ac:dyDescent="0.2">
      <c r="A531" s="79"/>
      <c r="B531" s="79"/>
      <c r="C531" s="43"/>
      <c r="D531" s="730"/>
      <c r="E531" s="730"/>
      <c r="F531" s="730"/>
      <c r="G531" s="734"/>
      <c r="H531" s="20"/>
      <c r="I531" s="14"/>
    </row>
    <row r="532" spans="1:9" s="57" customFormat="1" x14ac:dyDescent="0.2">
      <c r="A532" s="79"/>
      <c r="B532" s="79"/>
      <c r="C532" s="43"/>
      <c r="D532" s="730"/>
      <c r="E532" s="730"/>
      <c r="F532" s="730"/>
      <c r="G532" s="734"/>
      <c r="H532" s="20"/>
      <c r="I532" s="14"/>
    </row>
    <row r="533" spans="1:9" s="57" customFormat="1" x14ac:dyDescent="0.2">
      <c r="A533" s="79"/>
      <c r="B533" s="79"/>
      <c r="C533" s="43"/>
      <c r="D533" s="730"/>
      <c r="E533" s="730"/>
      <c r="F533" s="730"/>
      <c r="G533" s="734"/>
      <c r="H533" s="20"/>
      <c r="I533" s="14"/>
    </row>
    <row r="534" spans="1:9" s="57" customFormat="1" x14ac:dyDescent="0.2">
      <c r="A534" s="79"/>
      <c r="B534" s="79"/>
      <c r="C534" s="43"/>
      <c r="D534" s="730"/>
      <c r="E534" s="730"/>
      <c r="F534" s="730"/>
      <c r="G534" s="734"/>
      <c r="H534" s="20"/>
      <c r="I534" s="14"/>
    </row>
    <row r="535" spans="1:9" s="57" customFormat="1" x14ac:dyDescent="0.2">
      <c r="A535" s="79"/>
      <c r="B535" s="79"/>
      <c r="C535" s="43"/>
      <c r="D535" s="730"/>
      <c r="E535" s="730"/>
      <c r="F535" s="730"/>
      <c r="G535" s="734"/>
      <c r="H535" s="20"/>
      <c r="I535" s="14"/>
    </row>
    <row r="536" spans="1:9" s="57" customFormat="1" x14ac:dyDescent="0.2">
      <c r="A536" s="79"/>
      <c r="B536" s="79"/>
      <c r="C536" s="43"/>
      <c r="D536" s="730"/>
      <c r="E536" s="730"/>
      <c r="F536" s="730"/>
      <c r="G536" s="734"/>
      <c r="H536" s="20"/>
      <c r="I536" s="14"/>
    </row>
    <row r="537" spans="1:9" s="57" customFormat="1" x14ac:dyDescent="0.2">
      <c r="A537" s="79"/>
      <c r="B537" s="79"/>
      <c r="C537" s="43"/>
      <c r="D537" s="730"/>
      <c r="E537" s="730"/>
      <c r="F537" s="730"/>
      <c r="G537" s="734"/>
      <c r="H537" s="20"/>
      <c r="I537" s="14"/>
    </row>
    <row r="538" spans="1:9" s="57" customFormat="1" x14ac:dyDescent="0.2">
      <c r="A538" s="79"/>
      <c r="B538" s="79"/>
      <c r="C538" s="43"/>
      <c r="D538" s="730"/>
      <c r="E538" s="730"/>
      <c r="F538" s="730"/>
      <c r="G538" s="734"/>
      <c r="H538" s="20"/>
      <c r="I538" s="14"/>
    </row>
    <row r="539" spans="1:9" s="57" customFormat="1" x14ac:dyDescent="0.2">
      <c r="A539" s="79"/>
      <c r="B539" s="79"/>
      <c r="C539" s="43"/>
      <c r="D539" s="730"/>
      <c r="E539" s="730"/>
      <c r="F539" s="730"/>
      <c r="G539" s="734"/>
      <c r="H539" s="20"/>
      <c r="I539" s="14"/>
    </row>
    <row r="540" spans="1:9" s="57" customFormat="1" x14ac:dyDescent="0.2">
      <c r="A540" s="79"/>
      <c r="B540" s="79"/>
      <c r="C540" s="43"/>
      <c r="D540" s="730"/>
      <c r="E540" s="730"/>
      <c r="F540" s="730"/>
      <c r="G540" s="734"/>
      <c r="H540" s="20"/>
      <c r="I540" s="14"/>
    </row>
    <row r="541" spans="1:9" s="57" customFormat="1" x14ac:dyDescent="0.2">
      <c r="A541" s="79"/>
      <c r="B541" s="79"/>
      <c r="C541" s="43"/>
      <c r="D541" s="730"/>
      <c r="E541" s="730"/>
      <c r="F541" s="730"/>
      <c r="G541" s="734"/>
      <c r="H541" s="20"/>
      <c r="I541" s="14"/>
    </row>
    <row r="542" spans="1:9" s="57" customFormat="1" x14ac:dyDescent="0.2">
      <c r="A542" s="79"/>
      <c r="B542" s="79"/>
      <c r="C542" s="43"/>
      <c r="D542" s="730"/>
      <c r="E542" s="730"/>
      <c r="F542" s="730"/>
      <c r="G542" s="734"/>
      <c r="H542" s="20"/>
      <c r="I542" s="14"/>
    </row>
    <row r="543" spans="1:9" s="57" customFormat="1" x14ac:dyDescent="0.2">
      <c r="A543" s="79"/>
      <c r="B543" s="79"/>
      <c r="C543" s="43"/>
      <c r="D543" s="730"/>
      <c r="E543" s="730"/>
      <c r="F543" s="730"/>
      <c r="G543" s="734"/>
      <c r="H543" s="20"/>
      <c r="I543" s="14"/>
    </row>
    <row r="544" spans="1:9" s="57" customFormat="1" x14ac:dyDescent="0.2">
      <c r="A544" s="79"/>
      <c r="B544" s="79"/>
      <c r="C544" s="43"/>
      <c r="D544" s="730"/>
      <c r="E544" s="730"/>
      <c r="F544" s="730"/>
      <c r="G544" s="734"/>
      <c r="H544" s="20"/>
      <c r="I544" s="14"/>
    </row>
    <row r="545" spans="1:9" s="57" customFormat="1" x14ac:dyDescent="0.2">
      <c r="A545" s="79"/>
      <c r="B545" s="79"/>
      <c r="C545" s="43"/>
      <c r="D545" s="730"/>
      <c r="E545" s="730"/>
      <c r="F545" s="730"/>
      <c r="G545" s="734"/>
      <c r="H545" s="20"/>
      <c r="I545" s="14"/>
    </row>
    <row r="546" spans="1:9" s="57" customFormat="1" x14ac:dyDescent="0.2">
      <c r="A546" s="79"/>
      <c r="B546" s="79"/>
      <c r="C546" s="43"/>
      <c r="D546" s="730"/>
      <c r="E546" s="730"/>
      <c r="F546" s="730"/>
      <c r="G546" s="734"/>
      <c r="H546" s="20"/>
      <c r="I546" s="14"/>
    </row>
    <row r="547" spans="1:9" s="57" customFormat="1" x14ac:dyDescent="0.2">
      <c r="A547" s="79"/>
      <c r="B547" s="79"/>
      <c r="C547" s="43"/>
      <c r="D547" s="730"/>
      <c r="E547" s="730"/>
      <c r="F547" s="730"/>
      <c r="G547" s="734"/>
      <c r="H547" s="20"/>
      <c r="I547" s="14"/>
    </row>
    <row r="548" spans="1:9" s="57" customFormat="1" x14ac:dyDescent="0.2">
      <c r="A548" s="79"/>
      <c r="B548" s="79"/>
      <c r="C548" s="43"/>
      <c r="D548" s="730"/>
      <c r="E548" s="730"/>
      <c r="F548" s="730"/>
      <c r="G548" s="734"/>
      <c r="H548" s="20"/>
      <c r="I548" s="14"/>
    </row>
    <row r="549" spans="1:9" s="57" customFormat="1" x14ac:dyDescent="0.2">
      <c r="A549" s="79"/>
      <c r="B549" s="79"/>
      <c r="C549" s="43"/>
      <c r="D549" s="730"/>
      <c r="E549" s="730"/>
      <c r="F549" s="730"/>
      <c r="G549" s="734"/>
      <c r="H549" s="20"/>
      <c r="I549" s="14"/>
    </row>
    <row r="550" spans="1:9" s="57" customFormat="1" x14ac:dyDescent="0.2">
      <c r="A550" s="79"/>
      <c r="B550" s="79"/>
      <c r="C550" s="43"/>
      <c r="D550" s="730"/>
      <c r="E550" s="730"/>
      <c r="F550" s="730"/>
      <c r="G550" s="734"/>
      <c r="H550" s="20"/>
      <c r="I550" s="14"/>
    </row>
    <row r="551" spans="1:9" s="57" customFormat="1" x14ac:dyDescent="0.2">
      <c r="A551" s="79"/>
      <c r="B551" s="79"/>
      <c r="C551" s="43"/>
      <c r="D551" s="730"/>
      <c r="E551" s="730"/>
      <c r="F551" s="730"/>
      <c r="G551" s="734"/>
      <c r="H551" s="20"/>
      <c r="I551" s="14"/>
    </row>
    <row r="552" spans="1:9" s="57" customFormat="1" x14ac:dyDescent="0.2">
      <c r="A552" s="79"/>
      <c r="B552" s="79"/>
      <c r="C552" s="43"/>
      <c r="D552" s="730"/>
      <c r="E552" s="730"/>
      <c r="F552" s="730"/>
      <c r="G552" s="734"/>
      <c r="H552" s="20"/>
      <c r="I552" s="14"/>
    </row>
    <row r="553" spans="1:9" s="57" customFormat="1" x14ac:dyDescent="0.2">
      <c r="A553" s="79"/>
      <c r="B553" s="79"/>
      <c r="C553" s="43"/>
      <c r="D553" s="730"/>
      <c r="E553" s="730"/>
      <c r="F553" s="730"/>
      <c r="G553" s="734"/>
      <c r="H553" s="20"/>
      <c r="I553" s="14"/>
    </row>
    <row r="554" spans="1:9" s="57" customFormat="1" x14ac:dyDescent="0.2">
      <c r="A554" s="79"/>
      <c r="B554" s="79"/>
      <c r="C554" s="43"/>
      <c r="D554" s="730"/>
      <c r="E554" s="730"/>
      <c r="F554" s="730"/>
      <c r="G554" s="734"/>
      <c r="H554" s="20"/>
      <c r="I554" s="14"/>
    </row>
    <row r="555" spans="1:9" s="57" customFormat="1" x14ac:dyDescent="0.2">
      <c r="A555" s="79"/>
      <c r="B555" s="79"/>
      <c r="C555" s="43"/>
      <c r="D555" s="730"/>
      <c r="E555" s="730"/>
      <c r="F555" s="730"/>
      <c r="G555" s="734"/>
      <c r="H555" s="20"/>
      <c r="I555" s="14"/>
    </row>
    <row r="556" spans="1:9" s="57" customFormat="1" x14ac:dyDescent="0.2">
      <c r="A556" s="79"/>
      <c r="B556" s="79"/>
      <c r="C556" s="43"/>
      <c r="D556" s="730"/>
      <c r="E556" s="730"/>
      <c r="F556" s="730"/>
      <c r="G556" s="734"/>
      <c r="H556" s="20"/>
      <c r="I556" s="14"/>
    </row>
    <row r="557" spans="1:9" s="57" customFormat="1" x14ac:dyDescent="0.2">
      <c r="A557" s="79"/>
      <c r="B557" s="79"/>
      <c r="C557" s="43"/>
      <c r="D557" s="730"/>
      <c r="E557" s="730"/>
      <c r="F557" s="730"/>
      <c r="G557" s="734"/>
      <c r="H557" s="20"/>
      <c r="I557" s="14"/>
    </row>
    <row r="558" spans="1:9" s="57" customFormat="1" x14ac:dyDescent="0.2">
      <c r="A558" s="79"/>
      <c r="B558" s="79"/>
      <c r="C558" s="43"/>
      <c r="D558" s="730"/>
      <c r="E558" s="730"/>
      <c r="F558" s="730"/>
      <c r="G558" s="734"/>
      <c r="H558" s="20"/>
      <c r="I558" s="14"/>
    </row>
    <row r="559" spans="1:9" s="57" customFormat="1" x14ac:dyDescent="0.2">
      <c r="A559" s="79"/>
      <c r="B559" s="79"/>
      <c r="C559" s="43"/>
      <c r="D559" s="730"/>
      <c r="E559" s="730"/>
      <c r="F559" s="730"/>
      <c r="G559" s="734"/>
      <c r="H559" s="20"/>
      <c r="I559" s="14"/>
    </row>
    <row r="560" spans="1:9" s="57" customFormat="1" x14ac:dyDescent="0.2">
      <c r="A560" s="79"/>
      <c r="B560" s="79"/>
      <c r="C560" s="43"/>
      <c r="D560" s="730"/>
      <c r="E560" s="730"/>
      <c r="F560" s="730"/>
      <c r="G560" s="734"/>
      <c r="H560" s="20"/>
      <c r="I560" s="14"/>
    </row>
    <row r="561" spans="1:9" s="57" customFormat="1" x14ac:dyDescent="0.2">
      <c r="A561" s="79"/>
      <c r="B561" s="79"/>
      <c r="C561" s="43"/>
      <c r="D561" s="730"/>
      <c r="E561" s="730"/>
      <c r="F561" s="730"/>
      <c r="G561" s="734"/>
      <c r="H561" s="20"/>
      <c r="I561" s="14"/>
    </row>
    <row r="562" spans="1:9" s="57" customFormat="1" x14ac:dyDescent="0.2">
      <c r="A562" s="79"/>
      <c r="B562" s="79"/>
      <c r="C562" s="43"/>
      <c r="D562" s="730"/>
      <c r="E562" s="730"/>
      <c r="F562" s="730"/>
      <c r="G562" s="734"/>
      <c r="H562" s="20"/>
      <c r="I562" s="14"/>
    </row>
    <row r="563" spans="1:9" s="57" customFormat="1" x14ac:dyDescent="0.2">
      <c r="A563" s="79"/>
      <c r="B563" s="79"/>
      <c r="C563" s="43"/>
      <c r="D563" s="730"/>
      <c r="E563" s="730"/>
      <c r="F563" s="730"/>
      <c r="G563" s="734"/>
      <c r="H563" s="20"/>
      <c r="I563" s="14"/>
    </row>
    <row r="564" spans="1:9" s="57" customFormat="1" x14ac:dyDescent="0.2">
      <c r="A564" s="79"/>
      <c r="B564" s="79"/>
      <c r="C564" s="43"/>
      <c r="D564" s="730"/>
      <c r="E564" s="730"/>
      <c r="F564" s="730"/>
      <c r="G564" s="734"/>
      <c r="H564" s="20"/>
      <c r="I564" s="14"/>
    </row>
    <row r="565" spans="1:9" s="57" customFormat="1" x14ac:dyDescent="0.2">
      <c r="A565" s="79"/>
      <c r="B565" s="79"/>
      <c r="C565" s="43"/>
      <c r="D565" s="730"/>
      <c r="E565" s="730"/>
      <c r="F565" s="730"/>
      <c r="G565" s="734"/>
      <c r="H565" s="20"/>
      <c r="I565" s="14"/>
    </row>
    <row r="566" spans="1:9" s="57" customFormat="1" x14ac:dyDescent="0.2">
      <c r="A566" s="79"/>
      <c r="B566" s="79"/>
      <c r="C566" s="43"/>
      <c r="D566" s="730"/>
      <c r="E566" s="730"/>
      <c r="F566" s="730"/>
      <c r="G566" s="734"/>
      <c r="H566" s="20"/>
      <c r="I566" s="14"/>
    </row>
    <row r="567" spans="1:9" s="57" customFormat="1" x14ac:dyDescent="0.2">
      <c r="A567" s="79"/>
      <c r="B567" s="79"/>
      <c r="C567" s="43"/>
      <c r="D567" s="730"/>
      <c r="E567" s="730"/>
      <c r="F567" s="730"/>
      <c r="G567" s="734"/>
      <c r="H567" s="20"/>
      <c r="I567" s="14"/>
    </row>
    <row r="568" spans="1:9" s="57" customFormat="1" x14ac:dyDescent="0.2">
      <c r="A568" s="79"/>
      <c r="B568" s="79"/>
      <c r="C568" s="43"/>
      <c r="D568" s="730"/>
      <c r="E568" s="730"/>
      <c r="F568" s="730"/>
      <c r="G568" s="734"/>
      <c r="H568" s="20"/>
      <c r="I568" s="14"/>
    </row>
    <row r="569" spans="1:9" s="57" customFormat="1" x14ac:dyDescent="0.2">
      <c r="A569" s="79"/>
      <c r="B569" s="79"/>
      <c r="C569" s="43"/>
      <c r="D569" s="730"/>
      <c r="E569" s="730"/>
      <c r="F569" s="730"/>
      <c r="G569" s="734"/>
      <c r="H569" s="20"/>
      <c r="I569" s="14"/>
    </row>
    <row r="570" spans="1:9" s="57" customFormat="1" x14ac:dyDescent="0.2">
      <c r="A570" s="79"/>
      <c r="B570" s="79"/>
      <c r="C570" s="43"/>
      <c r="D570" s="730"/>
      <c r="E570" s="730"/>
      <c r="F570" s="730"/>
      <c r="G570" s="734"/>
      <c r="H570" s="20"/>
      <c r="I570" s="14"/>
    </row>
    <row r="571" spans="1:9" s="57" customFormat="1" x14ac:dyDescent="0.2">
      <c r="A571" s="79"/>
      <c r="B571" s="79"/>
      <c r="C571" s="43"/>
      <c r="D571" s="730"/>
      <c r="E571" s="730"/>
      <c r="F571" s="730"/>
      <c r="G571" s="734"/>
      <c r="H571" s="20"/>
      <c r="I571" s="14"/>
    </row>
    <row r="572" spans="1:9" s="57" customFormat="1" x14ac:dyDescent="0.2">
      <c r="A572" s="79"/>
      <c r="B572" s="79"/>
      <c r="C572" s="43"/>
      <c r="D572" s="730"/>
      <c r="E572" s="730"/>
      <c r="F572" s="730"/>
      <c r="G572" s="734"/>
      <c r="H572" s="20"/>
      <c r="I572" s="14"/>
    </row>
    <row r="573" spans="1:9" s="57" customFormat="1" x14ac:dyDescent="0.2">
      <c r="A573" s="79"/>
      <c r="B573" s="79"/>
      <c r="C573" s="43"/>
      <c r="D573" s="730"/>
      <c r="E573" s="730"/>
      <c r="F573" s="730"/>
      <c r="G573" s="734"/>
      <c r="H573" s="20"/>
      <c r="I573" s="14"/>
    </row>
    <row r="574" spans="1:9" s="57" customFormat="1" x14ac:dyDescent="0.2">
      <c r="A574" s="79"/>
      <c r="B574" s="79"/>
      <c r="C574" s="43"/>
      <c r="D574" s="730"/>
      <c r="E574" s="730"/>
      <c r="F574" s="730"/>
      <c r="G574" s="734"/>
      <c r="H574" s="20"/>
      <c r="I574" s="14"/>
    </row>
    <row r="575" spans="1:9" s="57" customFormat="1" x14ac:dyDescent="0.2">
      <c r="A575" s="79"/>
      <c r="B575" s="79"/>
      <c r="C575" s="43"/>
      <c r="D575" s="730"/>
      <c r="E575" s="730"/>
      <c r="F575" s="730"/>
      <c r="G575" s="734"/>
      <c r="H575" s="20"/>
      <c r="I575" s="14"/>
    </row>
    <row r="576" spans="1:9" s="57" customFormat="1" x14ac:dyDescent="0.2">
      <c r="A576" s="79"/>
      <c r="B576" s="79"/>
      <c r="C576" s="43"/>
      <c r="D576" s="730"/>
      <c r="E576" s="730"/>
      <c r="F576" s="730"/>
      <c r="G576" s="734"/>
      <c r="H576" s="20"/>
      <c r="I576" s="14"/>
    </row>
    <row r="577" spans="1:9" s="57" customFormat="1" x14ac:dyDescent="0.2">
      <c r="A577" s="79"/>
      <c r="B577" s="79"/>
      <c r="C577" s="43"/>
      <c r="D577" s="730"/>
      <c r="E577" s="730"/>
      <c r="F577" s="730"/>
      <c r="G577" s="734"/>
      <c r="H577" s="20"/>
      <c r="I577" s="14"/>
    </row>
    <row r="578" spans="1:9" s="57" customFormat="1" x14ac:dyDescent="0.2">
      <c r="A578" s="79"/>
      <c r="B578" s="79"/>
      <c r="C578" s="43"/>
      <c r="D578" s="730"/>
      <c r="E578" s="730"/>
      <c r="F578" s="730"/>
      <c r="G578" s="734"/>
      <c r="H578" s="20"/>
      <c r="I578" s="14"/>
    </row>
    <row r="579" spans="1:9" s="57" customFormat="1" x14ac:dyDescent="0.2">
      <c r="A579" s="79"/>
      <c r="B579" s="79"/>
      <c r="C579" s="43"/>
      <c r="D579" s="730"/>
      <c r="E579" s="730"/>
      <c r="F579" s="730"/>
      <c r="G579" s="734"/>
      <c r="H579" s="20"/>
      <c r="I579" s="14"/>
    </row>
    <row r="580" spans="1:9" s="57" customFormat="1" x14ac:dyDescent="0.2">
      <c r="A580" s="79"/>
      <c r="B580" s="79"/>
      <c r="C580" s="43"/>
      <c r="D580" s="730"/>
      <c r="E580" s="730"/>
      <c r="F580" s="730"/>
      <c r="G580" s="734"/>
      <c r="H580" s="20"/>
      <c r="I580" s="14"/>
    </row>
    <row r="581" spans="1:9" s="57" customFormat="1" x14ac:dyDescent="0.2">
      <c r="A581" s="79"/>
      <c r="B581" s="79"/>
      <c r="C581" s="43"/>
      <c r="D581" s="730"/>
      <c r="E581" s="730"/>
      <c r="F581" s="730"/>
      <c r="G581" s="734"/>
      <c r="H581" s="20"/>
      <c r="I581" s="14"/>
    </row>
    <row r="582" spans="1:9" s="57" customFormat="1" x14ac:dyDescent="0.2">
      <c r="A582" s="79"/>
      <c r="B582" s="79"/>
      <c r="C582" s="43"/>
      <c r="D582" s="730"/>
      <c r="E582" s="730"/>
      <c r="F582" s="730"/>
      <c r="G582" s="734"/>
      <c r="H582" s="20"/>
      <c r="I582" s="14"/>
    </row>
    <row r="583" spans="1:9" s="57" customFormat="1" x14ac:dyDescent="0.2">
      <c r="A583" s="79"/>
      <c r="B583" s="79"/>
      <c r="C583" s="43"/>
      <c r="D583" s="730"/>
      <c r="E583" s="730"/>
      <c r="F583" s="730"/>
      <c r="G583" s="734"/>
      <c r="H583" s="20"/>
      <c r="I583" s="14"/>
    </row>
    <row r="584" spans="1:9" s="57" customFormat="1" x14ac:dyDescent="0.2">
      <c r="A584" s="79"/>
      <c r="B584" s="79"/>
      <c r="C584" s="43"/>
      <c r="D584" s="730"/>
      <c r="E584" s="730"/>
      <c r="F584" s="730"/>
      <c r="G584" s="734"/>
      <c r="H584" s="20"/>
      <c r="I584" s="14"/>
    </row>
    <row r="585" spans="1:9" s="57" customFormat="1" x14ac:dyDescent="0.2">
      <c r="A585" s="79"/>
      <c r="B585" s="79"/>
      <c r="C585" s="43"/>
      <c r="D585" s="730"/>
      <c r="E585" s="730"/>
      <c r="F585" s="730"/>
      <c r="G585" s="734"/>
      <c r="H585" s="20"/>
      <c r="I585" s="14"/>
    </row>
    <row r="586" spans="1:9" s="57" customFormat="1" x14ac:dyDescent="0.2">
      <c r="A586" s="79"/>
      <c r="B586" s="79"/>
      <c r="C586" s="43"/>
      <c r="D586" s="730"/>
      <c r="E586" s="730"/>
      <c r="F586" s="730"/>
      <c r="G586" s="734"/>
      <c r="H586" s="20"/>
      <c r="I586" s="14"/>
    </row>
    <row r="587" spans="1:9" s="57" customFormat="1" x14ac:dyDescent="0.2">
      <c r="A587" s="79"/>
      <c r="B587" s="79"/>
      <c r="C587" s="43"/>
      <c r="D587" s="730"/>
      <c r="E587" s="730"/>
      <c r="F587" s="730"/>
      <c r="G587" s="734"/>
      <c r="H587" s="20"/>
      <c r="I587" s="14"/>
    </row>
    <row r="588" spans="1:9" s="57" customFormat="1" x14ac:dyDescent="0.2">
      <c r="A588" s="79"/>
      <c r="B588" s="79"/>
      <c r="C588" s="43"/>
      <c r="D588" s="730"/>
      <c r="E588" s="730"/>
      <c r="F588" s="730"/>
      <c r="G588" s="734"/>
      <c r="H588" s="20"/>
      <c r="I588" s="14"/>
    </row>
    <row r="589" spans="1:9" s="57" customFormat="1" x14ac:dyDescent="0.2">
      <c r="A589" s="79"/>
      <c r="B589" s="79"/>
      <c r="C589" s="43"/>
      <c r="D589" s="730"/>
      <c r="E589" s="730"/>
      <c r="F589" s="730"/>
      <c r="G589" s="734"/>
      <c r="H589" s="20"/>
      <c r="I589" s="14"/>
    </row>
    <row r="590" spans="1:9" s="57" customFormat="1" x14ac:dyDescent="0.2">
      <c r="A590" s="79"/>
      <c r="B590" s="79"/>
      <c r="C590" s="43"/>
      <c r="D590" s="730"/>
      <c r="E590" s="730"/>
      <c r="F590" s="730"/>
      <c r="G590" s="734"/>
      <c r="H590" s="20"/>
      <c r="I590" s="14"/>
    </row>
    <row r="591" spans="1:9" s="57" customFormat="1" x14ac:dyDescent="0.2">
      <c r="A591" s="79"/>
      <c r="B591" s="79"/>
      <c r="C591" s="43"/>
      <c r="D591" s="730"/>
      <c r="E591" s="730"/>
      <c r="F591" s="730"/>
      <c r="G591" s="734"/>
      <c r="H591" s="20"/>
      <c r="I591" s="14"/>
    </row>
    <row r="592" spans="1:9" s="57" customFormat="1" x14ac:dyDescent="0.2">
      <c r="A592" s="79"/>
      <c r="B592" s="79"/>
      <c r="C592" s="43"/>
      <c r="D592" s="730"/>
      <c r="E592" s="730"/>
      <c r="F592" s="730"/>
      <c r="G592" s="734"/>
      <c r="H592" s="20"/>
      <c r="I592" s="14"/>
    </row>
    <row r="593" spans="1:9" s="57" customFormat="1" x14ac:dyDescent="0.2">
      <c r="A593" s="79"/>
      <c r="B593" s="79"/>
      <c r="C593" s="43"/>
      <c r="D593" s="730"/>
      <c r="E593" s="730"/>
      <c r="F593" s="730"/>
      <c r="G593" s="734"/>
      <c r="H593" s="20"/>
      <c r="I593" s="14"/>
    </row>
    <row r="594" spans="1:9" s="57" customFormat="1" x14ac:dyDescent="0.2">
      <c r="A594" s="79"/>
      <c r="B594" s="79"/>
      <c r="C594" s="43"/>
      <c r="D594" s="730"/>
      <c r="E594" s="730"/>
      <c r="F594" s="730"/>
      <c r="G594" s="734"/>
      <c r="H594" s="20"/>
      <c r="I594" s="14"/>
    </row>
    <row r="595" spans="1:9" s="57" customFormat="1" x14ac:dyDescent="0.2">
      <c r="A595" s="79"/>
      <c r="B595" s="79"/>
      <c r="C595" s="43"/>
      <c r="D595" s="730"/>
      <c r="E595" s="730"/>
      <c r="F595" s="730"/>
      <c r="G595" s="734"/>
      <c r="H595" s="20"/>
      <c r="I595" s="14"/>
    </row>
    <row r="596" spans="1:9" s="57" customFormat="1" x14ac:dyDescent="0.2">
      <c r="A596" s="79"/>
      <c r="B596" s="79"/>
      <c r="C596" s="43"/>
      <c r="D596" s="730"/>
      <c r="E596" s="730"/>
      <c r="F596" s="730"/>
      <c r="G596" s="734"/>
      <c r="H596" s="20"/>
      <c r="I596" s="14"/>
    </row>
    <row r="597" spans="1:9" s="57" customFormat="1" x14ac:dyDescent="0.2">
      <c r="A597" s="79"/>
      <c r="B597" s="79"/>
      <c r="C597" s="43"/>
      <c r="D597" s="730"/>
      <c r="E597" s="730"/>
      <c r="F597" s="730"/>
      <c r="G597" s="734"/>
      <c r="H597" s="20"/>
      <c r="I597" s="14"/>
    </row>
    <row r="598" spans="1:9" s="57" customFormat="1" x14ac:dyDescent="0.2">
      <c r="A598" s="79"/>
      <c r="B598" s="79"/>
      <c r="C598" s="43"/>
      <c r="D598" s="730"/>
      <c r="E598" s="730"/>
      <c r="F598" s="730"/>
      <c r="G598" s="734"/>
      <c r="H598" s="20"/>
      <c r="I598" s="14"/>
    </row>
    <row r="599" spans="1:9" s="57" customFormat="1" x14ac:dyDescent="0.2">
      <c r="A599" s="79"/>
      <c r="B599" s="79"/>
      <c r="C599" s="43"/>
      <c r="D599" s="730"/>
      <c r="E599" s="730"/>
      <c r="F599" s="730"/>
      <c r="G599" s="734"/>
      <c r="H599" s="20"/>
      <c r="I599" s="14"/>
    </row>
    <row r="600" spans="1:9" s="57" customFormat="1" x14ac:dyDescent="0.2">
      <c r="A600" s="79"/>
      <c r="B600" s="79"/>
      <c r="C600" s="43"/>
      <c r="D600" s="730"/>
      <c r="E600" s="730"/>
      <c r="F600" s="730"/>
      <c r="G600" s="734"/>
      <c r="H600" s="20"/>
      <c r="I600" s="14"/>
    </row>
    <row r="601" spans="1:9" s="57" customFormat="1" x14ac:dyDescent="0.2">
      <c r="A601" s="79"/>
      <c r="B601" s="79"/>
      <c r="C601" s="43"/>
      <c r="D601" s="730"/>
      <c r="E601" s="730"/>
      <c r="F601" s="730"/>
      <c r="G601" s="734"/>
      <c r="H601" s="20"/>
      <c r="I601" s="14"/>
    </row>
    <row r="602" spans="1:9" s="57" customFormat="1" x14ac:dyDescent="0.2">
      <c r="A602" s="79"/>
      <c r="B602" s="79"/>
      <c r="C602" s="43"/>
      <c r="D602" s="730"/>
      <c r="E602" s="730"/>
      <c r="F602" s="730"/>
      <c r="G602" s="734"/>
      <c r="H602" s="20"/>
      <c r="I602" s="14"/>
    </row>
    <row r="603" spans="1:9" s="57" customFormat="1" x14ac:dyDescent="0.2">
      <c r="A603" s="79"/>
      <c r="B603" s="79"/>
      <c r="C603" s="43"/>
      <c r="D603" s="730"/>
      <c r="E603" s="730"/>
      <c r="F603" s="730"/>
      <c r="G603" s="734"/>
      <c r="H603" s="20"/>
      <c r="I603" s="14"/>
    </row>
    <row r="604" spans="1:9" s="57" customFormat="1" x14ac:dyDescent="0.2">
      <c r="A604" s="79"/>
      <c r="B604" s="79"/>
      <c r="C604" s="43"/>
      <c r="D604" s="730"/>
      <c r="E604" s="730"/>
      <c r="F604" s="730"/>
      <c r="G604" s="734"/>
      <c r="H604" s="20"/>
      <c r="I604" s="14"/>
    </row>
    <row r="605" spans="1:9" s="57" customFormat="1" x14ac:dyDescent="0.2">
      <c r="A605" s="79"/>
      <c r="B605" s="79"/>
      <c r="C605" s="43"/>
      <c r="D605" s="730"/>
      <c r="E605" s="730"/>
      <c r="F605" s="730"/>
      <c r="G605" s="734"/>
      <c r="H605" s="20"/>
      <c r="I605" s="14"/>
    </row>
    <row r="606" spans="1:9" s="57" customFormat="1" x14ac:dyDescent="0.2">
      <c r="A606" s="79"/>
      <c r="B606" s="79"/>
      <c r="C606" s="43"/>
      <c r="D606" s="730"/>
      <c r="E606" s="730"/>
      <c r="F606" s="730"/>
      <c r="G606" s="734"/>
      <c r="H606" s="20"/>
      <c r="I606" s="14"/>
    </row>
    <row r="607" spans="1:9" s="57" customFormat="1" x14ac:dyDescent="0.2">
      <c r="A607" s="79"/>
      <c r="B607" s="79"/>
      <c r="C607" s="43"/>
      <c r="D607" s="730"/>
      <c r="E607" s="730"/>
      <c r="F607" s="730"/>
      <c r="G607" s="734"/>
      <c r="H607" s="20"/>
      <c r="I607" s="14"/>
    </row>
    <row r="608" spans="1:9" s="57" customFormat="1" x14ac:dyDescent="0.2">
      <c r="A608" s="79"/>
      <c r="B608" s="79"/>
      <c r="C608" s="43"/>
      <c r="D608" s="730"/>
      <c r="E608" s="730"/>
      <c r="F608" s="730"/>
      <c r="G608" s="734"/>
      <c r="H608" s="20"/>
      <c r="I608" s="14"/>
    </row>
    <row r="609" spans="1:9" s="57" customFormat="1" x14ac:dyDescent="0.2">
      <c r="A609" s="79"/>
      <c r="B609" s="79"/>
      <c r="C609" s="43"/>
      <c r="D609" s="730"/>
      <c r="E609" s="730"/>
      <c r="F609" s="730"/>
      <c r="G609" s="734"/>
      <c r="H609" s="20"/>
      <c r="I609" s="14"/>
    </row>
    <row r="610" spans="1:9" s="57" customFormat="1" x14ac:dyDescent="0.2">
      <c r="A610" s="79"/>
      <c r="B610" s="79"/>
      <c r="C610" s="43"/>
      <c r="D610" s="730"/>
      <c r="E610" s="730"/>
      <c r="F610" s="730"/>
      <c r="G610" s="734"/>
      <c r="H610" s="20"/>
      <c r="I610" s="14"/>
    </row>
    <row r="611" spans="1:9" s="57" customFormat="1" x14ac:dyDescent="0.2">
      <c r="A611" s="79"/>
      <c r="B611" s="79"/>
      <c r="C611" s="43"/>
      <c r="D611" s="730"/>
      <c r="E611" s="730"/>
      <c r="F611" s="730"/>
      <c r="G611" s="734"/>
      <c r="H611" s="20"/>
      <c r="I611" s="14"/>
    </row>
    <row r="612" spans="1:9" s="57" customFormat="1" x14ac:dyDescent="0.2">
      <c r="A612" s="79"/>
      <c r="B612" s="79"/>
      <c r="C612" s="43"/>
      <c r="D612" s="730"/>
      <c r="E612" s="730"/>
      <c r="F612" s="730"/>
      <c r="G612" s="734"/>
      <c r="H612" s="20"/>
      <c r="I612" s="14"/>
    </row>
    <row r="613" spans="1:9" s="57" customFormat="1" x14ac:dyDescent="0.2">
      <c r="A613" s="79"/>
      <c r="B613" s="79"/>
      <c r="C613" s="43"/>
      <c r="D613" s="730"/>
      <c r="E613" s="730"/>
      <c r="F613" s="730"/>
      <c r="G613" s="734"/>
      <c r="H613" s="20"/>
      <c r="I613" s="14"/>
    </row>
    <row r="614" spans="1:9" s="57" customFormat="1" x14ac:dyDescent="0.2">
      <c r="A614" s="79"/>
      <c r="B614" s="79"/>
      <c r="C614" s="43"/>
      <c r="D614" s="730"/>
      <c r="E614" s="730"/>
      <c r="F614" s="730"/>
      <c r="G614" s="734"/>
      <c r="H614" s="20"/>
      <c r="I614" s="14"/>
    </row>
    <row r="615" spans="1:9" s="57" customFormat="1" x14ac:dyDescent="0.2">
      <c r="A615" s="79"/>
      <c r="B615" s="79"/>
      <c r="C615" s="43"/>
      <c r="D615" s="730"/>
      <c r="E615" s="730"/>
      <c r="F615" s="730"/>
      <c r="G615" s="734"/>
      <c r="H615" s="20"/>
      <c r="I615" s="14"/>
    </row>
    <row r="616" spans="1:9" s="57" customFormat="1" x14ac:dyDescent="0.2">
      <c r="A616" s="79"/>
      <c r="B616" s="79"/>
      <c r="C616" s="43"/>
      <c r="D616" s="730"/>
      <c r="E616" s="730"/>
      <c r="F616" s="730"/>
      <c r="G616" s="734"/>
      <c r="H616" s="20"/>
      <c r="I616" s="14"/>
    </row>
    <row r="617" spans="1:9" s="57" customFormat="1" x14ac:dyDescent="0.2">
      <c r="A617" s="79"/>
      <c r="B617" s="79"/>
      <c r="C617" s="43"/>
      <c r="D617" s="730"/>
      <c r="E617" s="730"/>
      <c r="F617" s="730"/>
      <c r="G617" s="734"/>
      <c r="H617" s="20"/>
      <c r="I617" s="14"/>
    </row>
    <row r="618" spans="1:9" s="57" customFormat="1" x14ac:dyDescent="0.2">
      <c r="A618" s="79"/>
      <c r="B618" s="79"/>
      <c r="C618" s="43"/>
      <c r="D618" s="730"/>
      <c r="E618" s="730"/>
      <c r="F618" s="730"/>
      <c r="G618" s="734"/>
      <c r="H618" s="20"/>
      <c r="I618" s="14"/>
    </row>
    <row r="619" spans="1:9" s="57" customFormat="1" x14ac:dyDescent="0.2">
      <c r="A619" s="79"/>
      <c r="B619" s="79"/>
      <c r="C619" s="43"/>
      <c r="D619" s="730"/>
      <c r="E619" s="730"/>
      <c r="F619" s="730"/>
      <c r="G619" s="734"/>
      <c r="H619" s="20"/>
      <c r="I619" s="14"/>
    </row>
    <row r="620" spans="1:9" s="57" customFormat="1" x14ac:dyDescent="0.2">
      <c r="A620" s="79"/>
      <c r="B620" s="79"/>
      <c r="C620" s="43"/>
      <c r="D620" s="730"/>
      <c r="E620" s="730"/>
      <c r="F620" s="730"/>
      <c r="G620" s="734"/>
      <c r="H620" s="20"/>
      <c r="I620" s="14"/>
    </row>
    <row r="621" spans="1:9" s="57" customFormat="1" x14ac:dyDescent="0.2">
      <c r="A621" s="79"/>
      <c r="B621" s="79"/>
      <c r="C621" s="43"/>
      <c r="D621" s="730"/>
      <c r="E621" s="730"/>
      <c r="F621" s="730"/>
      <c r="G621" s="734"/>
      <c r="H621" s="20"/>
      <c r="I621" s="14"/>
    </row>
    <row r="622" spans="1:9" s="57" customFormat="1" x14ac:dyDescent="0.2">
      <c r="A622" s="79"/>
      <c r="B622" s="79"/>
      <c r="C622" s="43"/>
      <c r="D622" s="730"/>
      <c r="E622" s="730"/>
      <c r="F622" s="730"/>
      <c r="G622" s="734"/>
      <c r="H622" s="20"/>
      <c r="I622" s="14"/>
    </row>
    <row r="623" spans="1:9" x14ac:dyDescent="0.2">
      <c r="H623" s="20"/>
      <c r="I623" s="14"/>
    </row>
    <row r="624" spans="1:9" x14ac:dyDescent="0.2">
      <c r="H624" s="20"/>
      <c r="I624" s="14"/>
    </row>
    <row r="625" spans="8:9" x14ac:dyDescent="0.2">
      <c r="H625" s="20"/>
      <c r="I625" s="14"/>
    </row>
    <row r="626" spans="8:9" x14ac:dyDescent="0.2">
      <c r="H626" s="20"/>
      <c r="I626" s="14"/>
    </row>
  </sheetData>
  <sheetProtection algorithmName="SHA-512" hashValue="kUxZlbq0M4mf3ahPdHOcINawJM6yhA2AoC8mMVR1V91/jQ7m5CFD2lXiUmilS+543Z/7She58A/49LOol5tzAA==" saltValue="IntTvRwhXL0TTeHZ3UceTg==" spinCount="100000" sheet="1" formatCells="0" formatColumns="0" formatRows="0"/>
  <customSheetViews>
    <customSheetView guid="{B8E02330-2419-4DE6-AD01-7ACC7A5D18DD}" scale="75" topLeftCell="A204">
      <selection activeCell="A2" sqref="A2:H226"/>
      <pageMargins left="0.75" right="0.75" top="1" bottom="1" header="0.5" footer="0.5"/>
      <pageSetup orientation="portrait" r:id="rId1"/>
      <headerFooter alignWithMargins="0"/>
    </customSheetView>
  </customSheetViews>
  <mergeCells count="156">
    <mergeCell ref="A179:A186"/>
    <mergeCell ref="B179:B186"/>
    <mergeCell ref="I179:I186"/>
    <mergeCell ref="H3:H9"/>
    <mergeCell ref="A112:A118"/>
    <mergeCell ref="B112:B118"/>
    <mergeCell ref="H10:H16"/>
    <mergeCell ref="H43:H49"/>
    <mergeCell ref="H112:H118"/>
    <mergeCell ref="H78:H83"/>
    <mergeCell ref="H84:H89"/>
    <mergeCell ref="H102:H105"/>
    <mergeCell ref="H90:H95"/>
    <mergeCell ref="H37:H41"/>
    <mergeCell ref="H106:H111"/>
    <mergeCell ref="B59:B62"/>
    <mergeCell ref="A50:A58"/>
    <mergeCell ref="H17:H24"/>
    <mergeCell ref="H32:H36"/>
    <mergeCell ref="H96:H101"/>
    <mergeCell ref="A43:A49"/>
    <mergeCell ref="B50:B58"/>
    <mergeCell ref="B63:B68"/>
    <mergeCell ref="H63:H68"/>
    <mergeCell ref="H50:H58"/>
    <mergeCell ref="H59:H62"/>
    <mergeCell ref="H71:H77"/>
    <mergeCell ref="H25:H31"/>
    <mergeCell ref="H119:H125"/>
    <mergeCell ref="H126:H131"/>
    <mergeCell ref="H142:H145"/>
    <mergeCell ref="A137:A140"/>
    <mergeCell ref="A126:A131"/>
    <mergeCell ref="A119:A125"/>
    <mergeCell ref="A71:A77"/>
    <mergeCell ref="A59:A62"/>
    <mergeCell ref="A96:A101"/>
    <mergeCell ref="A63:A68"/>
    <mergeCell ref="B132:B136"/>
    <mergeCell ref="A132:A136"/>
    <mergeCell ref="H132:H136"/>
    <mergeCell ref="B171:B175"/>
    <mergeCell ref="B164:B170"/>
    <mergeCell ref="B146:B149"/>
    <mergeCell ref="A171:A175"/>
    <mergeCell ref="B84:B89"/>
    <mergeCell ref="B102:B105"/>
    <mergeCell ref="B96:B101"/>
    <mergeCell ref="B90:B95"/>
    <mergeCell ref="B126:B131"/>
    <mergeCell ref="A102:A105"/>
    <mergeCell ref="A90:A95"/>
    <mergeCell ref="A84:A89"/>
    <mergeCell ref="A146:A149"/>
    <mergeCell ref="B142:B145"/>
    <mergeCell ref="A142:A145"/>
    <mergeCell ref="B161:B163"/>
    <mergeCell ref="B155:B160"/>
    <mergeCell ref="A155:A160"/>
    <mergeCell ref="B119:B125"/>
    <mergeCell ref="B137:B140"/>
    <mergeCell ref="A164:A170"/>
    <mergeCell ref="A161:A163"/>
    <mergeCell ref="A150:A154"/>
    <mergeCell ref="A1:B1"/>
    <mergeCell ref="A3:A9"/>
    <mergeCell ref="B17:B24"/>
    <mergeCell ref="B32:B36"/>
    <mergeCell ref="A25:A31"/>
    <mergeCell ref="A32:A36"/>
    <mergeCell ref="B3:B9"/>
    <mergeCell ref="A10:A16"/>
    <mergeCell ref="B78:B83"/>
    <mergeCell ref="B37:B41"/>
    <mergeCell ref="A37:A41"/>
    <mergeCell ref="A78:A83"/>
    <mergeCell ref="B10:B16"/>
    <mergeCell ref="A17:A24"/>
    <mergeCell ref="B25:B31"/>
    <mergeCell ref="B71:B77"/>
    <mergeCell ref="B43:B49"/>
    <mergeCell ref="I3:I9"/>
    <mergeCell ref="I10:I16"/>
    <mergeCell ref="I17:I24"/>
    <mergeCell ref="I25:I31"/>
    <mergeCell ref="I32:I36"/>
    <mergeCell ref="A189:C196"/>
    <mergeCell ref="A197:B198"/>
    <mergeCell ref="D190:F190"/>
    <mergeCell ref="D191:F191"/>
    <mergeCell ref="D192:F192"/>
    <mergeCell ref="D193:F193"/>
    <mergeCell ref="D194:F194"/>
    <mergeCell ref="D195:F195"/>
    <mergeCell ref="C197:E197"/>
    <mergeCell ref="C198:E198"/>
    <mergeCell ref="D196:H196"/>
    <mergeCell ref="D189:H189"/>
    <mergeCell ref="B106:B111"/>
    <mergeCell ref="B150:B154"/>
    <mergeCell ref="A106:A111"/>
    <mergeCell ref="I71:I77"/>
    <mergeCell ref="I78:I83"/>
    <mergeCell ref="I84:I89"/>
    <mergeCell ref="I90:I95"/>
    <mergeCell ref="I43:I49"/>
    <mergeCell ref="I50:I58"/>
    <mergeCell ref="I59:I62"/>
    <mergeCell ref="I63:I68"/>
    <mergeCell ref="I171:I175"/>
    <mergeCell ref="I137:I140"/>
    <mergeCell ref="I142:I145"/>
    <mergeCell ref="I146:I149"/>
    <mergeCell ref="I150:I154"/>
    <mergeCell ref="I155:I160"/>
    <mergeCell ref="I102:I105"/>
    <mergeCell ref="I106:I111"/>
    <mergeCell ref="I112:I118"/>
    <mergeCell ref="I119:I125"/>
    <mergeCell ref="I126:I131"/>
    <mergeCell ref="I132:I136"/>
    <mergeCell ref="H146:H149"/>
    <mergeCell ref="H171:H175"/>
    <mergeCell ref="H155:H160"/>
    <mergeCell ref="H150:H154"/>
    <mergeCell ref="H137:H140"/>
    <mergeCell ref="H219:I219"/>
    <mergeCell ref="E1:I1"/>
    <mergeCell ref="H217:I217"/>
    <mergeCell ref="H218:I218"/>
    <mergeCell ref="H213:I213"/>
    <mergeCell ref="H212:I212"/>
    <mergeCell ref="H211:I211"/>
    <mergeCell ref="H209:I209"/>
    <mergeCell ref="H210:I210"/>
    <mergeCell ref="H214:I214"/>
    <mergeCell ref="H215:I215"/>
    <mergeCell ref="H216:I216"/>
    <mergeCell ref="H203:I203"/>
    <mergeCell ref="H204:I204"/>
    <mergeCell ref="H206:I206"/>
    <mergeCell ref="H207:I207"/>
    <mergeCell ref="H208:I208"/>
    <mergeCell ref="I96:I101"/>
    <mergeCell ref="I37:I41"/>
    <mergeCell ref="H205:I205"/>
    <mergeCell ref="H197:I197"/>
    <mergeCell ref="H198:I198"/>
    <mergeCell ref="H200:I200"/>
    <mergeCell ref="H201:I201"/>
    <mergeCell ref="H202:I202"/>
    <mergeCell ref="I161:I163"/>
    <mergeCell ref="I164:I170"/>
    <mergeCell ref="H161:H163"/>
    <mergeCell ref="H164:H170"/>
    <mergeCell ref="H179:H186"/>
  </mergeCells>
  <phoneticPr fontId="3" type="noConversion"/>
  <pageMargins left="0.75" right="0.75" top="1" bottom="1" header="0.5" footer="0.5"/>
  <pageSetup orientation="portrait"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dimension ref="A1:L686"/>
  <sheetViews>
    <sheetView zoomScaleNormal="100" workbookViewId="0">
      <selection sqref="A1:B1"/>
    </sheetView>
  </sheetViews>
  <sheetFormatPr defaultColWidth="9.33203125" defaultRowHeight="16.5" x14ac:dyDescent="0.2"/>
  <cols>
    <col min="1" max="1" width="5.83203125" style="37" customWidth="1"/>
    <col min="2" max="2" width="18.83203125" style="37" customWidth="1"/>
    <col min="3" max="3" width="75.83203125" style="33" customWidth="1"/>
    <col min="4" max="6" width="7.83203125" style="786" customWidth="1"/>
    <col min="7" max="7" width="9.83203125" style="787" customWidth="1"/>
    <col min="8" max="8" width="64.83203125" style="38" customWidth="1"/>
    <col min="9" max="9" width="11.6640625" style="1850" customWidth="1"/>
    <col min="10" max="10" width="9.33203125" style="106"/>
    <col min="11" max="16384" width="9.33203125" style="33"/>
  </cols>
  <sheetData>
    <row r="1" spans="1:12" s="2117" customFormat="1" ht="69" customHeight="1" thickBot="1" x14ac:dyDescent="0.25">
      <c r="A1" s="2584" t="s">
        <v>2436</v>
      </c>
      <c r="B1" s="2585"/>
      <c r="C1" s="2058" t="s">
        <v>1085</v>
      </c>
      <c r="D1" s="2059" t="s">
        <v>1073</v>
      </c>
      <c r="E1" s="2931"/>
      <c r="F1" s="2932"/>
      <c r="G1" s="2932"/>
      <c r="H1" s="2932"/>
      <c r="I1" s="2932"/>
      <c r="J1" s="378"/>
    </row>
    <row r="2" spans="1:12" s="1375" customFormat="1" ht="36" customHeight="1" thickBot="1" x14ac:dyDescent="0.25">
      <c r="A2" s="1195" t="s">
        <v>88</v>
      </c>
      <c r="B2" s="1158" t="s">
        <v>1425</v>
      </c>
      <c r="C2" s="1196" t="s">
        <v>1165</v>
      </c>
      <c r="D2" s="1158" t="s">
        <v>45</v>
      </c>
      <c r="E2" s="1249" t="s">
        <v>1189</v>
      </c>
      <c r="F2" s="1250" t="s">
        <v>1190</v>
      </c>
      <c r="G2" s="1251" t="s">
        <v>2555</v>
      </c>
      <c r="H2" s="1158" t="s">
        <v>1118</v>
      </c>
      <c r="I2" s="1232" t="s">
        <v>2424</v>
      </c>
      <c r="J2" s="169"/>
      <c r="K2" s="169"/>
      <c r="L2" s="169"/>
    </row>
    <row r="3" spans="1:12" s="32" customFormat="1" ht="30" customHeight="1" thickBot="1" x14ac:dyDescent="0.25">
      <c r="A3" s="2928" t="str">
        <f>OF!A9</f>
        <v>OF2</v>
      </c>
      <c r="B3" s="2928" t="str">
        <f>OF!B9</f>
        <v xml:space="preserve">Ponded Area Within 1 km.  </v>
      </c>
      <c r="C3" s="740" t="str">
        <f>OF!C9</f>
        <v>The area of surface water ponded during most of the growing season that is both (1) in or adjacent to the AA and (2) within 1 km is:</v>
      </c>
      <c r="D3" s="768"/>
      <c r="E3" s="756"/>
      <c r="F3" s="756"/>
      <c r="G3" s="780">
        <f>MAX(F4:F9)/MAX(E4:E9)</f>
        <v>0</v>
      </c>
      <c r="H3" s="2323" t="s">
        <v>1609</v>
      </c>
      <c r="I3" s="2326" t="s">
        <v>2865</v>
      </c>
      <c r="J3" s="147"/>
    </row>
    <row r="4" spans="1:12" s="32" customFormat="1" ht="15" customHeight="1" x14ac:dyDescent="0.2">
      <c r="A4" s="2929"/>
      <c r="B4" s="2929"/>
      <c r="C4" s="741" t="str">
        <f>OF!C10</f>
        <v>&lt;0.01 hectare (about 10 m x 10 m).</v>
      </c>
      <c r="D4" s="207">
        <f>OF!D10</f>
        <v>1</v>
      </c>
      <c r="E4" s="758">
        <v>0</v>
      </c>
      <c r="F4" s="758">
        <f t="shared" ref="F4:F9" si="0">D4*E4</f>
        <v>0</v>
      </c>
      <c r="G4" s="772"/>
      <c r="H4" s="2324"/>
      <c r="I4" s="2327"/>
      <c r="J4" s="147"/>
    </row>
    <row r="5" spans="1:12" s="32" customFormat="1" ht="15" customHeight="1" x14ac:dyDescent="0.2">
      <c r="A5" s="2929"/>
      <c r="B5" s="2929"/>
      <c r="C5" s="742" t="str">
        <f>OF!C11</f>
        <v>0.01 - 0.1 hectare.</v>
      </c>
      <c r="D5" s="207">
        <f>OF!D11</f>
        <v>0</v>
      </c>
      <c r="E5" s="758">
        <v>2</v>
      </c>
      <c r="F5" s="758">
        <f t="shared" si="0"/>
        <v>0</v>
      </c>
      <c r="G5" s="772"/>
      <c r="H5" s="2324"/>
      <c r="I5" s="2327"/>
      <c r="J5" s="147"/>
    </row>
    <row r="6" spans="1:12" s="32" customFormat="1" ht="15" customHeight="1" x14ac:dyDescent="0.2">
      <c r="A6" s="2929"/>
      <c r="B6" s="2929"/>
      <c r="C6" s="742" t="str">
        <f>OF!C12</f>
        <v>0.1 - 1 hectare.</v>
      </c>
      <c r="D6" s="207">
        <f>OF!D12</f>
        <v>0</v>
      </c>
      <c r="E6" s="758">
        <v>3</v>
      </c>
      <c r="F6" s="758">
        <f t="shared" si="0"/>
        <v>0</v>
      </c>
      <c r="G6" s="772"/>
      <c r="H6" s="2324"/>
      <c r="I6" s="2327"/>
      <c r="J6" s="147"/>
    </row>
    <row r="7" spans="1:12" s="32" customFormat="1" ht="15" customHeight="1" x14ac:dyDescent="0.2">
      <c r="A7" s="2929"/>
      <c r="B7" s="2929"/>
      <c r="C7" s="742" t="str">
        <f>OF!C13</f>
        <v>1 to 10 hectares.</v>
      </c>
      <c r="D7" s="207">
        <f>OF!D13</f>
        <v>0</v>
      </c>
      <c r="E7" s="758">
        <v>4</v>
      </c>
      <c r="F7" s="758">
        <f t="shared" si="0"/>
        <v>0</v>
      </c>
      <c r="G7" s="772"/>
      <c r="H7" s="2324"/>
      <c r="I7" s="2327"/>
      <c r="J7" s="147"/>
    </row>
    <row r="8" spans="1:12" s="32" customFormat="1" ht="15" customHeight="1" x14ac:dyDescent="0.2">
      <c r="A8" s="2929"/>
      <c r="B8" s="2929"/>
      <c r="C8" s="742" t="str">
        <f>OF!C14</f>
        <v>10 to 100 hectares.</v>
      </c>
      <c r="D8" s="207">
        <f>OF!D14</f>
        <v>0</v>
      </c>
      <c r="E8" s="758">
        <v>5</v>
      </c>
      <c r="F8" s="758">
        <f t="shared" si="0"/>
        <v>0</v>
      </c>
      <c r="G8" s="772"/>
      <c r="H8" s="2324"/>
      <c r="I8" s="2327"/>
      <c r="J8" s="147"/>
    </row>
    <row r="9" spans="1:12" s="32" customFormat="1" ht="15" customHeight="1" thickBot="1" x14ac:dyDescent="0.25">
      <c r="A9" s="2930"/>
      <c r="B9" s="2930"/>
      <c r="C9" s="743" t="str">
        <f>OF!C15</f>
        <v>&gt;100 hectares.</v>
      </c>
      <c r="D9" s="208">
        <f>OF!D15</f>
        <v>0</v>
      </c>
      <c r="E9" s="760">
        <v>7</v>
      </c>
      <c r="F9" s="760">
        <f t="shared" si="0"/>
        <v>0</v>
      </c>
      <c r="G9" s="943"/>
      <c r="H9" s="2325"/>
      <c r="I9" s="2328"/>
      <c r="J9" s="147"/>
    </row>
    <row r="10" spans="1:12" ht="42" customHeight="1" thickBot="1" x14ac:dyDescent="0.25">
      <c r="A10" s="2919" t="str">
        <f>OF!A23</f>
        <v>OF4</v>
      </c>
      <c r="B10" s="2904" t="str">
        <f>OF!B23</f>
        <v xml:space="preserve">Size of Largest Nearby Vegetated Tract or Corridor </v>
      </c>
      <c r="C10" s="747" t="str">
        <f>OF!C23</f>
        <v>The largest vegetated patch or corridor that includes the AA's vegetation plus all adjacent upland vegetation that is not lawn, row crops, heavily grazed lands, conifer plantation is:</v>
      </c>
      <c r="D10" s="875"/>
      <c r="E10" s="756"/>
      <c r="F10" s="767"/>
      <c r="G10" s="780">
        <f>MAX(F11:F17)/MAX(E11:E17)</f>
        <v>0.66666666666666663</v>
      </c>
      <c r="H10" s="2529" t="s">
        <v>1651</v>
      </c>
      <c r="I10" s="2552" t="s">
        <v>2866</v>
      </c>
    </row>
    <row r="11" spans="1:12" ht="30" customHeight="1" x14ac:dyDescent="0.2">
      <c r="A11" s="2923"/>
      <c r="B11" s="2912"/>
      <c r="C11" s="750" t="str">
        <f>OF!C24</f>
        <v>&lt;0.01 hectare (about 10 m x 10 m).</v>
      </c>
      <c r="D11" s="266">
        <f>OF!D24</f>
        <v>0</v>
      </c>
      <c r="E11" s="300">
        <v>0</v>
      </c>
      <c r="F11" s="300">
        <f t="shared" ref="F11:F17" si="1">D11*E11</f>
        <v>0</v>
      </c>
      <c r="G11" s="771"/>
      <c r="H11" s="2404"/>
      <c r="I11" s="2917"/>
    </row>
    <row r="12" spans="1:12" ht="30" customHeight="1" x14ac:dyDescent="0.2">
      <c r="A12" s="2923"/>
      <c r="B12" s="2912"/>
      <c r="C12" s="751" t="str">
        <f>OF!C25</f>
        <v>0.01 - 0.1 hectare.</v>
      </c>
      <c r="D12" s="266">
        <f>OF!D25</f>
        <v>0</v>
      </c>
      <c r="E12" s="300">
        <v>1</v>
      </c>
      <c r="F12" s="300">
        <f t="shared" si="1"/>
        <v>0</v>
      </c>
      <c r="G12" s="772"/>
      <c r="H12" s="2404"/>
      <c r="I12" s="2917"/>
    </row>
    <row r="13" spans="1:12" ht="30" customHeight="1" x14ac:dyDescent="0.2">
      <c r="A13" s="2923"/>
      <c r="B13" s="2912"/>
      <c r="C13" s="751" t="str">
        <f>OF!C26</f>
        <v>0.1 - 1 hectare.</v>
      </c>
      <c r="D13" s="266">
        <f>OF!D26</f>
        <v>0</v>
      </c>
      <c r="E13" s="300">
        <v>2</v>
      </c>
      <c r="F13" s="300">
        <f t="shared" si="1"/>
        <v>0</v>
      </c>
      <c r="G13" s="772"/>
      <c r="H13" s="2404"/>
      <c r="I13" s="2917"/>
    </row>
    <row r="14" spans="1:12" ht="30" customHeight="1" x14ac:dyDescent="0.2">
      <c r="A14" s="2923"/>
      <c r="B14" s="2912"/>
      <c r="C14" s="751" t="str">
        <f>OF!C27</f>
        <v>1 to 10 hectares.</v>
      </c>
      <c r="D14" s="266">
        <f>OF!D27</f>
        <v>0</v>
      </c>
      <c r="E14" s="300">
        <v>4</v>
      </c>
      <c r="F14" s="300">
        <f t="shared" si="1"/>
        <v>0</v>
      </c>
      <c r="G14" s="772"/>
      <c r="H14" s="2404"/>
      <c r="I14" s="2917"/>
    </row>
    <row r="15" spans="1:12" ht="30" customHeight="1" x14ac:dyDescent="0.2">
      <c r="A15" s="2923"/>
      <c r="B15" s="2912"/>
      <c r="C15" s="751" t="str">
        <f>OF!C28</f>
        <v>10 to 100 hectares.</v>
      </c>
      <c r="D15" s="266">
        <f>OF!D28</f>
        <v>1</v>
      </c>
      <c r="E15" s="300">
        <v>6</v>
      </c>
      <c r="F15" s="300">
        <f t="shared" si="1"/>
        <v>6</v>
      </c>
      <c r="G15" s="772"/>
      <c r="H15" s="2404"/>
      <c r="I15" s="2917"/>
    </row>
    <row r="16" spans="1:12" ht="30" customHeight="1" x14ac:dyDescent="0.2">
      <c r="A16" s="2923"/>
      <c r="B16" s="2912"/>
      <c r="C16" s="751" t="str">
        <f>OF!C29</f>
        <v>100 to 1000 hectares.</v>
      </c>
      <c r="D16" s="266">
        <f>OF!D29</f>
        <v>0</v>
      </c>
      <c r="E16" s="300">
        <v>7</v>
      </c>
      <c r="F16" s="300">
        <f t="shared" si="1"/>
        <v>0</v>
      </c>
      <c r="G16" s="772"/>
      <c r="H16" s="2404"/>
      <c r="I16" s="2917"/>
    </row>
    <row r="17" spans="1:9" ht="30" customHeight="1" thickBot="1" x14ac:dyDescent="0.25">
      <c r="A17" s="2924"/>
      <c r="B17" s="2913"/>
      <c r="C17" s="748" t="str">
        <f>OF!C30</f>
        <v>&gt;1000 hectares. [This is nearly always the answer in relatively undeveloped landscapes.]</v>
      </c>
      <c r="D17" s="263">
        <f>OF!D30</f>
        <v>0</v>
      </c>
      <c r="E17" s="301">
        <v>9</v>
      </c>
      <c r="F17" s="301">
        <f t="shared" si="1"/>
        <v>0</v>
      </c>
      <c r="G17" s="943"/>
      <c r="H17" s="2530"/>
      <c r="I17" s="2918"/>
    </row>
    <row r="18" spans="1:9" ht="30" customHeight="1" thickBot="1" x14ac:dyDescent="0.25">
      <c r="A18" s="2941" t="str">
        <f>OF!A31</f>
        <v>OF5</v>
      </c>
      <c r="B18" s="2905" t="str">
        <f>OF!B31</f>
        <v>Distance to Large Vegetated Tract</v>
      </c>
      <c r="C18" s="747" t="str">
        <f>OF!C31</f>
        <v>The minimum distance from the edge of the AA to the edge of the closest vegetated land (but excluding row crops, lawn, conifer plantation) larger than 375 hectares (about 2 km on a side), is:</v>
      </c>
      <c r="D18" s="764"/>
      <c r="E18" s="764"/>
      <c r="F18" s="765"/>
      <c r="G18" s="775">
        <f>MAX(F19:F25)/MAX(E19:E25)</f>
        <v>0.2857142857142857</v>
      </c>
      <c r="H18" s="2529" t="s">
        <v>1660</v>
      </c>
      <c r="I18" s="2326" t="s">
        <v>2867</v>
      </c>
    </row>
    <row r="19" spans="1:9" ht="42" customHeight="1" x14ac:dyDescent="0.2">
      <c r="A19" s="2942"/>
      <c r="B19" s="2912"/>
      <c r="C19" s="750" t="str">
        <f>OF!C32</f>
        <v>&lt;50 m, and not separated from the 375-ha vegetated area by any width of paved roads, stretches of open water, row crops, bare ground, lawn, or impervious surface. Or the AA itself contains &gt;375 ha of vegetation. [This is often the answer in relatively undeveloped landscapes.]</v>
      </c>
      <c r="D19" s="266">
        <f>OF!D32</f>
        <v>0</v>
      </c>
      <c r="E19" s="758">
        <v>7</v>
      </c>
      <c r="F19" s="758">
        <f t="shared" ref="F19:F25" si="2">D19*E19</f>
        <v>0</v>
      </c>
      <c r="G19" s="771"/>
      <c r="H19" s="2404"/>
      <c r="I19" s="2907"/>
    </row>
    <row r="20" spans="1:9" ht="27" customHeight="1" x14ac:dyDescent="0.2">
      <c r="A20" s="2942"/>
      <c r="B20" s="2912"/>
      <c r="C20" s="751" t="str">
        <f>OF!C33</f>
        <v>&lt;50 m, but completely separated from the 375-ha vegetated area by those features, and AA does not contain &gt;375 ha of vegetation.</v>
      </c>
      <c r="D20" s="266">
        <f>OF!D33</f>
        <v>0</v>
      </c>
      <c r="E20" s="758">
        <v>6</v>
      </c>
      <c r="F20" s="758">
        <f t="shared" si="2"/>
        <v>0</v>
      </c>
      <c r="G20" s="772"/>
      <c r="H20" s="2404"/>
      <c r="I20" s="2907"/>
    </row>
    <row r="21" spans="1:9" ht="16.899999999999999" customHeight="1" x14ac:dyDescent="0.2">
      <c r="A21" s="2942"/>
      <c r="B21" s="2912"/>
      <c r="C21" s="751" t="str">
        <f>OF!C34</f>
        <v>50-500 m, and not separated.</v>
      </c>
      <c r="D21" s="266">
        <f>OF!D34</f>
        <v>0</v>
      </c>
      <c r="E21" s="758">
        <v>5</v>
      </c>
      <c r="F21" s="758">
        <f t="shared" si="2"/>
        <v>0</v>
      </c>
      <c r="G21" s="772"/>
      <c r="H21" s="2404"/>
      <c r="I21" s="2907"/>
    </row>
    <row r="22" spans="1:9" ht="16.899999999999999" customHeight="1" x14ac:dyDescent="0.2">
      <c r="A22" s="2942"/>
      <c r="B22" s="2912"/>
      <c r="C22" s="751" t="str">
        <f>OF!C35</f>
        <v>50-500 m, but separated by those features.</v>
      </c>
      <c r="D22" s="266">
        <f>OF!D35</f>
        <v>0</v>
      </c>
      <c r="E22" s="758">
        <v>4</v>
      </c>
      <c r="F22" s="758">
        <f t="shared" si="2"/>
        <v>0</v>
      </c>
      <c r="G22" s="772"/>
      <c r="H22" s="2404"/>
      <c r="I22" s="2907"/>
    </row>
    <row r="23" spans="1:9" ht="15" customHeight="1" x14ac:dyDescent="0.2">
      <c r="A23" s="2942"/>
      <c r="B23" s="2912"/>
      <c r="C23" s="751" t="str">
        <f>OF!C36</f>
        <v>0.5 - 5 km, and not separated.</v>
      </c>
      <c r="D23" s="266">
        <f>OF!D36</f>
        <v>0</v>
      </c>
      <c r="E23" s="758">
        <v>3</v>
      </c>
      <c r="F23" s="758">
        <f t="shared" si="2"/>
        <v>0</v>
      </c>
      <c r="G23" s="772"/>
      <c r="H23" s="2404"/>
      <c r="I23" s="2907"/>
    </row>
    <row r="24" spans="1:9" ht="15" customHeight="1" x14ac:dyDescent="0.2">
      <c r="A24" s="2942"/>
      <c r="B24" s="2912"/>
      <c r="C24" s="751" t="str">
        <f>OF!C37</f>
        <v>0.5 - 5 km, but separated by those features.</v>
      </c>
      <c r="D24" s="266">
        <f>OF!D37</f>
        <v>1</v>
      </c>
      <c r="E24" s="758">
        <v>2</v>
      </c>
      <c r="F24" s="758">
        <f t="shared" si="2"/>
        <v>2</v>
      </c>
      <c r="G24" s="772"/>
      <c r="H24" s="2404"/>
      <c r="I24" s="2907"/>
    </row>
    <row r="25" spans="1:9" ht="15" customHeight="1" thickBot="1" x14ac:dyDescent="0.25">
      <c r="A25" s="2942"/>
      <c r="B25" s="2912"/>
      <c r="C25" s="745" t="str">
        <f>OF!C38</f>
        <v>None of the above (the closest patches or corridors which are that large are &gt;5 km away).</v>
      </c>
      <c r="D25" s="266">
        <f>OF!D38</f>
        <v>0</v>
      </c>
      <c r="E25" s="766">
        <v>0</v>
      </c>
      <c r="F25" s="766">
        <f t="shared" si="2"/>
        <v>0</v>
      </c>
      <c r="G25" s="779"/>
      <c r="H25" s="2530"/>
      <c r="I25" s="2908"/>
    </row>
    <row r="26" spans="1:9" ht="51" customHeight="1" thickBot="1" x14ac:dyDescent="0.25">
      <c r="A26" s="2919" t="str">
        <f>OF!A41</f>
        <v>OF8</v>
      </c>
      <c r="B26" s="2904" t="str">
        <f>OF!B41</f>
        <v>Local Vegetated Cover Percentage</v>
      </c>
      <c r="C26" s="740" t="str">
        <f>OF!C41</f>
        <v>Draw a 5-km radius circle measured from the center of the AA.  Ignoring all permanent water in the circle, the percent of the remaining area that is wooded or unmanaged herbaceous vegetation (NOT lawn, row crops, bare or heavily grazed land, clearcuts, or conifer plantations) is:</v>
      </c>
      <c r="D26" s="756"/>
      <c r="E26" s="756"/>
      <c r="F26" s="767"/>
      <c r="G26" s="780">
        <f>MAX(F27:F31)/MAX(E27:E31)</f>
        <v>0.33333333333333331</v>
      </c>
      <c r="H26" s="2529" t="s">
        <v>2241</v>
      </c>
      <c r="I26" s="2916" t="s">
        <v>251</v>
      </c>
    </row>
    <row r="27" spans="1:9" ht="18" customHeight="1" x14ac:dyDescent="0.2">
      <c r="A27" s="2920"/>
      <c r="B27" s="2905"/>
      <c r="C27" s="578" t="str">
        <f>OF!C42</f>
        <v xml:space="preserve">&lt;5% of the land. </v>
      </c>
      <c r="D27" s="261">
        <f>OF!D42</f>
        <v>0</v>
      </c>
      <c r="E27" s="758">
        <v>0</v>
      </c>
      <c r="F27" s="758">
        <f>D27*E27</f>
        <v>0</v>
      </c>
      <c r="G27" s="771"/>
      <c r="H27" s="2404"/>
      <c r="I27" s="2917"/>
    </row>
    <row r="28" spans="1:9" ht="18" customHeight="1" x14ac:dyDescent="0.2">
      <c r="A28" s="2920"/>
      <c r="B28" s="2905"/>
      <c r="C28" s="746" t="str">
        <f>OF!C43</f>
        <v>5 to 20% of the land.</v>
      </c>
      <c r="D28" s="262">
        <f>OF!D43</f>
        <v>0</v>
      </c>
      <c r="E28" s="758">
        <v>1</v>
      </c>
      <c r="F28" s="758">
        <f>D28*E28</f>
        <v>0</v>
      </c>
      <c r="G28" s="772"/>
      <c r="H28" s="2404"/>
      <c r="I28" s="2917"/>
    </row>
    <row r="29" spans="1:9" ht="18" customHeight="1" x14ac:dyDescent="0.2">
      <c r="A29" s="2920"/>
      <c r="B29" s="2905"/>
      <c r="C29" s="746" t="str">
        <f>OF!C44</f>
        <v>20 to 60% of the land.</v>
      </c>
      <c r="D29" s="262">
        <f>OF!D44</f>
        <v>1</v>
      </c>
      <c r="E29" s="758">
        <v>2</v>
      </c>
      <c r="F29" s="758">
        <f>D29*E29</f>
        <v>2</v>
      </c>
      <c r="G29" s="772"/>
      <c r="H29" s="2404"/>
      <c r="I29" s="2917"/>
    </row>
    <row r="30" spans="1:9" ht="18" customHeight="1" x14ac:dyDescent="0.2">
      <c r="A30" s="2920"/>
      <c r="B30" s="2905"/>
      <c r="C30" s="746" t="str">
        <f>OF!C45</f>
        <v>60 to 90% of the land.</v>
      </c>
      <c r="D30" s="262">
        <f>OF!D45</f>
        <v>0</v>
      </c>
      <c r="E30" s="758">
        <v>4</v>
      </c>
      <c r="F30" s="758">
        <f>D30*E30</f>
        <v>0</v>
      </c>
      <c r="G30" s="772"/>
      <c r="H30" s="2404"/>
      <c r="I30" s="2917"/>
    </row>
    <row r="31" spans="1:9" ht="18" customHeight="1" thickBot="1" x14ac:dyDescent="0.25">
      <c r="A31" s="2921"/>
      <c r="B31" s="2914"/>
      <c r="C31" s="743" t="str">
        <f>OF!C46</f>
        <v>&gt;90% of the land. SKIP to OF10.</v>
      </c>
      <c r="D31" s="208">
        <f>OF!D46</f>
        <v>0</v>
      </c>
      <c r="E31" s="760">
        <v>6</v>
      </c>
      <c r="F31" s="760">
        <f>D31*E31</f>
        <v>0</v>
      </c>
      <c r="G31" s="943"/>
      <c r="H31" s="2530"/>
      <c r="I31" s="2918"/>
    </row>
    <row r="32" spans="1:9" ht="72" customHeight="1" thickBot="1" x14ac:dyDescent="0.25">
      <c r="A32" s="2928" t="str">
        <f>OF!A47</f>
        <v>OF9</v>
      </c>
      <c r="B32" s="2929" t="str">
        <f>OF!B47</f>
        <v>Type of Land Cover Alteration</v>
      </c>
      <c r="C32" s="744" t="str">
        <f>OF!C47</f>
        <v>Within the 5-km radius circle, and ignoring all permanent water, the land area that is bare or non-perennial cover is mostly:</v>
      </c>
      <c r="D32" s="756"/>
      <c r="E32" s="764"/>
      <c r="F32" s="765"/>
      <c r="G32" s="775">
        <f>IF((D31=1),"",MAX(F33:F34)/MAX(E33:E34))</f>
        <v>1</v>
      </c>
      <c r="H32" s="2529" t="s">
        <v>1652</v>
      </c>
      <c r="I32" s="2916" t="s">
        <v>252</v>
      </c>
    </row>
    <row r="33" spans="1:10" ht="48" customHeight="1" x14ac:dyDescent="0.2">
      <c r="A33" s="2929"/>
      <c r="B33" s="2929"/>
      <c r="C33" s="170" t="str">
        <f>OF!C48</f>
        <v>Impervious surface, e.g., paved road, parking lot, building, exposed rock.</v>
      </c>
      <c r="D33" s="259">
        <f>OF!D48</f>
        <v>0</v>
      </c>
      <c r="E33" s="758">
        <v>0</v>
      </c>
      <c r="F33" s="758">
        <f>D33*E33</f>
        <v>0</v>
      </c>
      <c r="G33" s="771"/>
      <c r="H33" s="2404"/>
      <c r="I33" s="2917"/>
    </row>
    <row r="34" spans="1:10" ht="48" customHeight="1" thickBot="1" x14ac:dyDescent="0.25">
      <c r="A34" s="2930"/>
      <c r="B34" s="2929"/>
      <c r="C34" s="745" t="str">
        <f>OF!C49</f>
        <v>Bare pervious surface, e.g., lawn, recent (&lt;5 yrs ago) clearcut, dirt or gravel road, cropland, landslide, conifer plantation.</v>
      </c>
      <c r="D34" s="260">
        <f>OF!D49</f>
        <v>1</v>
      </c>
      <c r="E34" s="766">
        <v>1</v>
      </c>
      <c r="F34" s="766">
        <f>D34*E34</f>
        <v>1</v>
      </c>
      <c r="G34" s="779"/>
      <c r="H34" s="2530"/>
      <c r="I34" s="2918"/>
    </row>
    <row r="35" spans="1:10" ht="24" customHeight="1" thickBot="1" x14ac:dyDescent="0.25">
      <c r="A35" s="2933" t="str">
        <f>OF!A50</f>
        <v>OF10</v>
      </c>
      <c r="B35" s="2925" t="str">
        <f>OF!B50</f>
        <v>Distance by Road to Nearest Population Center</v>
      </c>
      <c r="C35" s="736" t="str">
        <f>OF!C50</f>
        <v>Measured along the maintained road nearest the AA, the distance to the nearest population center is:</v>
      </c>
      <c r="D35" s="756"/>
      <c r="E35" s="756"/>
      <c r="F35" s="757"/>
      <c r="G35" s="780">
        <f>MAX(F36:F40)/MAX(E36:E40)</f>
        <v>0.25</v>
      </c>
      <c r="H35" s="2323" t="s">
        <v>1654</v>
      </c>
      <c r="I35" s="2552" t="s">
        <v>248</v>
      </c>
    </row>
    <row r="36" spans="1:10" ht="15" customHeight="1" x14ac:dyDescent="0.2">
      <c r="A36" s="2934"/>
      <c r="B36" s="2926"/>
      <c r="C36" s="737" t="str">
        <f>OF!C51</f>
        <v>&lt;100 m.</v>
      </c>
      <c r="D36" s="255">
        <f>OF!D51</f>
        <v>0</v>
      </c>
      <c r="E36" s="758">
        <v>0</v>
      </c>
      <c r="F36" s="759">
        <f>D36*E36</f>
        <v>0</v>
      </c>
      <c r="G36" s="771"/>
      <c r="H36" s="2324"/>
      <c r="I36" s="2643"/>
    </row>
    <row r="37" spans="1:10" ht="15" customHeight="1" x14ac:dyDescent="0.2">
      <c r="A37" s="2934"/>
      <c r="B37" s="2926"/>
      <c r="C37" s="738" t="str">
        <f>OF!C52</f>
        <v>100 - 500 m.</v>
      </c>
      <c r="D37" s="256">
        <f>OF!D52</f>
        <v>1</v>
      </c>
      <c r="E37" s="758">
        <v>2</v>
      </c>
      <c r="F37" s="759">
        <f>D37*E37</f>
        <v>2</v>
      </c>
      <c r="G37" s="772"/>
      <c r="H37" s="2324"/>
      <c r="I37" s="2643"/>
    </row>
    <row r="38" spans="1:10" ht="15" customHeight="1" x14ac:dyDescent="0.2">
      <c r="A38" s="2934"/>
      <c r="B38" s="2926"/>
      <c r="C38" s="738" t="str">
        <f>OF!C53</f>
        <v>0.5- 1 km.</v>
      </c>
      <c r="D38" s="256">
        <f>OF!D53</f>
        <v>0</v>
      </c>
      <c r="E38" s="758">
        <v>3</v>
      </c>
      <c r="F38" s="759">
        <f>D38*E38</f>
        <v>0</v>
      </c>
      <c r="G38" s="772"/>
      <c r="H38" s="2324"/>
      <c r="I38" s="2643"/>
    </row>
    <row r="39" spans="1:10" ht="15" customHeight="1" x14ac:dyDescent="0.2">
      <c r="A39" s="2934"/>
      <c r="B39" s="2926"/>
      <c r="C39" s="738" t="str">
        <f>OF!C54</f>
        <v>1 - 5 km.</v>
      </c>
      <c r="D39" s="256">
        <f>OF!D54</f>
        <v>0</v>
      </c>
      <c r="E39" s="758">
        <v>5</v>
      </c>
      <c r="F39" s="759">
        <f>D39*E39</f>
        <v>0</v>
      </c>
      <c r="G39" s="772"/>
      <c r="H39" s="2324"/>
      <c r="I39" s="2643"/>
    </row>
    <row r="40" spans="1:10" ht="15.6" customHeight="1" thickBot="1" x14ac:dyDescent="0.25">
      <c r="A40" s="2935"/>
      <c r="B40" s="2927"/>
      <c r="C40" s="739" t="str">
        <f>OF!C55</f>
        <v>&gt;5 km.</v>
      </c>
      <c r="D40" s="257">
        <f>OF!D55</f>
        <v>0</v>
      </c>
      <c r="E40" s="760">
        <v>8</v>
      </c>
      <c r="F40" s="761">
        <f>D40*E40</f>
        <v>0</v>
      </c>
      <c r="G40" s="943"/>
      <c r="H40" s="2325"/>
      <c r="I40" s="2689"/>
    </row>
    <row r="41" spans="1:10" s="32" customFormat="1" ht="21" customHeight="1" thickBot="1" x14ac:dyDescent="0.25">
      <c r="A41" s="2919" t="str">
        <f>OF!A56</f>
        <v>OF11</v>
      </c>
      <c r="B41" s="2904" t="str">
        <f>OF!B56</f>
        <v>Distance to Nearest Maintained Road</v>
      </c>
      <c r="C41" s="740" t="str">
        <f>OF!C56</f>
        <v>From the center of the AA, the distance to the nearest maintained public road (dirt or paved) is:</v>
      </c>
      <c r="D41" s="756"/>
      <c r="E41" s="756"/>
      <c r="F41" s="757"/>
      <c r="G41" s="780">
        <f>MAX(F42:F47)/MAX(E42:E47)</f>
        <v>1</v>
      </c>
      <c r="H41" s="2529" t="s">
        <v>1409</v>
      </c>
      <c r="I41" s="2552" t="s">
        <v>250</v>
      </c>
      <c r="J41" s="147"/>
    </row>
    <row r="42" spans="1:10" s="32" customFormat="1" ht="15" customHeight="1" x14ac:dyDescent="0.2">
      <c r="A42" s="2920"/>
      <c r="B42" s="2905"/>
      <c r="C42" s="741" t="str">
        <f>OF!C57</f>
        <v>&lt;10 m.</v>
      </c>
      <c r="D42" s="258">
        <f>OF!D57</f>
        <v>0</v>
      </c>
      <c r="E42" s="758">
        <v>0</v>
      </c>
      <c r="F42" s="758">
        <f t="shared" ref="F42:F47" si="3">D42*E42</f>
        <v>0</v>
      </c>
      <c r="G42" s="771"/>
      <c r="H42" s="2404"/>
      <c r="I42" s="2643"/>
      <c r="J42" s="147"/>
    </row>
    <row r="43" spans="1:10" s="32" customFormat="1" ht="15" customHeight="1" x14ac:dyDescent="0.2">
      <c r="A43" s="2920"/>
      <c r="B43" s="2905"/>
      <c r="C43" s="742" t="str">
        <f>OF!C58</f>
        <v>10 - 25 m.</v>
      </c>
      <c r="D43" s="207">
        <f>OF!D58</f>
        <v>0</v>
      </c>
      <c r="E43" s="758">
        <v>2</v>
      </c>
      <c r="F43" s="758">
        <f t="shared" si="3"/>
        <v>0</v>
      </c>
      <c r="G43" s="772"/>
      <c r="H43" s="2404"/>
      <c r="I43" s="2643"/>
      <c r="J43" s="147"/>
    </row>
    <row r="44" spans="1:10" s="32" customFormat="1" ht="15" customHeight="1" x14ac:dyDescent="0.2">
      <c r="A44" s="2920"/>
      <c r="B44" s="2905"/>
      <c r="C44" s="742" t="str">
        <f>OF!C59</f>
        <v>25 - 50 m.</v>
      </c>
      <c r="D44" s="207">
        <f>OF!D59</f>
        <v>0</v>
      </c>
      <c r="E44" s="758">
        <v>4</v>
      </c>
      <c r="F44" s="758">
        <f t="shared" si="3"/>
        <v>0</v>
      </c>
      <c r="G44" s="772"/>
      <c r="H44" s="2404"/>
      <c r="I44" s="2643"/>
      <c r="J44" s="147"/>
    </row>
    <row r="45" spans="1:10" s="32" customFormat="1" ht="15" customHeight="1" x14ac:dyDescent="0.2">
      <c r="A45" s="2920"/>
      <c r="B45" s="2905"/>
      <c r="C45" s="742" t="str">
        <f>OF!C60</f>
        <v>50 - 100 m.</v>
      </c>
      <c r="D45" s="207">
        <f>OF!D60</f>
        <v>0</v>
      </c>
      <c r="E45" s="758">
        <v>5</v>
      </c>
      <c r="F45" s="758">
        <f t="shared" si="3"/>
        <v>0</v>
      </c>
      <c r="G45" s="772"/>
      <c r="H45" s="2404"/>
      <c r="I45" s="2643"/>
      <c r="J45" s="147"/>
    </row>
    <row r="46" spans="1:10" s="32" customFormat="1" ht="15" customHeight="1" x14ac:dyDescent="0.2">
      <c r="A46" s="2920"/>
      <c r="B46" s="2905"/>
      <c r="C46" s="742" t="str">
        <f>OF!C61</f>
        <v>100 - 500 m.</v>
      </c>
      <c r="D46" s="207">
        <f>OF!D61</f>
        <v>0</v>
      </c>
      <c r="E46" s="758">
        <v>6</v>
      </c>
      <c r="F46" s="758">
        <f t="shared" si="3"/>
        <v>0</v>
      </c>
      <c r="G46" s="772"/>
      <c r="H46" s="2404"/>
      <c r="I46" s="2643"/>
      <c r="J46" s="147"/>
    </row>
    <row r="47" spans="1:10" s="32" customFormat="1" ht="15" customHeight="1" thickBot="1" x14ac:dyDescent="0.25">
      <c r="A47" s="2921"/>
      <c r="B47" s="2914"/>
      <c r="C47" s="743" t="str">
        <f>OF!C62</f>
        <v>&gt;500 m.</v>
      </c>
      <c r="D47" s="208">
        <f>OF!D62</f>
        <v>1</v>
      </c>
      <c r="E47" s="760">
        <v>8</v>
      </c>
      <c r="F47" s="760">
        <f t="shared" si="3"/>
        <v>8</v>
      </c>
      <c r="G47" s="943"/>
      <c r="H47" s="2530"/>
      <c r="I47" s="2689"/>
      <c r="J47" s="147"/>
    </row>
    <row r="48" spans="1:10" ht="72" customHeight="1" thickBot="1" x14ac:dyDescent="0.25">
      <c r="A48" s="735" t="str">
        <f>OF!A63</f>
        <v>OF12</v>
      </c>
      <c r="B48" s="755" t="str">
        <f>OF!B63</f>
        <v>Wildlife Access</v>
      </c>
      <c r="C48" s="737" t="str">
        <f>OF!C63</f>
        <v>Draw a circle of radius of 5 km from the center of the AA. If mammals and amphibians can move from the center of the AA to ALL other separate wetlands and ponds located within the circle without being forced to cross pavement (any width), lawns, bare ground, and/or marine waters, mark 1= yes can move to all, 0= no.  Change to blank if there are no other wetlands within 5 km.</v>
      </c>
      <c r="D48" s="255">
        <f>IF((OF!D63=""),"",OF!D63)</f>
        <v>0</v>
      </c>
      <c r="E48" s="762"/>
      <c r="F48" s="763"/>
      <c r="G48" s="1376">
        <f>IF((D48=""),"",D48)</f>
        <v>0</v>
      </c>
      <c r="H48" s="1297" t="s">
        <v>1653</v>
      </c>
      <c r="I48" s="1849" t="s">
        <v>249</v>
      </c>
    </row>
    <row r="49" spans="1:10" s="32" customFormat="1" ht="30" customHeight="1" thickBot="1" x14ac:dyDescent="0.25">
      <c r="A49" s="2922" t="str">
        <f>OF!A64</f>
        <v>OF13</v>
      </c>
      <c r="B49" s="2904" t="str">
        <f>OF!B64</f>
        <v>Distance to Ponded Water</v>
      </c>
      <c r="C49" s="1381" t="str">
        <f>OF!C64</f>
        <v>The distance from the AA center to the closest (but separate) ponded water body visible in GoogleEarth imagery is:</v>
      </c>
      <c r="D49" s="756"/>
      <c r="E49" s="756"/>
      <c r="F49" s="767"/>
      <c r="G49" s="780">
        <f>MAX(F50:F54)/MAX(E50:E54)</f>
        <v>0</v>
      </c>
      <c r="H49" s="2529" t="s">
        <v>1474</v>
      </c>
      <c r="I49" s="2916" t="s">
        <v>253</v>
      </c>
      <c r="J49" s="147"/>
    </row>
    <row r="50" spans="1:10" s="32" customFormat="1" ht="27" customHeight="1" x14ac:dyDescent="0.2">
      <c r="A50" s="2923"/>
      <c r="B50" s="2912"/>
      <c r="C50" s="170" t="str">
        <f>OF!C65</f>
        <v xml:space="preserve">&lt;50 m, and not separated by any width of paved roads, stretches of open water, row crops, lawn, bare ground, or impervious surface. </v>
      </c>
      <c r="D50" s="259">
        <f>OF!D65</f>
        <v>0</v>
      </c>
      <c r="E50" s="758">
        <v>5</v>
      </c>
      <c r="F50" s="758">
        <f>D50*E50</f>
        <v>0</v>
      </c>
      <c r="G50" s="771"/>
      <c r="H50" s="2404"/>
      <c r="I50" s="2917"/>
      <c r="J50" s="147"/>
    </row>
    <row r="51" spans="1:10" s="32" customFormat="1" ht="15" customHeight="1" x14ac:dyDescent="0.2">
      <c r="A51" s="2923"/>
      <c r="B51" s="2912"/>
      <c r="C51" s="745" t="str">
        <f>OF!C66</f>
        <v>&lt;50 m, but completely separated by those features.</v>
      </c>
      <c r="D51" s="260">
        <f>OF!D66</f>
        <v>0</v>
      </c>
      <c r="E51" s="758">
        <v>4</v>
      </c>
      <c r="F51" s="758">
        <f>D51*E51</f>
        <v>0</v>
      </c>
      <c r="G51" s="772"/>
      <c r="H51" s="2404"/>
      <c r="I51" s="2917"/>
      <c r="J51" s="147"/>
    </row>
    <row r="52" spans="1:10" s="32" customFormat="1" ht="15" customHeight="1" x14ac:dyDescent="0.2">
      <c r="A52" s="2923"/>
      <c r="B52" s="2912"/>
      <c r="C52" s="745" t="str">
        <f>OF!C67</f>
        <v>50-500 m, and not separated.</v>
      </c>
      <c r="D52" s="260">
        <f>OF!D67</f>
        <v>0</v>
      </c>
      <c r="E52" s="758">
        <v>3</v>
      </c>
      <c r="F52" s="758">
        <f>D52*E52</f>
        <v>0</v>
      </c>
      <c r="G52" s="772"/>
      <c r="H52" s="2404"/>
      <c r="I52" s="2917"/>
      <c r="J52" s="147"/>
    </row>
    <row r="53" spans="1:10" s="32" customFormat="1" ht="15" customHeight="1" x14ac:dyDescent="0.2">
      <c r="A53" s="2923"/>
      <c r="B53" s="2912"/>
      <c r="C53" s="745" t="str">
        <f>OF!C69</f>
        <v>0.5 - 1 km, and not separated.</v>
      </c>
      <c r="D53" s="260">
        <f>OF!D69</f>
        <v>0</v>
      </c>
      <c r="E53" s="758">
        <v>2</v>
      </c>
      <c r="F53" s="758">
        <f>D53*E53</f>
        <v>0</v>
      </c>
      <c r="G53" s="772"/>
      <c r="H53" s="2404"/>
      <c r="I53" s="2917"/>
      <c r="J53" s="147"/>
    </row>
    <row r="54" spans="1:10" s="32" customFormat="1" ht="15" customHeight="1" thickBot="1" x14ac:dyDescent="0.25">
      <c r="A54" s="2924"/>
      <c r="B54" s="2913"/>
      <c r="C54" s="748" t="str">
        <f>OF!C71</f>
        <v>None of the above (the closest patches or corridors that large are &gt;1 km away).</v>
      </c>
      <c r="D54" s="263">
        <f>OF!D70</f>
        <v>1</v>
      </c>
      <c r="E54" s="760">
        <v>0</v>
      </c>
      <c r="F54" s="760">
        <f>D54*E54</f>
        <v>0</v>
      </c>
      <c r="G54" s="943"/>
      <c r="H54" s="2530"/>
      <c r="I54" s="2918"/>
      <c r="J54" s="147"/>
    </row>
    <row r="55" spans="1:10" ht="21" customHeight="1" thickBot="1" x14ac:dyDescent="0.25">
      <c r="A55" s="2941" t="str">
        <f>OF!A86</f>
        <v>OF16</v>
      </c>
      <c r="B55" s="2905" t="str">
        <f>OF!B86</f>
        <v>Upland Edge Contact</v>
      </c>
      <c r="C55" s="744" t="str">
        <f>OF!C86</f>
        <v>Select one:</v>
      </c>
      <c r="D55" s="756"/>
      <c r="E55" s="764"/>
      <c r="F55" s="765"/>
      <c r="G55" s="775">
        <f>MAX(F56:F58)/MAX(E56:E58)</f>
        <v>0.33333333333333331</v>
      </c>
      <c r="H55" s="2529" t="s">
        <v>1656</v>
      </c>
      <c r="I55" s="2552" t="s">
        <v>246</v>
      </c>
    </row>
    <row r="56" spans="1:10" ht="27" customHeight="1" x14ac:dyDescent="0.2">
      <c r="A56" s="2942"/>
      <c r="B56" s="2912"/>
      <c r="C56" s="170" t="str">
        <f>OF!C87</f>
        <v>The AA has no upland edge (or upland is &lt;1% of perimeter). The AA is entirely surrounded by (&amp; contiguous with) other wetlands or water.</v>
      </c>
      <c r="D56" s="259">
        <f>OF!D87</f>
        <v>1</v>
      </c>
      <c r="E56" s="300">
        <v>1</v>
      </c>
      <c r="F56" s="758">
        <f>D56*E56</f>
        <v>1</v>
      </c>
      <c r="G56" s="771"/>
      <c r="H56" s="2404"/>
      <c r="I56" s="2643"/>
    </row>
    <row r="57" spans="1:10" ht="27" customHeight="1" x14ac:dyDescent="0.2">
      <c r="A57" s="2942"/>
      <c r="B57" s="2912"/>
      <c r="C57" s="745" t="str">
        <f>OF!C90</f>
        <v>50-75% of the AA's perimeter abuts upland. The rest adjoins other wetlands or water that is mostly wider than the AA.</v>
      </c>
      <c r="D57" s="260">
        <f>OF!D90</f>
        <v>0</v>
      </c>
      <c r="E57" s="758">
        <v>3</v>
      </c>
      <c r="F57" s="758">
        <f>D57*E57</f>
        <v>0</v>
      </c>
      <c r="G57" s="772"/>
      <c r="H57" s="2404"/>
      <c r="I57" s="2643"/>
    </row>
    <row r="58" spans="1:10" ht="27" customHeight="1" thickBot="1" x14ac:dyDescent="0.25">
      <c r="A58" s="2942"/>
      <c r="B58" s="2912"/>
      <c r="C58" s="745" t="str">
        <f>OF!C91</f>
        <v>More than 75% of the AA's perimeter abuts upland. Any remainder adjoins other wetlands or water that is mostly wider than the AA.  This will be true for most assessments done with WESP-AC.</v>
      </c>
      <c r="D58" s="260">
        <f>OF!D91</f>
        <v>0</v>
      </c>
      <c r="E58" s="766">
        <v>2</v>
      </c>
      <c r="F58" s="766">
        <f>D58*E58</f>
        <v>0</v>
      </c>
      <c r="G58" s="779"/>
      <c r="H58" s="2530"/>
      <c r="I58" s="2689"/>
    </row>
    <row r="59" spans="1:10" s="32" customFormat="1" ht="57.75" customHeight="1" thickBot="1" x14ac:dyDescent="0.25">
      <c r="A59" s="1085" t="str">
        <f>OF!A147</f>
        <v>OF32</v>
      </c>
      <c r="B59" s="1084" t="str">
        <f>OF!B147</f>
        <v>Wintering Deer or Moose Concentration Areas</v>
      </c>
      <c r="C59" s="1994" t="str">
        <f>OF!C147</f>
        <v xml:space="preserve">If AA is on private land with no information, change to blank (not 0).  If on public/crown land, in Google Earth open the KMZ file that accompanies this report called NB_DeerWinteringAreas.Otherwise: Enter: yes= 1, no= 0.
</v>
      </c>
      <c r="D59" s="2118">
        <f>OF!D147</f>
        <v>0</v>
      </c>
      <c r="E59" s="875"/>
      <c r="F59" s="1090"/>
      <c r="G59" s="1378">
        <f>D59</f>
        <v>0</v>
      </c>
      <c r="H59" s="1466" t="s">
        <v>1406</v>
      </c>
      <c r="I59" s="1849" t="s">
        <v>1678</v>
      </c>
      <c r="J59" s="147"/>
    </row>
    <row r="60" spans="1:10" s="32" customFormat="1" ht="45" customHeight="1" thickBot="1" x14ac:dyDescent="0.25">
      <c r="A60" s="2909" t="str">
        <f>F!A12</f>
        <v>F2</v>
      </c>
      <c r="B60" s="2906" t="str">
        <f>F!B12</f>
        <v xml:space="preserve">Wetland Types - Adjoining or Subordinate </v>
      </c>
      <c r="C60" s="747" t="str">
        <f>F!C12</f>
        <v>If the AA is smaller than 1 ha, mark all other types that occupy more than 1% of the vegetated AA.  If the AA is larger than 1 ha, mark all other types which are within or adjacent to the AA and occupy more than 1 ha, as visible from the AA or as interpreted from aerial imagery.  Do not mark again the type marked in F1.</v>
      </c>
      <c r="D60" s="768"/>
      <c r="E60" s="756"/>
      <c r="F60" s="1092"/>
      <c r="G60" s="780">
        <f>SUM(D61:D64)/3</f>
        <v>0.33333333333333331</v>
      </c>
      <c r="H60" s="2323" t="s">
        <v>2372</v>
      </c>
      <c r="I60" s="2552" t="s">
        <v>1694</v>
      </c>
      <c r="J60" s="147"/>
    </row>
    <row r="61" spans="1:10" s="32" customFormat="1" ht="15" customHeight="1" x14ac:dyDescent="0.2">
      <c r="A61" s="2910"/>
      <c r="B61" s="2907"/>
      <c r="C61" s="750" t="str">
        <f>F!C13</f>
        <v>A1.</v>
      </c>
      <c r="D61" s="1500">
        <f>F!D13</f>
        <v>0</v>
      </c>
      <c r="E61" s="758"/>
      <c r="F61" s="1091"/>
      <c r="G61" s="765"/>
      <c r="H61" s="2324"/>
      <c r="I61" s="2643"/>
      <c r="J61" s="147"/>
    </row>
    <row r="62" spans="1:10" s="32" customFormat="1" ht="15" customHeight="1" x14ac:dyDescent="0.2">
      <c r="A62" s="2910"/>
      <c r="B62" s="2907"/>
      <c r="C62" s="751" t="str">
        <f>F!C14</f>
        <v>A2.</v>
      </c>
      <c r="D62" s="1500">
        <f>F!D14</f>
        <v>0</v>
      </c>
      <c r="E62" s="758"/>
      <c r="F62" s="1091"/>
      <c r="G62" s="759"/>
      <c r="H62" s="2324"/>
      <c r="I62" s="2643"/>
      <c r="J62" s="147"/>
    </row>
    <row r="63" spans="1:10" s="32" customFormat="1" ht="15" customHeight="1" x14ac:dyDescent="0.2">
      <c r="A63" s="2910"/>
      <c r="B63" s="2907"/>
      <c r="C63" s="751" t="str">
        <f>F!C15</f>
        <v>B1.</v>
      </c>
      <c r="D63" s="1500">
        <f>F!D15</f>
        <v>1</v>
      </c>
      <c r="E63" s="758"/>
      <c r="F63" s="1091"/>
      <c r="G63" s="759"/>
      <c r="H63" s="2324"/>
      <c r="I63" s="2643"/>
      <c r="J63" s="147"/>
    </row>
    <row r="64" spans="1:10" s="32" customFormat="1" ht="15" customHeight="1" thickBot="1" x14ac:dyDescent="0.25">
      <c r="A64" s="2911"/>
      <c r="B64" s="2908"/>
      <c r="C64" s="748" t="str">
        <f>F!C16</f>
        <v>B2.</v>
      </c>
      <c r="D64" s="1501">
        <f>F!D16</f>
        <v>0</v>
      </c>
      <c r="E64" s="760"/>
      <c r="F64" s="1014"/>
      <c r="G64" s="761"/>
      <c r="H64" s="2325"/>
      <c r="I64" s="2689"/>
      <c r="J64" s="147"/>
    </row>
    <row r="65" spans="1:9" ht="111" customHeight="1" thickBot="1" x14ac:dyDescent="0.25">
      <c r="A65" s="1478" t="str">
        <f>F!A17</f>
        <v>F3</v>
      </c>
      <c r="B65" s="1478" t="str">
        <f>F!B17</f>
        <v>Woody Height &amp; Form Diversity</v>
      </c>
      <c r="C65" s="1502" t="str">
        <f>F!C17</f>
        <v>Following EACH row below, indicate with a number code the percentage of the living vegetation in the AA which is occupied by that feature (6 if &gt;95%, 5 if 75-95%, 4 if 50-75%, 3 if 25-50%, 2 if 5-25%, 1 if &lt;5%, 0 if none). If the vegetated part of the AA is largely herbaceous (non-woody) vegetation, these percentages should not sum to 100%.</v>
      </c>
      <c r="D65" s="910"/>
      <c r="E65" s="910"/>
      <c r="F65" s="1503"/>
      <c r="G65" s="775">
        <f>COUNTIF(F!D18:'F'!D23,"&gt;1")/6</f>
        <v>0</v>
      </c>
      <c r="H65" s="1467" t="s">
        <v>1657</v>
      </c>
      <c r="I65" s="1849" t="s">
        <v>1680</v>
      </c>
    </row>
    <row r="66" spans="1:9" ht="33" customHeight="1" thickBot="1" x14ac:dyDescent="0.25">
      <c r="A66" s="2915" t="str">
        <f>F!A25</f>
        <v>F4</v>
      </c>
      <c r="B66" s="2929" t="str">
        <f>F!B25</f>
        <v xml:space="preserve">Dominance of Most Abundant Shrub Species </v>
      </c>
      <c r="C66" s="744" t="str">
        <f>F!C25</f>
        <v>Determine which two woody plant species comprise the greatest portion of the low (&lt;3 m) woody cover . Then choose one:</v>
      </c>
      <c r="D66" s="764"/>
      <c r="E66" s="764"/>
      <c r="F66" s="765"/>
      <c r="G66" s="775" t="str">
        <f>IF((MAX(F!D20:D21)&lt;2),"", IF((D68=1),1,""))</f>
        <v/>
      </c>
      <c r="H66" s="2324" t="s">
        <v>1579</v>
      </c>
      <c r="I66" s="2552" t="s">
        <v>259</v>
      </c>
    </row>
    <row r="67" spans="1:9" ht="18" customHeight="1" x14ac:dyDescent="0.2">
      <c r="A67" s="2915"/>
      <c r="B67" s="2929"/>
      <c r="C67" s="753" t="str">
        <f>F!C26</f>
        <v>those species together comprise &gt; 50% of such cover.</v>
      </c>
      <c r="D67" s="268">
        <f>F!D26</f>
        <v>0</v>
      </c>
      <c r="E67" s="758">
        <v>1</v>
      </c>
      <c r="F67" s="758">
        <f>D67*E67</f>
        <v>0</v>
      </c>
      <c r="G67" s="771"/>
      <c r="H67" s="2324"/>
      <c r="I67" s="2643"/>
    </row>
    <row r="68" spans="1:9" ht="18" customHeight="1" thickBot="1" x14ac:dyDescent="0.25">
      <c r="A68" s="2915"/>
      <c r="B68" s="2929"/>
      <c r="C68" s="754" t="str">
        <f>F!C27</f>
        <v>those species together do not comprise &gt; 50% of such cover.</v>
      </c>
      <c r="D68" s="269">
        <f>F!D27</f>
        <v>0</v>
      </c>
      <c r="E68" s="766">
        <v>2</v>
      </c>
      <c r="F68" s="766">
        <f>D68*E68</f>
        <v>0</v>
      </c>
      <c r="G68" s="779"/>
      <c r="H68" s="2325"/>
      <c r="I68" s="2689"/>
    </row>
    <row r="69" spans="1:9" ht="45" customHeight="1" thickBot="1" x14ac:dyDescent="0.25">
      <c r="A69" s="2919" t="str">
        <f>F!A28</f>
        <v>F5</v>
      </c>
      <c r="B69" s="2904" t="str">
        <f>F!B28</f>
        <v>Woody Diameter Classes</v>
      </c>
      <c r="C69" s="747" t="str">
        <f>F!C28</f>
        <v>Mark ALL the types that comprise &gt;5% of the woody canopy cover in the AA or &gt;5% of the wooded areas (if any) along its upland edge (perimeter).  The edge should include only the trees whose canopies extend into the AA.</v>
      </c>
      <c r="D69" s="756"/>
      <c r="E69" s="756"/>
      <c r="F69" s="767"/>
      <c r="G69" s="780" t="str">
        <f>IF((MAX(F!D18:D21)&lt;2),"",((SUM(D70:D77)/8+ MAX(F70:F77)/MAX(E70:E77))/2))</f>
        <v/>
      </c>
      <c r="H69" s="2529" t="s">
        <v>1658</v>
      </c>
      <c r="I69" s="2552" t="s">
        <v>2868</v>
      </c>
    </row>
    <row r="70" spans="1:9" ht="15" customHeight="1" x14ac:dyDescent="0.2">
      <c r="A70" s="2923"/>
      <c r="B70" s="2912"/>
      <c r="C70" s="170" t="str">
        <f>F!C29</f>
        <v>coniferous, 1-9 cm diameter and &gt;1 m tall.</v>
      </c>
      <c r="D70" s="259">
        <f>F!D29</f>
        <v>0</v>
      </c>
      <c r="E70" s="758">
        <v>1</v>
      </c>
      <c r="F70" s="758">
        <f t="shared" ref="F70:F77" si="4">D70*E70</f>
        <v>0</v>
      </c>
      <c r="G70" s="771"/>
      <c r="H70" s="2404"/>
      <c r="I70" s="2643"/>
    </row>
    <row r="71" spans="1:9" ht="15" customHeight="1" x14ac:dyDescent="0.2">
      <c r="A71" s="2923"/>
      <c r="B71" s="2912"/>
      <c r="C71" s="745" t="str">
        <f>F!C30</f>
        <v>broad-leaved deciduous 1-9 cm diameter and &gt;1 m tall.</v>
      </c>
      <c r="D71" s="260">
        <f>F!D30</f>
        <v>0</v>
      </c>
      <c r="E71" s="758">
        <v>3</v>
      </c>
      <c r="F71" s="758">
        <f t="shared" si="4"/>
        <v>0</v>
      </c>
      <c r="G71" s="772"/>
      <c r="H71" s="2404"/>
      <c r="I71" s="2643"/>
    </row>
    <row r="72" spans="1:9" ht="15" customHeight="1" x14ac:dyDescent="0.2">
      <c r="A72" s="2923"/>
      <c r="B72" s="2912"/>
      <c r="C72" s="745" t="str">
        <f>F!C31</f>
        <v>coniferous, 10-19 cm diameter.</v>
      </c>
      <c r="D72" s="260">
        <f>F!D31</f>
        <v>0</v>
      </c>
      <c r="E72" s="758">
        <v>2</v>
      </c>
      <c r="F72" s="758">
        <f t="shared" si="4"/>
        <v>0</v>
      </c>
      <c r="G72" s="772"/>
      <c r="H72" s="2404"/>
      <c r="I72" s="2643"/>
    </row>
    <row r="73" spans="1:9" ht="15" customHeight="1" x14ac:dyDescent="0.2">
      <c r="A73" s="2923"/>
      <c r="B73" s="2912"/>
      <c r="C73" s="745" t="str">
        <f>F!C32</f>
        <v>broad-leaved deciduous 10-19 cm diameter.</v>
      </c>
      <c r="D73" s="260">
        <f>F!D32</f>
        <v>0</v>
      </c>
      <c r="E73" s="758">
        <v>4</v>
      </c>
      <c r="F73" s="758">
        <f t="shared" si="4"/>
        <v>0</v>
      </c>
      <c r="G73" s="772"/>
      <c r="H73" s="2404"/>
      <c r="I73" s="2643"/>
    </row>
    <row r="74" spans="1:9" ht="15" customHeight="1" x14ac:dyDescent="0.2">
      <c r="A74" s="2923"/>
      <c r="B74" s="2912"/>
      <c r="C74" s="745" t="str">
        <f>F!C33</f>
        <v>coniferous, 20-40 cm diameter.</v>
      </c>
      <c r="D74" s="260">
        <f>F!D33</f>
        <v>0</v>
      </c>
      <c r="E74" s="758">
        <v>3</v>
      </c>
      <c r="F74" s="758">
        <f t="shared" si="4"/>
        <v>0</v>
      </c>
      <c r="G74" s="772"/>
      <c r="H74" s="2404"/>
      <c r="I74" s="2643"/>
    </row>
    <row r="75" spans="1:9" ht="15" customHeight="1" x14ac:dyDescent="0.2">
      <c r="A75" s="2923"/>
      <c r="B75" s="2912"/>
      <c r="C75" s="745" t="str">
        <f>F!C34</f>
        <v>broad-leaved deciduous 20-40 cm diameter.</v>
      </c>
      <c r="D75" s="260">
        <f>F!D34</f>
        <v>0</v>
      </c>
      <c r="E75" s="758">
        <v>6</v>
      </c>
      <c r="F75" s="758">
        <f t="shared" si="4"/>
        <v>0</v>
      </c>
      <c r="G75" s="772"/>
      <c r="H75" s="2404"/>
      <c r="I75" s="2643"/>
    </row>
    <row r="76" spans="1:9" ht="15" customHeight="1" x14ac:dyDescent="0.2">
      <c r="A76" s="2923"/>
      <c r="B76" s="2912"/>
      <c r="C76" s="745" t="str">
        <f>F!C35</f>
        <v>coniferous, &gt;40 cm diameter.</v>
      </c>
      <c r="D76" s="260">
        <f>F!D35</f>
        <v>0</v>
      </c>
      <c r="E76" s="758">
        <v>5</v>
      </c>
      <c r="F76" s="758">
        <f t="shared" si="4"/>
        <v>0</v>
      </c>
      <c r="G76" s="772"/>
      <c r="H76" s="2404"/>
      <c r="I76" s="2643"/>
    </row>
    <row r="77" spans="1:9" ht="15" customHeight="1" thickBot="1" x14ac:dyDescent="0.25">
      <c r="A77" s="2924"/>
      <c r="B77" s="2913"/>
      <c r="C77" s="748" t="str">
        <f>F!C36</f>
        <v>broad-leaved deciduous &gt;40 cm diameter.</v>
      </c>
      <c r="D77" s="263">
        <f>F!D36</f>
        <v>0</v>
      </c>
      <c r="E77" s="760">
        <v>8</v>
      </c>
      <c r="F77" s="760">
        <f t="shared" si="4"/>
        <v>0</v>
      </c>
      <c r="G77" s="943"/>
      <c r="H77" s="2530"/>
      <c r="I77" s="2689"/>
    </row>
    <row r="78" spans="1:9" ht="21" customHeight="1" thickBot="1" x14ac:dyDescent="0.25">
      <c r="A78" s="2919" t="str">
        <f>F!A37</f>
        <v>F6</v>
      </c>
      <c r="B78" s="2904" t="str">
        <f>F!B37</f>
        <v>Height Class Interspersion</v>
      </c>
      <c r="C78" s="168" t="str">
        <f>F!C37</f>
        <v>Follow the key below and mark the ONE row that best describes MOST of the AA:</v>
      </c>
      <c r="D78" s="756"/>
      <c r="E78" s="756"/>
      <c r="F78" s="767"/>
      <c r="G78" s="780" t="str">
        <f>IF((MAX(F!D18:D21)&lt;2),"", MAX(F80:F84)/MAX(E80:E84))</f>
        <v/>
      </c>
      <c r="H78" s="2529" t="s">
        <v>1655</v>
      </c>
      <c r="I78" s="2552" t="s">
        <v>237</v>
      </c>
    </row>
    <row r="79" spans="1:9" ht="39" thickBot="1" x14ac:dyDescent="0.25">
      <c r="A79" s="2920"/>
      <c r="B79" s="2905"/>
      <c r="C79" s="168" t="str">
        <f>F!C38</f>
        <v xml:space="preserve">A. Neither the vegetation taller than 1 m nor the vegetation shorter than that comprise &gt;70% of the vegetated part of the AA.  They each comprise 30-70%.  Choose between A1 and A2 and mark the choice with a 1 in the adjoining column.  Otherwise go to B below. </v>
      </c>
      <c r="D79" s="758"/>
      <c r="E79" s="764"/>
      <c r="F79" s="765"/>
      <c r="G79" s="771"/>
      <c r="H79" s="2404"/>
      <c r="I79" s="2643"/>
    </row>
    <row r="80" spans="1:9" ht="15" customHeight="1" x14ac:dyDescent="0.2">
      <c r="A80" s="2920"/>
      <c r="B80" s="2905"/>
      <c r="C80" s="170" t="str">
        <f>F!C39</f>
        <v>A1. The two height classes are mostly scattered and intermixed throughout the AA.</v>
      </c>
      <c r="D80" s="259">
        <f>F!D39</f>
        <v>0</v>
      </c>
      <c r="E80" s="764">
        <v>3</v>
      </c>
      <c r="F80" s="758">
        <f>D80*E80</f>
        <v>0</v>
      </c>
      <c r="G80" s="771"/>
      <c r="H80" s="2404"/>
      <c r="I80" s="2643"/>
    </row>
    <row r="81" spans="1:10" ht="27" customHeight="1" thickBot="1" x14ac:dyDescent="0.25">
      <c r="A81" s="2920"/>
      <c r="B81" s="2905"/>
      <c r="C81" s="745" t="str">
        <f>F!C40</f>
        <v>A2. Not A1.  The two height classes are mostly in separate zones or bands, or in proportionately large clumps.</v>
      </c>
      <c r="D81" s="260">
        <f>F!D40</f>
        <v>0</v>
      </c>
      <c r="E81" s="758">
        <v>2</v>
      </c>
      <c r="F81" s="758">
        <f>D81*E81</f>
        <v>0</v>
      </c>
      <c r="G81" s="771"/>
      <c r="H81" s="2404"/>
      <c r="I81" s="2643"/>
    </row>
    <row r="82" spans="1:10" ht="39" thickBot="1" x14ac:dyDescent="0.25">
      <c r="A82" s="2920"/>
      <c r="B82" s="2905"/>
      <c r="C82" s="168" t="str">
        <f>F!C41</f>
        <v>B. Either the vegetation shorter than 1 m comprises &gt;70% of the vegetated part of the AA, or the vegetation taller than that does.  One size class might even be totally absent.  Choose between B1 and B2 and mark the choice with a 1 in the adjoining column:</v>
      </c>
      <c r="D82" s="776"/>
      <c r="E82" s="758"/>
      <c r="F82" s="758"/>
      <c r="G82" s="771"/>
      <c r="H82" s="2404"/>
      <c r="I82" s="2643"/>
    </row>
    <row r="83" spans="1:10" ht="15" customHeight="1" x14ac:dyDescent="0.2">
      <c r="A83" s="2920"/>
      <c r="B83" s="2905"/>
      <c r="C83" s="170" t="str">
        <f>F!C42</f>
        <v>B1. The less prevalent height class is mostly scattered and intermixed within the prevalent one.</v>
      </c>
      <c r="D83" s="260">
        <f>F!D42</f>
        <v>0</v>
      </c>
      <c r="E83" s="758">
        <v>1</v>
      </c>
      <c r="F83" s="758">
        <f>D83*E83</f>
        <v>0</v>
      </c>
      <c r="G83" s="772"/>
      <c r="H83" s="2404"/>
      <c r="I83" s="2643"/>
    </row>
    <row r="84" spans="1:10" ht="27" customHeight="1" thickBot="1" x14ac:dyDescent="0.25">
      <c r="A84" s="2921"/>
      <c r="B84" s="2914"/>
      <c r="C84" s="748" t="str">
        <f>F!C43</f>
        <v>B2. Not B1.  The less prevalent height class is mostly located apart from the prevalent one, in separate zones or clumps, or is completely absent.</v>
      </c>
      <c r="D84" s="263">
        <f>F!D43</f>
        <v>0</v>
      </c>
      <c r="E84" s="760">
        <v>0</v>
      </c>
      <c r="F84" s="760">
        <f>D84*E84</f>
        <v>0</v>
      </c>
      <c r="G84" s="943"/>
      <c r="H84" s="2530"/>
      <c r="I84" s="2689"/>
    </row>
    <row r="85" spans="1:10" ht="30" customHeight="1" thickBot="1" x14ac:dyDescent="0.25">
      <c r="A85" s="2945" t="str">
        <f>F!A44</f>
        <v>F7</v>
      </c>
      <c r="B85" s="2906" t="str">
        <f>F!B44</f>
        <v>Large Snags (Dead Standing Trees)</v>
      </c>
      <c r="C85" s="747" t="str">
        <f>F!C44</f>
        <v>The number of large snags (diameter &gt;20 cm) in the AA plus adjacent upland area within 10 m of the wetland edge is:</v>
      </c>
      <c r="D85" s="756"/>
      <c r="E85" s="756"/>
      <c r="F85" s="767"/>
      <c r="G85" s="780" t="str">
        <f>IF((MAX(F!D18:D21)&lt;2),"", MAX(F86:F88)/MAX(E86:E88))</f>
        <v/>
      </c>
      <c r="H85" s="2326" t="s">
        <v>1863</v>
      </c>
      <c r="I85" s="2552" t="s">
        <v>238</v>
      </c>
    </row>
    <row r="86" spans="1:10" ht="15" customHeight="1" x14ac:dyDescent="0.2">
      <c r="A86" s="2946"/>
      <c r="B86" s="2943"/>
      <c r="C86" s="750" t="str">
        <f>F!C45</f>
        <v>None, or fewer than 8/ hectare which exceed this diameter.</v>
      </c>
      <c r="D86" s="265">
        <f>F!D45</f>
        <v>0</v>
      </c>
      <c r="E86" s="758">
        <v>1</v>
      </c>
      <c r="F86" s="758">
        <f>D86*E86</f>
        <v>0</v>
      </c>
      <c r="G86" s="771"/>
      <c r="H86" s="2327"/>
      <c r="I86" s="2643"/>
    </row>
    <row r="87" spans="1:10" ht="15" customHeight="1" x14ac:dyDescent="0.2">
      <c r="A87" s="2946"/>
      <c r="B87" s="2943"/>
      <c r="C87" s="750" t="str">
        <f>F!C46</f>
        <v>Several ( &gt;8/hectare) and a pond, lake, or slow-flowing water wider than 10 m is within 1 km.</v>
      </c>
      <c r="D87" s="265">
        <f>F!D46</f>
        <v>0</v>
      </c>
      <c r="E87" s="758">
        <v>2</v>
      </c>
      <c r="F87" s="758">
        <f>D87*E87</f>
        <v>0</v>
      </c>
      <c r="G87" s="771"/>
      <c r="H87" s="2327"/>
      <c r="I87" s="2643"/>
    </row>
    <row r="88" spans="1:10" ht="15" customHeight="1" thickBot="1" x14ac:dyDescent="0.25">
      <c r="A88" s="2947"/>
      <c r="B88" s="2944"/>
      <c r="C88" s="752" t="str">
        <f>F!C47</f>
        <v>Several ( &gt;8/hectare) but above not true.</v>
      </c>
      <c r="D88" s="267">
        <f>F!D47</f>
        <v>0</v>
      </c>
      <c r="E88" s="760">
        <v>2</v>
      </c>
      <c r="F88" s="760">
        <f>D88*E88</f>
        <v>0</v>
      </c>
      <c r="G88" s="943"/>
      <c r="H88" s="2328"/>
      <c r="I88" s="2689"/>
    </row>
    <row r="89" spans="1:10" ht="45" customHeight="1" thickBot="1" x14ac:dyDescent="0.25">
      <c r="A89" s="2919" t="str">
        <f>F!A48</f>
        <v>F8</v>
      </c>
      <c r="B89" s="2904" t="str">
        <f>F!B48</f>
        <v>Downed Wood</v>
      </c>
      <c r="C89" s="747" t="str">
        <f>F!C48</f>
        <v>The number of downed wood pieces longer than 2 m and with diameter &gt;10 cm, and not persistently submerged, is:</v>
      </c>
      <c r="D89" s="756"/>
      <c r="E89" s="756"/>
      <c r="F89" s="767"/>
      <c r="G89" s="780" t="str">
        <f>IF((MAX(F!D18:D21)&lt;2),"", IF((D90=1),1,""))</f>
        <v/>
      </c>
      <c r="H89" s="2529" t="s">
        <v>1578</v>
      </c>
      <c r="I89" s="2552" t="s">
        <v>2869</v>
      </c>
    </row>
    <row r="90" spans="1:10" ht="27" customHeight="1" x14ac:dyDescent="0.2">
      <c r="A90" s="2923"/>
      <c r="B90" s="2912"/>
      <c r="C90" s="170" t="str">
        <f>F!C49</f>
        <v>Few or none that meet these criteria.</v>
      </c>
      <c r="D90" s="259">
        <f>F!D49</f>
        <v>0</v>
      </c>
      <c r="E90" s="758">
        <v>0</v>
      </c>
      <c r="F90" s="758">
        <f>D90*E90</f>
        <v>0</v>
      </c>
      <c r="G90" s="771"/>
      <c r="H90" s="2404"/>
      <c r="I90" s="2643"/>
    </row>
    <row r="91" spans="1:10" ht="27" customHeight="1" thickBot="1" x14ac:dyDescent="0.25">
      <c r="A91" s="2924"/>
      <c r="B91" s="2913"/>
      <c r="C91" s="748" t="str">
        <f>F!C50</f>
        <v>Several (&gt;5 if AA is &gt;5 hectares, less for smaller AAs) meet these criteria.</v>
      </c>
      <c r="D91" s="263">
        <f>F!D50</f>
        <v>0</v>
      </c>
      <c r="E91" s="760">
        <v>1</v>
      </c>
      <c r="F91" s="760">
        <f>D91*E91</f>
        <v>0</v>
      </c>
      <c r="G91" s="943"/>
      <c r="H91" s="2530"/>
      <c r="I91" s="2689"/>
    </row>
    <row r="92" spans="1:10" s="32" customFormat="1" ht="30" customHeight="1" thickBot="1" x14ac:dyDescent="0.25">
      <c r="A92" s="2586" t="str">
        <f>F!A51</f>
        <v>F9</v>
      </c>
      <c r="B92" s="2323" t="str">
        <f>F!B51</f>
        <v>N Fixers</v>
      </c>
      <c r="C92" s="368" t="str">
        <f>F!C51</f>
        <v>The percentage of the AA's vegetated cover that contains nitrogen-fixing plants (e.g., alder, sweetgale, clover, lupine, alfalfa, other legumes) is:</v>
      </c>
      <c r="D92" s="756"/>
      <c r="E92" s="781"/>
      <c r="F92" s="782"/>
      <c r="G92" s="780">
        <f>MAX(F93:F97)/MAX(E93:E97)</f>
        <v>0</v>
      </c>
      <c r="H92" s="2323" t="s">
        <v>1353</v>
      </c>
      <c r="I92" s="2552" t="s">
        <v>258</v>
      </c>
      <c r="J92" s="147"/>
    </row>
    <row r="93" spans="1:10" ht="15" customHeight="1" x14ac:dyDescent="0.2">
      <c r="A93" s="2399"/>
      <c r="B93" s="2324"/>
      <c r="C93" s="369" t="str">
        <f>F!C52</f>
        <v>&lt;1% or none.</v>
      </c>
      <c r="D93" s="212">
        <f>F!D52</f>
        <v>1</v>
      </c>
      <c r="E93" s="758">
        <v>0</v>
      </c>
      <c r="F93" s="758">
        <f>D93*E93</f>
        <v>0</v>
      </c>
      <c r="G93" s="771"/>
      <c r="H93" s="2324"/>
      <c r="I93" s="2643"/>
    </row>
    <row r="94" spans="1:10" ht="15" customHeight="1" x14ac:dyDescent="0.2">
      <c r="A94" s="2399"/>
      <c r="B94" s="2324"/>
      <c r="C94" s="568" t="str">
        <f>F!C53</f>
        <v>1-25% of the vegetated cover, in the AA or along its water edge (whichever has more).</v>
      </c>
      <c r="D94" s="70">
        <f>F!D53</f>
        <v>0</v>
      </c>
      <c r="E94" s="758">
        <v>1</v>
      </c>
      <c r="F94" s="758">
        <f>D94*E94</f>
        <v>0</v>
      </c>
      <c r="G94" s="772"/>
      <c r="H94" s="2324"/>
      <c r="I94" s="2643"/>
    </row>
    <row r="95" spans="1:10" ht="15" customHeight="1" x14ac:dyDescent="0.2">
      <c r="A95" s="2399"/>
      <c r="B95" s="2324"/>
      <c r="C95" s="568" t="str">
        <f>F!C54</f>
        <v>25-50% of the vegetated cover, in the AA or along its water edge (whichever has more).</v>
      </c>
      <c r="D95" s="70">
        <f>F!D54</f>
        <v>0</v>
      </c>
      <c r="E95" s="758">
        <v>2</v>
      </c>
      <c r="F95" s="758">
        <f>D95*E95</f>
        <v>0</v>
      </c>
      <c r="G95" s="772"/>
      <c r="H95" s="2324"/>
      <c r="I95" s="2643"/>
    </row>
    <row r="96" spans="1:10" ht="15" customHeight="1" x14ac:dyDescent="0.2">
      <c r="A96" s="2399"/>
      <c r="B96" s="2324"/>
      <c r="C96" s="568" t="str">
        <f>F!C55</f>
        <v>50-75% of the vegetated cover, in the AA or along its water edge (whichever has more).</v>
      </c>
      <c r="D96" s="70">
        <f>F!D55</f>
        <v>0</v>
      </c>
      <c r="E96" s="758">
        <v>3</v>
      </c>
      <c r="F96" s="758">
        <f>D96*E96</f>
        <v>0</v>
      </c>
      <c r="G96" s="772"/>
      <c r="H96" s="2324"/>
      <c r="I96" s="2643"/>
    </row>
    <row r="97" spans="1:12" ht="15" customHeight="1" thickBot="1" x14ac:dyDescent="0.25">
      <c r="A97" s="2553"/>
      <c r="B97" s="2325"/>
      <c r="C97" s="370" t="str">
        <f>F!C56</f>
        <v>&gt;75% of the vegetated cover, in the AA or along its water edge (whichever has more).</v>
      </c>
      <c r="D97" s="152">
        <f>F!D56</f>
        <v>0</v>
      </c>
      <c r="E97" s="760">
        <v>4</v>
      </c>
      <c r="F97" s="760">
        <f>D97*E97</f>
        <v>0</v>
      </c>
      <c r="G97" s="943"/>
      <c r="H97" s="2325"/>
      <c r="I97" s="2689"/>
    </row>
    <row r="98" spans="1:12" ht="30" customHeight="1" thickBot="1" x14ac:dyDescent="0.25">
      <c r="A98" s="2941" t="str">
        <f>F!A63</f>
        <v>F11</v>
      </c>
      <c r="B98" s="2905" t="str">
        <f>F!B63</f>
        <v>% Bare Ground &amp; Thatch</v>
      </c>
      <c r="C98" s="744" t="str">
        <f>F!C63</f>
        <v>Consider the parts of the AA that lack surface water at the driest time of the growing season. Viewed from directly above the ground layer, the predominant condition in those areas at that time is:</v>
      </c>
      <c r="D98" s="756"/>
      <c r="E98" s="764"/>
      <c r="F98" s="765"/>
      <c r="G98" s="775">
        <f>MAX(F99:F102)/MAX(E99:E102)</f>
        <v>0.8</v>
      </c>
      <c r="H98" s="2529" t="s">
        <v>1751</v>
      </c>
      <c r="I98" s="2552" t="s">
        <v>239</v>
      </c>
    </row>
    <row r="99" spans="1:12" ht="42" customHeight="1" x14ac:dyDescent="0.2">
      <c r="A99" s="2942"/>
      <c r="B99" s="2912"/>
      <c r="C99" s="170" t="str">
        <f>F!C64</f>
        <v>Little or no (&lt;5%) bare ground is visible between erect stems or under canopy anywhere in the vegetated AA. Ground is extensively blanketed by dense thatch, moss, lichens, graminoids with great stem densities, or plants with ground-hugging foliage. </v>
      </c>
      <c r="D99" s="259">
        <f>F!D64</f>
        <v>0</v>
      </c>
      <c r="E99" s="758">
        <v>5</v>
      </c>
      <c r="F99" s="758">
        <f>D99*E99</f>
        <v>0</v>
      </c>
      <c r="G99" s="771"/>
      <c r="H99" s="2905"/>
      <c r="I99" s="2643"/>
    </row>
    <row r="100" spans="1:12" ht="27" customHeight="1" x14ac:dyDescent="0.2">
      <c r="A100" s="2942"/>
      <c r="B100" s="2912"/>
      <c r="C100" s="745" t="str">
        <f>F!C65</f>
        <v>Slightly bare ground (5-20% bare between plants) is visible in places, but those areas comprise less than 5% of the unflooded parts of the AA.</v>
      </c>
      <c r="D100" s="260">
        <f>F!D65</f>
        <v>1</v>
      </c>
      <c r="E100" s="758">
        <v>4</v>
      </c>
      <c r="F100" s="758">
        <f>D100*E100</f>
        <v>4</v>
      </c>
      <c r="G100" s="772"/>
      <c r="H100" s="2905"/>
      <c r="I100" s="2643"/>
    </row>
    <row r="101" spans="1:12" ht="27" customHeight="1" x14ac:dyDescent="0.2">
      <c r="A101" s="2942"/>
      <c r="B101" s="2912"/>
      <c r="C101" s="745" t="str">
        <f>F!C66</f>
        <v>Much bare ground (20-50% bare between plants) is visible in places, and those areas comprise more than 5% of the unflooded parts of the AA. </v>
      </c>
      <c r="D101" s="260">
        <f>F!D66</f>
        <v>0</v>
      </c>
      <c r="E101" s="758">
        <v>1</v>
      </c>
      <c r="F101" s="758">
        <f>D101*E101</f>
        <v>0</v>
      </c>
      <c r="G101" s="772"/>
      <c r="H101" s="2905"/>
      <c r="I101" s="2643"/>
    </row>
    <row r="102" spans="1:12" ht="15" customHeight="1" thickBot="1" x14ac:dyDescent="0.25">
      <c r="A102" s="2942"/>
      <c r="B102" s="2912"/>
      <c r="C102" s="745" t="str">
        <f>F!C67</f>
        <v>Other conditions.</v>
      </c>
      <c r="D102" s="260">
        <f>F!D67</f>
        <v>0</v>
      </c>
      <c r="E102" s="766">
        <v>0</v>
      </c>
      <c r="F102" s="766">
        <f>D102*E102</f>
        <v>0</v>
      </c>
      <c r="G102" s="779"/>
      <c r="H102" s="2914"/>
      <c r="I102" s="2689"/>
    </row>
    <row r="103" spans="1:12" ht="60" customHeight="1" thickBot="1" x14ac:dyDescent="0.25">
      <c r="A103" s="2919" t="str">
        <f>F!A69</f>
        <v>F12</v>
      </c>
      <c r="B103" s="2904" t="str">
        <f>F!B69</f>
        <v xml:space="preserve">Ground Irregularity </v>
      </c>
      <c r="C103" s="747"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103" s="756"/>
      <c r="E103" s="756"/>
      <c r="F103" s="767"/>
      <c r="G103" s="780">
        <f>MAX(F104:F106)/MAX(E104:E106)</f>
        <v>0.5</v>
      </c>
      <c r="H103" s="2904" t="s">
        <v>469</v>
      </c>
      <c r="I103" s="2552" t="s">
        <v>240</v>
      </c>
    </row>
    <row r="104" spans="1:12" ht="27" customHeight="1" x14ac:dyDescent="0.2">
      <c r="A104" s="2923"/>
      <c r="B104" s="2912"/>
      <c r="C104" s="170" t="str">
        <f>F!C70</f>
        <v>Few or none (minimal microtopography; &lt;1% of the land has such features, or entire AA is always water-covered).</v>
      </c>
      <c r="D104" s="259">
        <f>F!D70</f>
        <v>0</v>
      </c>
      <c r="E104" s="758">
        <v>0</v>
      </c>
      <c r="F104" s="758">
        <f>D104*E104</f>
        <v>0</v>
      </c>
      <c r="G104" s="771"/>
      <c r="H104" s="2905"/>
      <c r="I104" s="2643"/>
    </row>
    <row r="105" spans="1:12" ht="15" customHeight="1" x14ac:dyDescent="0.2">
      <c r="A105" s="2923"/>
      <c r="B105" s="2912"/>
      <c r="C105" s="745" t="str">
        <f>F!C71</f>
        <v>Intermediate.</v>
      </c>
      <c r="D105" s="260">
        <f>F!D71</f>
        <v>1</v>
      </c>
      <c r="E105" s="758">
        <v>1</v>
      </c>
      <c r="F105" s="758">
        <f>D105*E105</f>
        <v>1</v>
      </c>
      <c r="G105" s="772"/>
      <c r="H105" s="2905"/>
      <c r="I105" s="2643"/>
    </row>
    <row r="106" spans="1:12" ht="15" customHeight="1" thickBot="1" x14ac:dyDescent="0.25">
      <c r="A106" s="2924"/>
      <c r="B106" s="2913"/>
      <c r="C106" s="748" t="str">
        <f>F!C72</f>
        <v>Several (extensive micro-topography).</v>
      </c>
      <c r="D106" s="263">
        <f>F!D72</f>
        <v>0</v>
      </c>
      <c r="E106" s="760">
        <v>2</v>
      </c>
      <c r="F106" s="760">
        <f>D106*E106</f>
        <v>0</v>
      </c>
      <c r="G106" s="943"/>
      <c r="H106" s="2914"/>
      <c r="I106" s="2689"/>
    </row>
    <row r="107" spans="1:12" ht="21" customHeight="1" thickBot="1" x14ac:dyDescent="0.25">
      <c r="A107" s="2915" t="str">
        <f>F!A73</f>
        <v>F13</v>
      </c>
      <c r="B107" s="2929" t="str">
        <f>F!B73</f>
        <v>Upland Inclusions</v>
      </c>
      <c r="C107" s="744" t="str">
        <f>F!C73</f>
        <v>Within the AA, inclusions of upland are:</v>
      </c>
      <c r="D107" s="756"/>
      <c r="E107" s="764"/>
      <c r="F107" s="765"/>
      <c r="G107" s="775" t="str">
        <f>IF((D108=1),"", MAX(F108:F110)/MAX(E108:E110))</f>
        <v/>
      </c>
      <c r="H107" s="2529" t="s">
        <v>43</v>
      </c>
      <c r="I107" s="2552" t="s">
        <v>241</v>
      </c>
    </row>
    <row r="108" spans="1:12" ht="15" customHeight="1" x14ac:dyDescent="0.2">
      <c r="A108" s="2915"/>
      <c r="B108" s="2929"/>
      <c r="C108" s="750" t="str">
        <f>F!C74</f>
        <v>Few or none.</v>
      </c>
      <c r="D108" s="265">
        <f>F!D74</f>
        <v>1</v>
      </c>
      <c r="E108" s="758">
        <v>0</v>
      </c>
      <c r="F108" s="758">
        <f>D108*E108</f>
        <v>0</v>
      </c>
      <c r="G108" s="771"/>
      <c r="H108" s="2404"/>
      <c r="I108" s="2643"/>
    </row>
    <row r="109" spans="1:12" ht="15" customHeight="1" x14ac:dyDescent="0.2">
      <c r="A109" s="2915"/>
      <c r="B109" s="2929"/>
      <c r="C109" s="751" t="str">
        <f>F!C75</f>
        <v>Intermediate (1 - 10% of vegetated part of the AA).</v>
      </c>
      <c r="D109" s="266">
        <f>F!D75</f>
        <v>0</v>
      </c>
      <c r="E109" s="758">
        <v>1</v>
      </c>
      <c r="F109" s="758">
        <f>D109*E109</f>
        <v>0</v>
      </c>
      <c r="G109" s="1377"/>
      <c r="H109" s="2404"/>
      <c r="I109" s="2643"/>
    </row>
    <row r="110" spans="1:12" ht="15" customHeight="1" thickBot="1" x14ac:dyDescent="0.25">
      <c r="A110" s="2915"/>
      <c r="B110" s="2929"/>
      <c r="C110" s="745" t="str">
        <f>F!C76</f>
        <v>Many (e.g., wetland-upland "mosaic", &gt;10% of the vegetated AA).</v>
      </c>
      <c r="D110" s="260">
        <f>F!D76</f>
        <v>0</v>
      </c>
      <c r="E110" s="766">
        <v>2</v>
      </c>
      <c r="F110" s="766">
        <f>D110*E110</f>
        <v>0</v>
      </c>
      <c r="G110" s="779"/>
      <c r="H110" s="2530"/>
      <c r="I110" s="2689"/>
    </row>
    <row r="111" spans="1:12" s="37" customFormat="1" ht="30" customHeight="1" thickBot="1" x14ac:dyDescent="0.25">
      <c r="A111" s="2948" t="str">
        <f>F!A121</f>
        <v>F24</v>
      </c>
      <c r="B111" s="2928" t="str">
        <f>F!B121</f>
        <v>% of AA Without Surface Water</v>
      </c>
      <c r="C111" s="167" t="str">
        <f>F!C121</f>
        <v>The percentage of the AA that never contains surface water during an average year (that is, except perhaps for a few hours after snowmelt or rainstorms), but which is still a wetland, is:</v>
      </c>
      <c r="D111" s="875"/>
      <c r="E111" s="768"/>
      <c r="F111" s="756"/>
      <c r="G111" s="780">
        <f>MAX(F112:F117)/MAX(E112:E117)</f>
        <v>0.16666666666666666</v>
      </c>
      <c r="H111" s="2323" t="s">
        <v>1116</v>
      </c>
      <c r="I111" s="2697" t="s">
        <v>659</v>
      </c>
      <c r="J111" s="151"/>
      <c r="K111" s="34"/>
      <c r="L111" s="34"/>
    </row>
    <row r="112" spans="1:12" s="37" customFormat="1" ht="15" customHeight="1" x14ac:dyDescent="0.2">
      <c r="A112" s="2937"/>
      <c r="B112" s="2929"/>
      <c r="C112" s="741" t="str">
        <f>F!C122</f>
        <v xml:space="preserve">&lt;1% . In other words, all or nearly all of the AA is covered by water permanently or at least seasonally.  </v>
      </c>
      <c r="D112" s="207">
        <f>F!D122</f>
        <v>1</v>
      </c>
      <c r="E112" s="758">
        <v>1</v>
      </c>
      <c r="F112" s="758">
        <f t="shared" ref="F112:F117" si="5">D112*E112</f>
        <v>1</v>
      </c>
      <c r="G112" s="779"/>
      <c r="H112" s="2324"/>
      <c r="I112" s="2723"/>
      <c r="J112" s="151"/>
      <c r="K112" s="34"/>
      <c r="L112" s="34"/>
    </row>
    <row r="113" spans="1:12" s="37" customFormat="1" ht="15" customHeight="1" x14ac:dyDescent="0.2">
      <c r="A113" s="2937"/>
      <c r="B113" s="2929"/>
      <c r="C113" s="742" t="str">
        <f>F!C123</f>
        <v>1-25% of the AA,  or &lt;1% but &gt;0.01 ha never contains surface water.</v>
      </c>
      <c r="D113" s="207">
        <f>F!D123</f>
        <v>0</v>
      </c>
      <c r="E113" s="758">
        <v>2</v>
      </c>
      <c r="F113" s="758">
        <f t="shared" si="5"/>
        <v>0</v>
      </c>
      <c r="G113" s="779"/>
      <c r="H113" s="2324"/>
      <c r="I113" s="2723"/>
      <c r="J113" s="151"/>
      <c r="K113" s="34"/>
      <c r="L113" s="34"/>
    </row>
    <row r="114" spans="1:12" s="37" customFormat="1" ht="15" customHeight="1" x14ac:dyDescent="0.2">
      <c r="A114" s="2937"/>
      <c r="B114" s="2929"/>
      <c r="C114" s="742" t="str">
        <f>F!C124</f>
        <v>25-50% of the AA never contains surface water.</v>
      </c>
      <c r="D114" s="207">
        <f>F!D124</f>
        <v>0</v>
      </c>
      <c r="E114" s="758">
        <v>3</v>
      </c>
      <c r="F114" s="758">
        <f t="shared" si="5"/>
        <v>0</v>
      </c>
      <c r="G114" s="779"/>
      <c r="H114" s="2324"/>
      <c r="I114" s="2723"/>
      <c r="J114" s="151"/>
      <c r="K114" s="34"/>
      <c r="L114" s="34"/>
    </row>
    <row r="115" spans="1:12" s="37" customFormat="1" ht="15" customHeight="1" x14ac:dyDescent="0.2">
      <c r="A115" s="2937"/>
      <c r="B115" s="2929"/>
      <c r="C115" s="742" t="str">
        <f>F!C125</f>
        <v>50-75% of the AA never contains surface water.</v>
      </c>
      <c r="D115" s="207">
        <f>F!D125</f>
        <v>0</v>
      </c>
      <c r="E115" s="758">
        <v>4</v>
      </c>
      <c r="F115" s="758">
        <f t="shared" si="5"/>
        <v>0</v>
      </c>
      <c r="G115" s="779"/>
      <c r="H115" s="2324"/>
      <c r="I115" s="2723"/>
      <c r="J115" s="151"/>
      <c r="K115" s="34"/>
      <c r="L115" s="34"/>
    </row>
    <row r="116" spans="1:12" s="37" customFormat="1" ht="27" customHeight="1" x14ac:dyDescent="0.2">
      <c r="A116" s="2937"/>
      <c r="B116" s="2929"/>
      <c r="C116" s="742" t="str">
        <f>F!C126</f>
        <v>75-99% of the AA never contains surface water, OR &gt;99% and there is at least one persistently ponded water body larger than 1 ha in the AA.</v>
      </c>
      <c r="D116" s="207">
        <f>F!D126</f>
        <v>0</v>
      </c>
      <c r="E116" s="758">
        <v>6</v>
      </c>
      <c r="F116" s="758">
        <f t="shared" si="5"/>
        <v>0</v>
      </c>
      <c r="G116" s="779"/>
      <c r="H116" s="2324"/>
      <c r="I116" s="2723"/>
      <c r="J116" s="151"/>
      <c r="K116" s="34"/>
      <c r="L116" s="34"/>
    </row>
    <row r="117" spans="1:12" s="37" customFormat="1" ht="27" customHeight="1" thickBot="1" x14ac:dyDescent="0.25">
      <c r="A117" s="2938"/>
      <c r="B117" s="2930"/>
      <c r="C117" s="743" t="str">
        <f>F!C127</f>
        <v>99-100%. AND there is no persistently ponded water body larger than 1 ha within the AA. Enter "1" and SKIP to F42 (Channel Connection).</v>
      </c>
      <c r="D117" s="208">
        <f>F!D127</f>
        <v>0</v>
      </c>
      <c r="E117" s="760">
        <v>5</v>
      </c>
      <c r="F117" s="760">
        <f t="shared" si="5"/>
        <v>0</v>
      </c>
      <c r="G117" s="943"/>
      <c r="H117" s="2325"/>
      <c r="I117" s="2795"/>
      <c r="J117" s="151"/>
      <c r="K117" s="34"/>
      <c r="L117" s="34"/>
    </row>
    <row r="118" spans="1:12" ht="45" customHeight="1" thickBot="1" x14ac:dyDescent="0.25">
      <c r="A118" s="2937" t="str">
        <f>F!A128</f>
        <v>F25</v>
      </c>
      <c r="B118" s="2929" t="str">
        <f>F!B128</f>
        <v>% of AA with Persistent Surface Water</v>
      </c>
      <c r="C118" s="870"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118" s="764"/>
      <c r="E118" s="764"/>
      <c r="F118" s="765"/>
      <c r="G118" s="775">
        <f>IF((AllSat1&gt;0),"", MAX(F119:F123)/MAX(E119:E123))</f>
        <v>0.75</v>
      </c>
      <c r="H118" s="2323" t="s">
        <v>1864</v>
      </c>
      <c r="I118" s="2552" t="s">
        <v>236</v>
      </c>
    </row>
    <row r="119" spans="1:12" ht="27" customHeight="1" x14ac:dyDescent="0.2">
      <c r="A119" s="2937"/>
      <c r="B119" s="2929"/>
      <c r="C119" s="746" t="str">
        <f>F!C129</f>
        <v>None. The AA dries up completely (no water in channels either) or never has surface water during most years.  SKIP to F27.</v>
      </c>
      <c r="D119" s="262">
        <f>F!D129</f>
        <v>0</v>
      </c>
      <c r="E119" s="764">
        <v>3</v>
      </c>
      <c r="F119" s="758">
        <f>D119*E119</f>
        <v>0</v>
      </c>
      <c r="G119" s="772"/>
      <c r="H119" s="2324"/>
      <c r="I119" s="2643"/>
    </row>
    <row r="120" spans="1:12" ht="15" customHeight="1" x14ac:dyDescent="0.2">
      <c r="A120" s="2937"/>
      <c r="B120" s="2929"/>
      <c r="C120" s="746" t="str">
        <f>F!C130</f>
        <v>1-20% of the AA.</v>
      </c>
      <c r="D120" s="262">
        <f>F!D130</f>
        <v>0</v>
      </c>
      <c r="E120" s="758">
        <v>4</v>
      </c>
      <c r="F120" s="758">
        <f>D120*E120</f>
        <v>0</v>
      </c>
      <c r="G120" s="772"/>
      <c r="H120" s="2324"/>
      <c r="I120" s="2643"/>
    </row>
    <row r="121" spans="1:12" ht="15" customHeight="1" x14ac:dyDescent="0.2">
      <c r="A121" s="2937"/>
      <c r="B121" s="2929"/>
      <c r="C121" s="746" t="str">
        <f>F!C131</f>
        <v>20-50% of the AA.</v>
      </c>
      <c r="D121" s="262">
        <f>F!D131</f>
        <v>1</v>
      </c>
      <c r="E121" s="758">
        <v>3</v>
      </c>
      <c r="F121" s="758">
        <f>D121*E121</f>
        <v>3</v>
      </c>
      <c r="G121" s="772"/>
      <c r="H121" s="2324"/>
      <c r="I121" s="2643"/>
    </row>
    <row r="122" spans="1:12" ht="15" customHeight="1" x14ac:dyDescent="0.2">
      <c r="A122" s="2937"/>
      <c r="B122" s="2929"/>
      <c r="C122" s="746" t="str">
        <f>F!C132</f>
        <v>50-95% of the AA.</v>
      </c>
      <c r="D122" s="262">
        <f>F!D132</f>
        <v>0</v>
      </c>
      <c r="E122" s="758">
        <v>2</v>
      </c>
      <c r="F122" s="758">
        <f>D122*E122</f>
        <v>0</v>
      </c>
      <c r="G122" s="772"/>
      <c r="H122" s="2324"/>
      <c r="I122" s="2643"/>
    </row>
    <row r="123" spans="1:12" ht="15" customHeight="1" thickBot="1" x14ac:dyDescent="0.25">
      <c r="A123" s="2938"/>
      <c r="B123" s="2930"/>
      <c r="C123" s="743" t="str">
        <f>F!C133</f>
        <v>&gt;95% of the AA. True for many fringe wetlands.</v>
      </c>
      <c r="D123" s="208">
        <f>F!D133</f>
        <v>0</v>
      </c>
      <c r="E123" s="774">
        <v>1</v>
      </c>
      <c r="F123" s="760">
        <f>D123*E123</f>
        <v>0</v>
      </c>
      <c r="G123" s="943"/>
      <c r="H123" s="2325"/>
      <c r="I123" s="2689"/>
    </row>
    <row r="124" spans="1:12" ht="30" customHeight="1" thickBot="1" x14ac:dyDescent="0.25">
      <c r="A124" s="2936" t="str">
        <f>F!A177</f>
        <v>F34</v>
      </c>
      <c r="B124" s="2907" t="str">
        <f>F!B177</f>
        <v>Width of Vegetated Zone within Wetland</v>
      </c>
      <c r="C124" s="1383" t="str">
        <f>F!C177</f>
        <v>At the time during the growing season when the AA's water level is lowest, the average width of vegetated area in the AA that separates adjoining uplands from open water within the AA is:</v>
      </c>
      <c r="D124" s="875"/>
      <c r="E124" s="769"/>
      <c r="F124" s="765"/>
      <c r="G124" s="775">
        <f>IF((AllSat1&gt;0),"",IF((TooSmall=1),"",IF((NoOpenPonded=1),"",MAX(F125:F130)/MAX(E125:E130))))</f>
        <v>1</v>
      </c>
      <c r="H124" s="2323" t="s">
        <v>1659</v>
      </c>
      <c r="I124" s="2552" t="s">
        <v>257</v>
      </c>
      <c r="L124" s="37"/>
    </row>
    <row r="125" spans="1:12" ht="21" customHeight="1" x14ac:dyDescent="0.2">
      <c r="A125" s="2936"/>
      <c r="B125" s="2907"/>
      <c r="C125" s="1382" t="str">
        <f>F!C178</f>
        <v>&lt;1 m.</v>
      </c>
      <c r="D125" s="266">
        <f>F!D178</f>
        <v>0</v>
      </c>
      <c r="E125" s="776">
        <v>0</v>
      </c>
      <c r="F125" s="758">
        <f t="shared" ref="F125:F130" si="6">D125*E125</f>
        <v>0</v>
      </c>
      <c r="G125" s="777"/>
      <c r="H125" s="2324"/>
      <c r="I125" s="2643"/>
    </row>
    <row r="126" spans="1:12" ht="21" customHeight="1" x14ac:dyDescent="0.2">
      <c r="A126" s="2936"/>
      <c r="B126" s="2907"/>
      <c r="C126" s="1016" t="str">
        <f>F!C179</f>
        <v>1 - 9 m.</v>
      </c>
      <c r="D126" s="266">
        <f>F!D179</f>
        <v>0</v>
      </c>
      <c r="E126" s="776">
        <v>1</v>
      </c>
      <c r="F126" s="758">
        <f t="shared" si="6"/>
        <v>0</v>
      </c>
      <c r="G126" s="772"/>
      <c r="H126" s="2324"/>
      <c r="I126" s="2643"/>
    </row>
    <row r="127" spans="1:12" ht="21" customHeight="1" x14ac:dyDescent="0.2">
      <c r="A127" s="2936"/>
      <c r="B127" s="2907"/>
      <c r="C127" s="1016" t="str">
        <f>F!C180</f>
        <v>10 - 29 m.</v>
      </c>
      <c r="D127" s="266">
        <f>F!D180</f>
        <v>0</v>
      </c>
      <c r="E127" s="776">
        <v>2</v>
      </c>
      <c r="F127" s="758">
        <f t="shared" si="6"/>
        <v>0</v>
      </c>
      <c r="G127" s="772"/>
      <c r="H127" s="2324"/>
      <c r="I127" s="2643"/>
    </row>
    <row r="128" spans="1:12" ht="21" customHeight="1" x14ac:dyDescent="0.2">
      <c r="A128" s="2936"/>
      <c r="B128" s="2907"/>
      <c r="C128" s="1016" t="str">
        <f>F!C181</f>
        <v>30 - 49 m.</v>
      </c>
      <c r="D128" s="266">
        <f>F!D181</f>
        <v>0</v>
      </c>
      <c r="E128" s="776">
        <v>3</v>
      </c>
      <c r="F128" s="758">
        <f t="shared" si="6"/>
        <v>0</v>
      </c>
      <c r="G128" s="772"/>
      <c r="H128" s="2324"/>
      <c r="I128" s="2643"/>
    </row>
    <row r="129" spans="1:9" ht="21" customHeight="1" x14ac:dyDescent="0.2">
      <c r="A129" s="2936"/>
      <c r="B129" s="2907"/>
      <c r="C129" s="1016" t="str">
        <f>F!C182</f>
        <v>50 - 100 m.</v>
      </c>
      <c r="D129" s="266">
        <f>F!D182</f>
        <v>0</v>
      </c>
      <c r="E129" s="776">
        <v>4</v>
      </c>
      <c r="F129" s="758">
        <f t="shared" si="6"/>
        <v>0</v>
      </c>
      <c r="G129" s="772"/>
      <c r="H129" s="2324"/>
      <c r="I129" s="2643"/>
    </row>
    <row r="130" spans="1:9" ht="21" customHeight="1" thickBot="1" x14ac:dyDescent="0.25">
      <c r="A130" s="2936"/>
      <c r="B130" s="2907"/>
      <c r="C130" s="1016" t="str">
        <f>F!C183</f>
        <v>&gt; 100 m, or open water is absent at that time.</v>
      </c>
      <c r="D130" s="266">
        <f>F!D183</f>
        <v>1</v>
      </c>
      <c r="E130" s="778">
        <v>6</v>
      </c>
      <c r="F130" s="766">
        <f t="shared" si="6"/>
        <v>6</v>
      </c>
      <c r="G130" s="779"/>
      <c r="H130" s="2325"/>
      <c r="I130" s="2689"/>
    </row>
    <row r="131" spans="1:9" ht="30" customHeight="1" thickBot="1" x14ac:dyDescent="0.25">
      <c r="A131" s="2933" t="str">
        <f>F!A195</f>
        <v>F37</v>
      </c>
      <c r="B131" s="2906" t="str">
        <f>F!B195</f>
        <v>Interspersion of Emergents &amp; Open Water</v>
      </c>
      <c r="C131" s="747" t="str">
        <f>F!C195</f>
        <v>During most of the part of the growing season when water is present, the spatial pattern of emergent vegetation within the water is mostly:</v>
      </c>
      <c r="D131" s="756"/>
      <c r="E131" s="768"/>
      <c r="F131" s="767"/>
      <c r="G131" s="780" t="str">
        <f>IF((AllSat1&gt;0),"",IF((TooSmall=1),"",IF((NoPonded=1),"",IF((NoOpenPonded+NoOpenPonded1&gt;0),"",IF((AllOpenPond=1),"",IF((NoRobustEm=1),"",MAX(F132:F134)/MAX(E132:E134)))))))</f>
        <v/>
      </c>
      <c r="H131" s="2323" t="s">
        <v>1186</v>
      </c>
      <c r="I131" s="2552" t="s">
        <v>256</v>
      </c>
    </row>
    <row r="132" spans="1:9" ht="15" customHeight="1" x14ac:dyDescent="0.2">
      <c r="A132" s="2939"/>
      <c r="B132" s="2907"/>
      <c r="C132" s="750" t="str">
        <f>F!C196</f>
        <v>Scattered. More than 30% of such vegetation forms small islands or corridors surrounded by water.</v>
      </c>
      <c r="D132" s="265">
        <f>F!D196</f>
        <v>0</v>
      </c>
      <c r="E132" s="776">
        <v>3</v>
      </c>
      <c r="F132" s="758">
        <f>D132*E132</f>
        <v>0</v>
      </c>
      <c r="G132" s="759"/>
      <c r="H132" s="2324"/>
      <c r="I132" s="2643"/>
    </row>
    <row r="133" spans="1:9" ht="15" customHeight="1" x14ac:dyDescent="0.2">
      <c r="A133" s="2939"/>
      <c r="B133" s="2907"/>
      <c r="C133" s="751" t="str">
        <f>F!C197</f>
        <v>Intermediate.</v>
      </c>
      <c r="D133" s="266">
        <f>F!D197</f>
        <v>0</v>
      </c>
      <c r="E133" s="776">
        <v>2</v>
      </c>
      <c r="F133" s="758">
        <f>D133*E133</f>
        <v>0</v>
      </c>
      <c r="G133" s="759"/>
      <c r="H133" s="2324"/>
      <c r="I133" s="2643"/>
    </row>
    <row r="134" spans="1:9" ht="27" customHeight="1" thickBot="1" x14ac:dyDescent="0.25">
      <c r="A134" s="2940"/>
      <c r="B134" s="2908"/>
      <c r="C134" s="748" t="str">
        <f>F!C198</f>
        <v>Clumped. More than 70% of such vegetation is in bands along the wetland perimeter or is clumped at one or a few sides of the surface water area.</v>
      </c>
      <c r="D134" s="263">
        <f>F!D198</f>
        <v>1</v>
      </c>
      <c r="E134" s="774">
        <v>1</v>
      </c>
      <c r="F134" s="760">
        <f>D134*E134</f>
        <v>1</v>
      </c>
      <c r="G134" s="761"/>
      <c r="H134" s="2325"/>
      <c r="I134" s="2689"/>
    </row>
    <row r="135" spans="1:9" ht="21" customHeight="1" thickBot="1" x14ac:dyDescent="0.25">
      <c r="A135" s="2919" t="str">
        <f>F!A233</f>
        <v>F49</v>
      </c>
      <c r="B135" s="2928" t="str">
        <f>F!B233</f>
        <v>Beaver Probability</v>
      </c>
      <c r="C135" s="747" t="str">
        <f>F!C233</f>
        <v>Use of the AA by beaver during the past 5 years is (select most applicable ONE):</v>
      </c>
      <c r="D135" s="756"/>
      <c r="E135" s="756"/>
      <c r="F135" s="767"/>
      <c r="G135" s="780">
        <f>IF((AllSat1&gt;0),"", MAX(F136:F138)/MAX(E136:E138))</f>
        <v>1</v>
      </c>
      <c r="H135" s="2323" t="s">
        <v>1407</v>
      </c>
      <c r="I135" s="2552" t="s">
        <v>243</v>
      </c>
    </row>
    <row r="136" spans="1:9" ht="27" customHeight="1" x14ac:dyDescent="0.2">
      <c r="A136" s="2920"/>
      <c r="B136" s="2929"/>
      <c r="C136" s="170" t="str">
        <f>F!C234</f>
        <v>Evident from direct observation or presence of gnawed limbs, dams, tracks, dens, lodges, or extensive stands of water-killed trees (snags).</v>
      </c>
      <c r="D136" s="259">
        <f>F!D234</f>
        <v>1</v>
      </c>
      <c r="E136" s="764">
        <v>3</v>
      </c>
      <c r="F136" s="758">
        <f>D136*E136</f>
        <v>3</v>
      </c>
      <c r="G136" s="771"/>
      <c r="H136" s="2324"/>
      <c r="I136" s="2643"/>
    </row>
    <row r="137" spans="1:9" ht="42" customHeight="1" x14ac:dyDescent="0.2">
      <c r="A137" s="2920"/>
      <c r="B137" s="2929"/>
      <c r="C137" s="745" t="str">
        <f>F!C235</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37" s="260">
        <f>F!D235</f>
        <v>0</v>
      </c>
      <c r="E137" s="764">
        <v>2</v>
      </c>
      <c r="F137" s="758">
        <f>D137*E137</f>
        <v>0</v>
      </c>
      <c r="G137" s="772"/>
      <c r="H137" s="2324"/>
      <c r="I137" s="2643"/>
    </row>
    <row r="138" spans="1:9" ht="27" customHeight="1" thickBot="1" x14ac:dyDescent="0.25">
      <c r="A138" s="2921"/>
      <c r="B138" s="2930"/>
      <c r="C138" s="748" t="str">
        <f>F!C236</f>
        <v xml:space="preserve">Unlikely because site characteristics above are deficient, and/or this is a settled area or other area where beaver are routinely removed. </v>
      </c>
      <c r="D138" s="263">
        <f>F!D236</f>
        <v>0</v>
      </c>
      <c r="E138" s="910">
        <v>0</v>
      </c>
      <c r="F138" s="760">
        <f>D138*E138</f>
        <v>0</v>
      </c>
      <c r="G138" s="943"/>
      <c r="H138" s="2325"/>
      <c r="I138" s="2689"/>
    </row>
    <row r="139" spans="1:9" ht="45" customHeight="1" thickBot="1" x14ac:dyDescent="0.25">
      <c r="A139" s="2945" t="str">
        <f>F!A247</f>
        <v>F52</v>
      </c>
      <c r="B139" s="2906" t="str">
        <f>F!B247</f>
        <v>Vegetated Buffer as % of Perimeter</v>
      </c>
      <c r="C139" s="168" t="str">
        <f>F!C247</f>
        <v>Within a zone extending 30 m laterally from the AA's edge with upland and/or other wetlands, the percentage that contains perennial vegetation cover (except lawns, row crops, heavily grazed land, conifer plantations) is:</v>
      </c>
      <c r="D139" s="875"/>
      <c r="E139" s="875"/>
      <c r="F139" s="767"/>
      <c r="G139" s="581">
        <f>MAX(F140:F144)/MAX(E140:E144)</f>
        <v>0</v>
      </c>
      <c r="H139" s="2323" t="s">
        <v>1693</v>
      </c>
      <c r="I139" s="2552" t="s">
        <v>1587</v>
      </c>
    </row>
    <row r="140" spans="1:9" ht="15" customHeight="1" x14ac:dyDescent="0.2">
      <c r="A140" s="2939"/>
      <c r="B140" s="2907"/>
      <c r="C140" s="750" t="str">
        <f>F!C248</f>
        <v>&lt;5%.</v>
      </c>
      <c r="D140" s="266">
        <f>F!D248</f>
        <v>1</v>
      </c>
      <c r="E140" s="300">
        <v>0</v>
      </c>
      <c r="F140" s="300">
        <f>D140*E140</f>
        <v>0</v>
      </c>
      <c r="G140" s="772"/>
      <c r="H140" s="2324"/>
      <c r="I140" s="2643"/>
    </row>
    <row r="141" spans="1:9" ht="15" customHeight="1" x14ac:dyDescent="0.2">
      <c r="A141" s="2939"/>
      <c r="B141" s="2907"/>
      <c r="C141" s="751" t="str">
        <f>F!C249</f>
        <v>5 to 30%.</v>
      </c>
      <c r="D141" s="266">
        <f>F!D249</f>
        <v>0</v>
      </c>
      <c r="E141" s="300">
        <v>1</v>
      </c>
      <c r="F141" s="300">
        <f>D141*E141</f>
        <v>0</v>
      </c>
      <c r="G141" s="772"/>
      <c r="H141" s="2324"/>
      <c r="I141" s="2643"/>
    </row>
    <row r="142" spans="1:9" ht="15" customHeight="1" x14ac:dyDescent="0.2">
      <c r="A142" s="2939"/>
      <c r="B142" s="2907"/>
      <c r="C142" s="751" t="str">
        <f>F!C250</f>
        <v>30 to 60%.</v>
      </c>
      <c r="D142" s="266">
        <f>F!D250</f>
        <v>0</v>
      </c>
      <c r="E142" s="300">
        <v>2</v>
      </c>
      <c r="F142" s="300">
        <f>D142*E142</f>
        <v>0</v>
      </c>
      <c r="G142" s="772"/>
      <c r="H142" s="2324"/>
      <c r="I142" s="2643"/>
    </row>
    <row r="143" spans="1:9" ht="15" customHeight="1" x14ac:dyDescent="0.2">
      <c r="A143" s="2939"/>
      <c r="B143" s="2907"/>
      <c r="C143" s="751" t="str">
        <f>F!C251</f>
        <v>60 to 90%.</v>
      </c>
      <c r="D143" s="266">
        <f>F!D251</f>
        <v>0</v>
      </c>
      <c r="E143" s="300">
        <v>4</v>
      </c>
      <c r="F143" s="300">
        <f>D143*E143</f>
        <v>0</v>
      </c>
      <c r="G143" s="772"/>
      <c r="H143" s="2324"/>
      <c r="I143" s="2643"/>
    </row>
    <row r="144" spans="1:9" ht="15" customHeight="1" thickBot="1" x14ac:dyDescent="0.25">
      <c r="A144" s="2940"/>
      <c r="B144" s="2908"/>
      <c r="C144" s="748" t="str">
        <f>F!C252</f>
        <v>&gt;90%, or all the area within 30 m of the AA edge is other wetlands. SKIP to F55.</v>
      </c>
      <c r="D144" s="263">
        <f>F!D252</f>
        <v>0</v>
      </c>
      <c r="E144" s="301">
        <v>5</v>
      </c>
      <c r="F144" s="301">
        <f>D144*E144</f>
        <v>0</v>
      </c>
      <c r="G144" s="943"/>
      <c r="H144" s="2325"/>
      <c r="I144" s="2689"/>
    </row>
    <row r="145" spans="1:9" ht="30" customHeight="1" thickBot="1" x14ac:dyDescent="0.25">
      <c r="A145" s="2912" t="str">
        <f>F!A253</f>
        <v>F53</v>
      </c>
      <c r="B145" s="2912" t="str">
        <f>F!B253</f>
        <v>Type of Cover in Buffer</v>
      </c>
      <c r="C145" s="744" t="str">
        <f>F!C253</f>
        <v>Within 30 m upslope of where the wetland transitions to upland, the upland land cover that is NOT perennial vegetation is mostly (mark ONE):</v>
      </c>
      <c r="D145" s="762"/>
      <c r="E145" s="764"/>
      <c r="F145" s="765"/>
      <c r="G145" s="775">
        <f>IF((BuffAllNat=1),"", MAX(F146:F147)/MAX(E146:E147))</f>
        <v>0</v>
      </c>
      <c r="H145" s="2404" t="s">
        <v>2594</v>
      </c>
      <c r="I145" s="2916" t="s">
        <v>247</v>
      </c>
    </row>
    <row r="146" spans="1:9" ht="15" customHeight="1" x14ac:dyDescent="0.2">
      <c r="A146" s="2912"/>
      <c r="B146" s="2912"/>
      <c r="C146" s="1018" t="str">
        <f>F!C254</f>
        <v>Impervious surface, e.g., paved road, parking lot, building, exposed rock.</v>
      </c>
      <c r="D146" s="266">
        <f>F!D254</f>
        <v>0</v>
      </c>
      <c r="E146" s="776">
        <v>0</v>
      </c>
      <c r="F146" s="758">
        <f>D146*E146</f>
        <v>0</v>
      </c>
      <c r="G146" s="771"/>
      <c r="H146" s="2404"/>
      <c r="I146" s="2917"/>
    </row>
    <row r="147" spans="1:9" ht="27" customHeight="1" thickBot="1" x14ac:dyDescent="0.25">
      <c r="A147" s="2912"/>
      <c r="B147" s="2912"/>
      <c r="C147" s="1020" t="str">
        <f>F!C255</f>
        <v>Bare or nearly bare pervious surface or managed vegetation, e.g., lawn, row crops, unpaved road, dike, landslide.</v>
      </c>
      <c r="D147" s="1019">
        <f>F!D255</f>
        <v>0</v>
      </c>
      <c r="E147" s="760">
        <v>1</v>
      </c>
      <c r="F147" s="766">
        <f>D147*E147</f>
        <v>0</v>
      </c>
      <c r="G147" s="779"/>
      <c r="H147" s="2530"/>
      <c r="I147" s="2918"/>
    </row>
    <row r="148" spans="1:9" ht="45" customHeight="1" thickBot="1" x14ac:dyDescent="0.25">
      <c r="A148" s="167" t="str">
        <f>F!A261</f>
        <v>F55</v>
      </c>
      <c r="B148" s="167" t="str">
        <f>F!B261</f>
        <v xml:space="preserve">Cliffs or Steep Banks </v>
      </c>
      <c r="C148" s="749" t="str">
        <f>F!C261</f>
        <v>In the AA or within 100 m, there are elevated terrestrial features such as cliffs, talus slopes, stream banks, or excavated pits (but not riprap) that extend at least 2 m nearly vertically, are unvegetated, and potentially contain crevices or other substrate suitable for nesting or den areas. Enter 1 (yes) or 0 (no).</v>
      </c>
      <c r="D148" s="264">
        <f>F!D261</f>
        <v>0</v>
      </c>
      <c r="E148" s="773">
        <v>1</v>
      </c>
      <c r="F148" s="783">
        <f>D148*E148</f>
        <v>0</v>
      </c>
      <c r="G148" s="780" t="str">
        <f>IF((D148=1),1,"")</f>
        <v/>
      </c>
      <c r="H148" s="73" t="s">
        <v>1580</v>
      </c>
      <c r="I148" s="1846" t="s">
        <v>242</v>
      </c>
    </row>
    <row r="149" spans="1:9" ht="60" customHeight="1" thickBot="1" x14ac:dyDescent="0.25">
      <c r="A149" s="2905" t="str">
        <f>F!A282</f>
        <v>F60</v>
      </c>
      <c r="B149" s="2905" t="str">
        <f>F!B282</f>
        <v xml:space="preserve">Unvisited Core Area </v>
      </c>
      <c r="C149" s="744"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149" s="756"/>
      <c r="E149" s="764"/>
      <c r="F149" s="765"/>
      <c r="G149" s="775">
        <f>MAX(F150:F155)/MAX(E150:E155)</f>
        <v>1</v>
      </c>
      <c r="H149" s="2529" t="s">
        <v>2595</v>
      </c>
      <c r="I149" s="2552" t="s">
        <v>244</v>
      </c>
    </row>
    <row r="150" spans="1:9" ht="15" customHeight="1" x14ac:dyDescent="0.2">
      <c r="A150" s="2905"/>
      <c r="B150" s="2905"/>
      <c r="C150" s="1017" t="str">
        <f>F!C283</f>
        <v>&lt;5% and no inhabited building is within 100 m of the AA.</v>
      </c>
      <c r="D150" s="260">
        <f>F!D283</f>
        <v>0</v>
      </c>
      <c r="E150" s="932">
        <v>1</v>
      </c>
      <c r="F150" s="758">
        <f t="shared" ref="F150:F155" si="7">D150*E150</f>
        <v>0</v>
      </c>
      <c r="G150" s="771"/>
      <c r="H150" s="2905"/>
      <c r="I150" s="2643"/>
    </row>
    <row r="151" spans="1:9" ht="15" customHeight="1" x14ac:dyDescent="0.2">
      <c r="A151" s="2905"/>
      <c r="B151" s="2905"/>
      <c r="C151" s="170" t="str">
        <f>F!C284</f>
        <v>&lt;5% and inhabited building is within 100 m of the AA.</v>
      </c>
      <c r="D151" s="266">
        <f>F!D284</f>
        <v>0</v>
      </c>
      <c r="E151" s="932">
        <v>0</v>
      </c>
      <c r="F151" s="758">
        <f t="shared" si="7"/>
        <v>0</v>
      </c>
      <c r="G151" s="772"/>
      <c r="H151" s="2905"/>
      <c r="I151" s="2643"/>
    </row>
    <row r="152" spans="1:9" ht="15" customHeight="1" x14ac:dyDescent="0.2">
      <c r="A152" s="2905"/>
      <c r="B152" s="2905"/>
      <c r="C152" s="751" t="str">
        <f>F!C285</f>
        <v>5-50% and no inhabited building is within 100 m of the AA.</v>
      </c>
      <c r="D152" s="266">
        <f>F!D285</f>
        <v>0</v>
      </c>
      <c r="E152" s="932">
        <v>3</v>
      </c>
      <c r="F152" s="758">
        <f t="shared" si="7"/>
        <v>0</v>
      </c>
      <c r="G152" s="772"/>
      <c r="H152" s="2905"/>
      <c r="I152" s="2643"/>
    </row>
    <row r="153" spans="1:9" ht="15" customHeight="1" x14ac:dyDescent="0.2">
      <c r="A153" s="2905"/>
      <c r="B153" s="2905"/>
      <c r="C153" s="170" t="str">
        <f>F!C286</f>
        <v>5-50% and inhabited building is within 100 m of the AA.</v>
      </c>
      <c r="D153" s="259">
        <f>F!D286</f>
        <v>0</v>
      </c>
      <c r="E153" s="932">
        <v>2</v>
      </c>
      <c r="F153" s="758">
        <f t="shared" si="7"/>
        <v>0</v>
      </c>
      <c r="G153" s="779"/>
      <c r="H153" s="2905"/>
      <c r="I153" s="2643"/>
    </row>
    <row r="154" spans="1:9" ht="15" customHeight="1" x14ac:dyDescent="0.2">
      <c r="A154" s="2905"/>
      <c r="B154" s="2905"/>
      <c r="C154" s="751" t="str">
        <f>F!C287</f>
        <v>50-95%, with or without inhabited building nearby.</v>
      </c>
      <c r="D154" s="266">
        <f>F!D287</f>
        <v>0</v>
      </c>
      <c r="E154" s="932">
        <v>4</v>
      </c>
      <c r="F154" s="758">
        <f t="shared" si="7"/>
        <v>0</v>
      </c>
      <c r="G154" s="779"/>
      <c r="H154" s="2905"/>
      <c r="I154" s="2643"/>
    </row>
    <row r="155" spans="1:9" ht="15" customHeight="1" thickBot="1" x14ac:dyDescent="0.25">
      <c r="A155" s="2905"/>
      <c r="B155" s="2905"/>
      <c r="C155" s="752" t="str">
        <f>F!C288</f>
        <v>&gt;95% of the AA with or without inhabited building nearby.</v>
      </c>
      <c r="D155" s="267">
        <f>F!D288</f>
        <v>1</v>
      </c>
      <c r="E155" s="1003">
        <v>5</v>
      </c>
      <c r="F155" s="766">
        <f t="shared" si="7"/>
        <v>5</v>
      </c>
      <c r="G155" s="779"/>
      <c r="H155" s="2914"/>
      <c r="I155" s="2689"/>
    </row>
    <row r="156" spans="1:9" ht="32.450000000000003" customHeight="1" thickBot="1" x14ac:dyDescent="0.25">
      <c r="A156" s="2904" t="str">
        <f>F!A289</f>
        <v>F61</v>
      </c>
      <c r="B156" s="2904" t="str">
        <f>F!B289</f>
        <v>Frequently Visited Area</v>
      </c>
      <c r="C156" s="747" t="str">
        <f>F!C289</f>
        <v>The part of the AA visited by humans almost daily for several weeks during an average growing season probably comprises:  [See note above.]</v>
      </c>
      <c r="D156" s="875"/>
      <c r="E156" s="427"/>
      <c r="F156" s="767"/>
      <c r="G156" s="780">
        <f>MAX(F157:F160)/MAX(E157:E160)</f>
        <v>1</v>
      </c>
      <c r="H156" s="2904" t="s">
        <v>87</v>
      </c>
      <c r="I156" s="2552" t="s">
        <v>245</v>
      </c>
    </row>
    <row r="157" spans="1:9" ht="15" customHeight="1" x14ac:dyDescent="0.2">
      <c r="A157" s="2905"/>
      <c r="B157" s="2905"/>
      <c r="C157" s="750" t="str">
        <f>F!C290</f>
        <v>&lt;5%. If F60 was answered "&gt;95%" (mostly never visited), SKIP to F64.</v>
      </c>
      <c r="D157" s="266">
        <f>F!D290</f>
        <v>1</v>
      </c>
      <c r="E157" s="932">
        <v>3</v>
      </c>
      <c r="F157" s="758">
        <f>D157*E157</f>
        <v>3</v>
      </c>
      <c r="G157" s="771"/>
      <c r="H157" s="2905"/>
      <c r="I157" s="2643"/>
    </row>
    <row r="158" spans="1:9" ht="15" customHeight="1" x14ac:dyDescent="0.2">
      <c r="A158" s="2905"/>
      <c r="B158" s="2905"/>
      <c r="C158" s="751" t="str">
        <f>F!C291</f>
        <v>5-50%.</v>
      </c>
      <c r="D158" s="266">
        <f>F!D291</f>
        <v>0</v>
      </c>
      <c r="E158" s="932">
        <v>2</v>
      </c>
      <c r="F158" s="758">
        <f>D158*E158</f>
        <v>0</v>
      </c>
      <c r="G158" s="772"/>
      <c r="H158" s="2905"/>
      <c r="I158" s="2643"/>
    </row>
    <row r="159" spans="1:9" ht="15" customHeight="1" x14ac:dyDescent="0.2">
      <c r="A159" s="2905"/>
      <c r="B159" s="2905"/>
      <c r="C159" s="751" t="str">
        <f>F!C292</f>
        <v>50-95%.</v>
      </c>
      <c r="D159" s="266">
        <f>F!D292</f>
        <v>0</v>
      </c>
      <c r="E159" s="932">
        <v>1</v>
      </c>
      <c r="F159" s="758">
        <f>D159*E159</f>
        <v>0</v>
      </c>
      <c r="G159" s="772"/>
      <c r="H159" s="2905"/>
      <c r="I159" s="2643"/>
    </row>
    <row r="160" spans="1:9" ht="15" customHeight="1" thickBot="1" x14ac:dyDescent="0.25">
      <c r="A160" s="2905"/>
      <c r="B160" s="2905"/>
      <c r="C160" s="745" t="str">
        <f>F!C293</f>
        <v>&gt;95% of the AA.</v>
      </c>
      <c r="D160" s="260">
        <f>F!D293</f>
        <v>0</v>
      </c>
      <c r="E160" s="1003">
        <v>0</v>
      </c>
      <c r="F160" s="766">
        <f>D160*E160</f>
        <v>0</v>
      </c>
      <c r="G160" s="779"/>
      <c r="H160" s="2905"/>
      <c r="I160" s="2643"/>
    </row>
    <row r="161" spans="1:10" s="147" customFormat="1" ht="36" customHeight="1" thickBot="1" x14ac:dyDescent="0.25">
      <c r="A161" s="1183" t="s">
        <v>88</v>
      </c>
      <c r="B161" s="1184" t="s">
        <v>1899</v>
      </c>
      <c r="C161" s="1384" t="s">
        <v>1165</v>
      </c>
      <c r="D161" s="1185" t="s">
        <v>45</v>
      </c>
      <c r="E161" s="1318" t="s">
        <v>1189</v>
      </c>
      <c r="F161" s="1284" t="s">
        <v>1190</v>
      </c>
      <c r="G161" s="1319" t="s">
        <v>2555</v>
      </c>
      <c r="H161" s="1184" t="s">
        <v>1118</v>
      </c>
      <c r="I161" s="1190" t="s">
        <v>2424</v>
      </c>
    </row>
    <row r="162" spans="1:10" s="32" customFormat="1" ht="114" customHeight="1" thickBot="1" x14ac:dyDescent="0.25">
      <c r="A162" s="168" t="str">
        <f>OF!A39</f>
        <v>OF6</v>
      </c>
      <c r="B162" s="168" t="str">
        <f>OF!B39</f>
        <v>Herbaceous Uniqueness</v>
      </c>
      <c r="C162" s="1012" t="str">
        <f>OF!C39</f>
        <v xml:space="preserve">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 NOTE: Exclude lawns, row crops, heavily grazed lands, forest, shrublands. Include moss as well as grasslike plants in this use of "herbaceous vegetation"]
</v>
      </c>
      <c r="D162" s="1013">
        <f>OF!D39</f>
        <v>3</v>
      </c>
      <c r="E162" s="1386"/>
      <c r="F162" s="1387"/>
      <c r="G162" s="1380">
        <f>D162/3</f>
        <v>1</v>
      </c>
      <c r="H162" s="4" t="s">
        <v>2231</v>
      </c>
      <c r="I162" s="1849" t="s">
        <v>1589</v>
      </c>
      <c r="J162" s="147"/>
    </row>
    <row r="163" spans="1:10" s="32" customFormat="1" ht="102" customHeight="1" thickBot="1" x14ac:dyDescent="0.25">
      <c r="A163" s="1310" t="str">
        <f>OF!A40</f>
        <v>OF7</v>
      </c>
      <c r="B163" s="1310" t="str">
        <f>OF!B40</f>
        <v>Woody Uniqueness</v>
      </c>
      <c r="C163" s="32" t="str">
        <f>OF!C40</f>
        <v xml:space="preserve">The AA's vegetation cover is &gt;10% woody* but uplands within 5 km have &lt;10% woody cover. If so, enter "3" and continue to OF8.  If not, consider: 
The AA's vegetation is &gt;10% woody* but uplands within 1 km have &lt;10% woody cover. If so enter "2" and continue to OF8.  If not, consider: 
The AA's vegetation is &gt;10%  woody* but uplands within 100 m of the wetland edge have &lt;10% woody cover.  If so, enter "1"  
 [* NOTE: woody cover = trees &amp; shrubs taller than 1 m.]
</v>
      </c>
      <c r="D163" s="1534">
        <f>OF!D40</f>
        <v>0</v>
      </c>
      <c r="E163" s="1385"/>
      <c r="F163" s="1385"/>
      <c r="G163" s="1379">
        <f>D163/3</f>
        <v>0</v>
      </c>
      <c r="H163" s="1448" t="s">
        <v>2232</v>
      </c>
      <c r="I163" s="1845" t="s">
        <v>2870</v>
      </c>
      <c r="J163" s="147"/>
    </row>
    <row r="164" spans="1:10" s="32" customFormat="1" ht="30" customHeight="1" thickBot="1" x14ac:dyDescent="0.25">
      <c r="A164" s="2945" t="str">
        <f>OF!A64</f>
        <v>OF13</v>
      </c>
      <c r="B164" s="2906" t="str">
        <f>OF!B64</f>
        <v>Distance to Ponded Water</v>
      </c>
      <c r="C164" s="168" t="str">
        <f>OF!C64</f>
        <v>The distance from the AA center to the closest (but separate) ponded water body visible in GoogleEarth imagery is:</v>
      </c>
      <c r="D164" s="1540"/>
      <c r="E164" s="427"/>
      <c r="F164" s="304"/>
      <c r="G164" s="447">
        <f>MAX(F165:F171)/MAX(E165:E171)</f>
        <v>0.5</v>
      </c>
      <c r="H164" s="2323" t="s">
        <v>2371</v>
      </c>
      <c r="I164" s="2552" t="s">
        <v>2370</v>
      </c>
      <c r="J164" s="147"/>
    </row>
    <row r="165" spans="1:10" s="32" customFormat="1" ht="25.5" x14ac:dyDescent="0.2">
      <c r="A165" s="2939"/>
      <c r="B165" s="2907"/>
      <c r="C165" s="1541" t="str">
        <f>OF!C65</f>
        <v xml:space="preserve">&lt;50 m, and not separated by any width of paved roads, stretches of open water, row crops, lawn, bare ground, or impervious surface. </v>
      </c>
      <c r="D165" s="266">
        <f>OF!D65</f>
        <v>0</v>
      </c>
      <c r="E165" s="324">
        <v>0</v>
      </c>
      <c r="F165" s="300">
        <f t="shared" ref="F165:F171" si="8">D165*E165</f>
        <v>0</v>
      </c>
      <c r="G165" s="302"/>
      <c r="H165" s="2324"/>
      <c r="I165" s="2643"/>
      <c r="J165" s="147"/>
    </row>
    <row r="166" spans="1:10" s="32" customFormat="1" x14ac:dyDescent="0.2">
      <c r="A166" s="2939"/>
      <c r="B166" s="2907"/>
      <c r="C166" s="1539" t="str">
        <f>OF!C66</f>
        <v>&lt;50 m, but completely separated by those features.</v>
      </c>
      <c r="D166" s="266">
        <f>OF!D66</f>
        <v>0</v>
      </c>
      <c r="E166" s="324">
        <v>0</v>
      </c>
      <c r="F166" s="300">
        <f t="shared" si="8"/>
        <v>0</v>
      </c>
      <c r="G166" s="325"/>
      <c r="H166" s="2324"/>
      <c r="I166" s="2643"/>
      <c r="J166" s="147"/>
    </row>
    <row r="167" spans="1:10" s="32" customFormat="1" x14ac:dyDescent="0.2">
      <c r="A167" s="2939"/>
      <c r="B167" s="2907"/>
      <c r="C167" s="1539" t="str">
        <f>OF!C67</f>
        <v>50-500 m, and not separated.</v>
      </c>
      <c r="D167" s="266">
        <f>OF!D67</f>
        <v>0</v>
      </c>
      <c r="E167" s="324">
        <v>1</v>
      </c>
      <c r="F167" s="300">
        <f t="shared" si="8"/>
        <v>0</v>
      </c>
      <c r="G167" s="325"/>
      <c r="H167" s="2324"/>
      <c r="I167" s="2643"/>
      <c r="J167" s="147"/>
    </row>
    <row r="168" spans="1:10" s="32" customFormat="1" x14ac:dyDescent="0.2">
      <c r="A168" s="2939"/>
      <c r="B168" s="2907"/>
      <c r="C168" s="1539" t="str">
        <f>OF!C68</f>
        <v>50-500 m, but separated by those features.</v>
      </c>
      <c r="D168" s="266">
        <f>OF!D68</f>
        <v>0</v>
      </c>
      <c r="E168" s="324">
        <v>1</v>
      </c>
      <c r="F168" s="300">
        <f t="shared" si="8"/>
        <v>0</v>
      </c>
      <c r="G168" s="325"/>
      <c r="H168" s="2324"/>
      <c r="I168" s="2643"/>
      <c r="J168" s="147"/>
    </row>
    <row r="169" spans="1:10" s="32" customFormat="1" x14ac:dyDescent="0.2">
      <c r="A169" s="2939"/>
      <c r="B169" s="2907"/>
      <c r="C169" s="1539" t="str">
        <f>OF!C69</f>
        <v>0.5 - 1 km, and not separated.</v>
      </c>
      <c r="D169" s="266">
        <f>OF!D69</f>
        <v>0</v>
      </c>
      <c r="E169" s="324">
        <v>2</v>
      </c>
      <c r="F169" s="300">
        <f t="shared" si="8"/>
        <v>0</v>
      </c>
      <c r="G169" s="325"/>
      <c r="H169" s="2324"/>
      <c r="I169" s="2643"/>
      <c r="J169" s="147"/>
    </row>
    <row r="170" spans="1:10" s="32" customFormat="1" x14ac:dyDescent="0.2">
      <c r="A170" s="2939"/>
      <c r="B170" s="2907"/>
      <c r="C170" s="1539" t="str">
        <f>OF!C70</f>
        <v>0.5 - 1 km, but separated by those features.</v>
      </c>
      <c r="D170" s="266">
        <f>OF!D70</f>
        <v>1</v>
      </c>
      <c r="E170" s="324">
        <v>2</v>
      </c>
      <c r="F170" s="300">
        <f t="shared" si="8"/>
        <v>2</v>
      </c>
      <c r="G170" s="325"/>
      <c r="H170" s="2324"/>
      <c r="I170" s="2643"/>
      <c r="J170" s="147"/>
    </row>
    <row r="171" spans="1:10" s="32" customFormat="1" ht="17.25" thickBot="1" x14ac:dyDescent="0.25">
      <c r="A171" s="2940"/>
      <c r="B171" s="2908"/>
      <c r="C171" s="1020" t="str">
        <f>OF!C71</f>
        <v>None of the above (the closest patches or corridors that large are &gt;1 km away).</v>
      </c>
      <c r="D171" s="263">
        <f>OF!D71</f>
        <v>0</v>
      </c>
      <c r="E171" s="328">
        <v>4</v>
      </c>
      <c r="F171" s="301">
        <f t="shared" si="8"/>
        <v>0</v>
      </c>
      <c r="G171" s="329"/>
      <c r="H171" s="2325"/>
      <c r="I171" s="2689"/>
      <c r="J171" s="147"/>
    </row>
    <row r="172" spans="1:10" s="32" customFormat="1" ht="60" customHeight="1" thickBot="1" x14ac:dyDescent="0.25">
      <c r="A172" s="790" t="str">
        <f>OF!A139</f>
        <v>OF29</v>
      </c>
      <c r="B172" s="1524" t="str">
        <f>OF!B139</f>
        <v>Species of Conservation Concern</v>
      </c>
      <c r="C172" s="1535" t="str">
        <f>OF!C143</f>
        <v>Presence of one or more of the nesting songbird or raptor species (SBM) of conservation concern as listed in the Wildlife_Rare worksheet of the accompanying SuppInfo file, during their nesting season (May-July for most species).</v>
      </c>
      <c r="D172" s="1536">
        <f>OF!D143</f>
        <v>1</v>
      </c>
      <c r="E172" s="1531"/>
      <c r="F172" s="707"/>
      <c r="G172" s="1537">
        <f>D172</f>
        <v>1</v>
      </c>
      <c r="H172" s="1519" t="s">
        <v>1475</v>
      </c>
      <c r="I172" s="1846" t="s">
        <v>255</v>
      </c>
      <c r="J172" s="147"/>
    </row>
    <row r="173" spans="1:10" s="32" customFormat="1" ht="30" customHeight="1" thickBot="1" x14ac:dyDescent="0.25">
      <c r="A173" s="168" t="str">
        <f>OF!A145</f>
        <v>OF30</v>
      </c>
      <c r="B173" s="168" t="str">
        <f>OF!B145</f>
        <v>Important Bird Area (IBA)</v>
      </c>
      <c r="C173" s="2120" t="str">
        <f>OF!C145</f>
        <v xml:space="preserve">In Google Earth, open the KMZ file that accompanies this calculator, called IBAs_Canada.  The AA is all or part of an officially designated IBA. Enter 1= yes, 0= no. </v>
      </c>
      <c r="D173" s="2119">
        <f>OF!D145</f>
        <v>0</v>
      </c>
      <c r="E173" s="770"/>
      <c r="F173" s="911"/>
      <c r="G173" s="1380">
        <f>D173</f>
        <v>0</v>
      </c>
      <c r="H173" s="103" t="s">
        <v>75</v>
      </c>
      <c r="I173" s="1849" t="s">
        <v>254</v>
      </c>
      <c r="J173" s="147"/>
    </row>
    <row r="174" spans="1:10" ht="21" customHeight="1" thickBot="1" x14ac:dyDescent="0.25">
      <c r="A174" s="2958"/>
      <c r="B174" s="2958"/>
      <c r="C174" s="2958"/>
      <c r="D174" s="2952"/>
      <c r="E174" s="2952"/>
      <c r="F174" s="2952"/>
      <c r="G174" s="2952"/>
      <c r="H174" s="2952"/>
    </row>
    <row r="175" spans="1:10" ht="21" customHeight="1" x14ac:dyDescent="0.2">
      <c r="A175" s="2959"/>
      <c r="B175" s="2959"/>
      <c r="C175" s="2959"/>
      <c r="D175" s="2786" t="s">
        <v>508</v>
      </c>
      <c r="E175" s="2787"/>
      <c r="F175" s="2787"/>
      <c r="G175" s="1369">
        <f>AVERAGE(Gcover14, Girreg14,Cliffs14, SnagD14,WoodDown14,DeerHab14)</f>
        <v>0.43333333333333335</v>
      </c>
      <c r="H175" s="1422" t="s">
        <v>1679</v>
      </c>
      <c r="I175" s="1851" t="s">
        <v>2157</v>
      </c>
    </row>
    <row r="176" spans="1:10" ht="21" customHeight="1" x14ac:dyDescent="0.2">
      <c r="A176" s="2959"/>
      <c r="B176" s="2959"/>
      <c r="C176" s="2959"/>
      <c r="D176" s="2763" t="s">
        <v>509</v>
      </c>
      <c r="E176" s="2764"/>
      <c r="F176" s="2764"/>
      <c r="G176" s="1370" t="str">
        <f>IF((MAX(F!D18:D21)&lt;3),"", AVERAGE(WoodyHtDiv14,ShrubDiv14, WoodPatt14, TreeTypes14))</f>
        <v/>
      </c>
      <c r="H176" s="1407" t="s">
        <v>1529</v>
      </c>
      <c r="I176" s="1852" t="s">
        <v>2158</v>
      </c>
    </row>
    <row r="177" spans="1:10" ht="21" customHeight="1" x14ac:dyDescent="0.2">
      <c r="A177" s="2959"/>
      <c r="B177" s="2959"/>
      <c r="C177" s="2959"/>
      <c r="D177" s="2763" t="s">
        <v>149</v>
      </c>
      <c r="E177" s="2764"/>
      <c r="F177" s="2764"/>
      <c r="G177" s="1370">
        <f>(AVERAGE(SizeHerbac14,Vwidth14))*((AVERAGE(Nfix14, Inclus14, UpEdge14)))</f>
        <v>8.3333333333333329E-2</v>
      </c>
      <c r="H177" s="1440" t="s">
        <v>2189</v>
      </c>
      <c r="I177" s="1852" t="s">
        <v>2159</v>
      </c>
    </row>
    <row r="178" spans="1:10" ht="30" customHeight="1" x14ac:dyDescent="0.2">
      <c r="A178" s="2959"/>
      <c r="B178" s="2959"/>
      <c r="C178" s="2959"/>
      <c r="D178" s="2763" t="s">
        <v>118</v>
      </c>
      <c r="E178" s="2764"/>
      <c r="F178" s="2764"/>
      <c r="G178" s="1370">
        <f>AVERAGE(WetTypeDiv14,BuffPerim14,CUtypeLU14, NatVegProx14, NatVegPctScape14, ScapeLU14, NatVegSize14)</f>
        <v>0.37414965986394561</v>
      </c>
      <c r="H178" s="1407" t="s">
        <v>2055</v>
      </c>
      <c r="I178" s="1852" t="s">
        <v>2160</v>
      </c>
    </row>
    <row r="179" spans="1:10" s="32" customFormat="1" ht="21" customHeight="1" x14ac:dyDescent="0.2">
      <c r="A179" s="2959"/>
      <c r="B179" s="2959"/>
      <c r="C179" s="2959"/>
      <c r="D179" s="2854" t="s">
        <v>192</v>
      </c>
      <c r="E179" s="2957"/>
      <c r="F179" s="2957"/>
      <c r="G179" s="1371">
        <f>AVERAGE(SatPct14, PermWpct14, PondProx14, Beaver14a, Interspers14)</f>
        <v>0.47916666666666663</v>
      </c>
      <c r="H179" s="1407" t="s">
        <v>1315</v>
      </c>
      <c r="I179" s="1852" t="s">
        <v>2161</v>
      </c>
      <c r="J179" s="147"/>
    </row>
    <row r="180" spans="1:10" s="32" customFormat="1" ht="21" customHeight="1" thickBot="1" x14ac:dyDescent="0.25">
      <c r="A180" s="2959"/>
      <c r="B180" s="2959"/>
      <c r="C180" s="2959"/>
      <c r="D180" s="2765" t="s">
        <v>1588</v>
      </c>
      <c r="E180" s="2766"/>
      <c r="F180" s="2766"/>
      <c r="G180" s="1372">
        <f>AVERAGE(Core14a, Core14b, PopCtr14, RdBox14, DisRd14)</f>
        <v>0.65</v>
      </c>
      <c r="H180" s="1425" t="s">
        <v>2056</v>
      </c>
      <c r="I180" s="1853" t="s">
        <v>2162</v>
      </c>
      <c r="J180" s="147"/>
    </row>
    <row r="181" spans="1:10" s="32" customFormat="1" ht="21" customHeight="1" thickBot="1" x14ac:dyDescent="0.25">
      <c r="A181" s="2959"/>
      <c r="B181" s="2959"/>
      <c r="C181" s="2959"/>
      <c r="D181" s="2953"/>
      <c r="E181" s="2953"/>
      <c r="F181" s="2953"/>
      <c r="G181" s="2953"/>
      <c r="H181" s="2954"/>
      <c r="I181" s="1848"/>
      <c r="J181" s="147"/>
    </row>
    <row r="182" spans="1:10" s="32" customFormat="1" ht="30" customHeight="1" thickBot="1" x14ac:dyDescent="0.25">
      <c r="A182" s="2955"/>
      <c r="B182" s="2956"/>
      <c r="C182" s="2949" t="s">
        <v>58</v>
      </c>
      <c r="D182" s="2950"/>
      <c r="E182" s="2951"/>
      <c r="F182" s="1268" t="s">
        <v>52</v>
      </c>
      <c r="G182" s="1373">
        <f>IF((AllWet=1),0,10*(AVERAGE(PermWpct14, AVERAGE(StrucA,StrucB,Produc,Lscape14,Wscape14,Stress14))))</f>
        <v>5.7699829931972788</v>
      </c>
      <c r="H182" s="2525" t="s">
        <v>2057</v>
      </c>
      <c r="I182" s="2526"/>
      <c r="J182" s="147"/>
    </row>
    <row r="183" spans="1:10" s="32" customFormat="1" ht="30" customHeight="1" thickBot="1" x14ac:dyDescent="0.25">
      <c r="A183" s="2955"/>
      <c r="B183" s="2956"/>
      <c r="C183" s="2949" t="s">
        <v>1914</v>
      </c>
      <c r="D183" s="2950"/>
      <c r="E183" s="2951"/>
      <c r="F183" s="1268" t="s">
        <v>2219</v>
      </c>
      <c r="G183" s="1374">
        <f>10*(IF((Rare14=1),1, IF((_IBA14=1),1, MAX(HerbUniq14,WoodyUniq14,DistPond14))))</f>
        <v>10</v>
      </c>
      <c r="H183" s="2525" t="s">
        <v>2447</v>
      </c>
      <c r="I183" s="2526"/>
      <c r="J183" s="147"/>
    </row>
    <row r="184" spans="1:10" s="32" customFormat="1" ht="21" customHeight="1" thickBot="1" x14ac:dyDescent="0.25">
      <c r="A184" s="34"/>
      <c r="B184" s="34"/>
      <c r="C184" s="34"/>
      <c r="D184" s="34"/>
      <c r="E184" s="34"/>
      <c r="F184" s="34"/>
      <c r="G184" s="34"/>
      <c r="H184" s="963"/>
      <c r="I184" s="1848"/>
      <c r="J184" s="147"/>
    </row>
    <row r="185" spans="1:10" s="32" customFormat="1" ht="21" customHeight="1" thickBot="1" x14ac:dyDescent="0.25">
      <c r="A185" s="34"/>
      <c r="B185" s="34"/>
      <c r="C185" s="34"/>
      <c r="D185" s="34"/>
      <c r="E185" s="34"/>
      <c r="F185" s="34"/>
      <c r="G185" s="34"/>
      <c r="H185" s="2755" t="s">
        <v>669</v>
      </c>
      <c r="I185" s="2756"/>
      <c r="J185" s="147"/>
    </row>
    <row r="186" spans="1:10" s="32" customFormat="1" ht="27" customHeight="1" x14ac:dyDescent="0.2">
      <c r="A186" s="34"/>
      <c r="B186" s="34"/>
      <c r="C186" s="34"/>
      <c r="D186" s="34"/>
      <c r="E186" s="34"/>
      <c r="F186" s="34"/>
      <c r="G186" s="34"/>
      <c r="H186" s="2727" t="s">
        <v>865</v>
      </c>
      <c r="I186" s="2728"/>
      <c r="J186" s="147"/>
    </row>
    <row r="187" spans="1:10" s="32" customFormat="1" ht="27" customHeight="1" x14ac:dyDescent="0.2">
      <c r="A187" s="34"/>
      <c r="B187" s="34"/>
      <c r="C187" s="34"/>
      <c r="D187" s="34"/>
      <c r="E187" s="34"/>
      <c r="F187" s="34"/>
      <c r="G187" s="34"/>
      <c r="H187" s="2531" t="s">
        <v>866</v>
      </c>
      <c r="I187" s="2532"/>
      <c r="J187" s="147"/>
    </row>
    <row r="188" spans="1:10" s="32" customFormat="1" ht="27" customHeight="1" x14ac:dyDescent="0.2">
      <c r="A188" s="34"/>
      <c r="B188" s="34"/>
      <c r="C188" s="34"/>
      <c r="D188" s="34"/>
      <c r="E188" s="34"/>
      <c r="F188" s="34"/>
      <c r="G188" s="34"/>
      <c r="H188" s="2531" t="s">
        <v>867</v>
      </c>
      <c r="I188" s="2532"/>
      <c r="J188" s="147"/>
    </row>
    <row r="189" spans="1:10" s="32" customFormat="1" ht="27" customHeight="1" x14ac:dyDescent="0.2">
      <c r="A189" s="34"/>
      <c r="B189" s="34"/>
      <c r="C189" s="34"/>
      <c r="D189" s="34"/>
      <c r="E189" s="34"/>
      <c r="F189" s="34"/>
      <c r="G189" s="34"/>
      <c r="H189" s="2531" t="s">
        <v>1051</v>
      </c>
      <c r="I189" s="2532"/>
      <c r="J189" s="147"/>
    </row>
    <row r="190" spans="1:10" s="32" customFormat="1" ht="27" customHeight="1" x14ac:dyDescent="0.2">
      <c r="A190" s="34"/>
      <c r="B190" s="34"/>
      <c r="C190" s="34"/>
      <c r="D190" s="34"/>
      <c r="E190" s="34"/>
      <c r="F190" s="34"/>
      <c r="G190" s="34"/>
      <c r="H190" s="2531" t="s">
        <v>868</v>
      </c>
      <c r="I190" s="2532"/>
      <c r="J190" s="147"/>
    </row>
    <row r="191" spans="1:10" s="32" customFormat="1" ht="27" customHeight="1" x14ac:dyDescent="0.2">
      <c r="A191" s="34"/>
      <c r="B191" s="34"/>
      <c r="C191" s="34"/>
      <c r="D191" s="34"/>
      <c r="E191" s="34"/>
      <c r="F191" s="34"/>
      <c r="G191" s="34"/>
      <c r="H191" s="2531" t="s">
        <v>869</v>
      </c>
      <c r="I191" s="2532"/>
      <c r="J191" s="147"/>
    </row>
    <row r="192" spans="1:10" s="32" customFormat="1" ht="27" customHeight="1" x14ac:dyDescent="0.2">
      <c r="A192" s="34"/>
      <c r="B192" s="34"/>
      <c r="C192" s="34"/>
      <c r="D192" s="34"/>
      <c r="E192" s="34"/>
      <c r="F192" s="34"/>
      <c r="G192" s="34"/>
      <c r="H192" s="2531" t="s">
        <v>870</v>
      </c>
      <c r="I192" s="2532"/>
      <c r="J192" s="147"/>
    </row>
    <row r="193" spans="1:10" s="32" customFormat="1" ht="27" customHeight="1" x14ac:dyDescent="0.2">
      <c r="A193" s="34"/>
      <c r="B193" s="34"/>
      <c r="C193" s="34"/>
      <c r="D193" s="34"/>
      <c r="E193" s="34"/>
      <c r="F193" s="34"/>
      <c r="G193" s="34"/>
      <c r="H193" s="2531" t="s">
        <v>1476</v>
      </c>
      <c r="I193" s="2532"/>
      <c r="J193" s="147"/>
    </row>
    <row r="194" spans="1:10" s="32" customFormat="1" ht="42" customHeight="1" x14ac:dyDescent="0.2">
      <c r="A194" s="34"/>
      <c r="B194" s="34"/>
      <c r="C194" s="34"/>
      <c r="D194" s="34"/>
      <c r="E194" s="34"/>
      <c r="F194" s="34"/>
      <c r="G194" s="34"/>
      <c r="H194" s="2531" t="s">
        <v>1520</v>
      </c>
      <c r="I194" s="2532"/>
      <c r="J194" s="147"/>
    </row>
    <row r="195" spans="1:10" s="32" customFormat="1" ht="27" customHeight="1" x14ac:dyDescent="0.2">
      <c r="A195" s="34"/>
      <c r="B195" s="34"/>
      <c r="C195" s="34"/>
      <c r="D195" s="34"/>
      <c r="E195" s="34"/>
      <c r="F195" s="34"/>
      <c r="G195" s="34"/>
      <c r="H195" s="2531" t="s">
        <v>1050</v>
      </c>
      <c r="I195" s="2532"/>
      <c r="J195" s="147"/>
    </row>
    <row r="196" spans="1:10" s="32" customFormat="1" ht="27" customHeight="1" x14ac:dyDescent="0.2">
      <c r="A196" s="34"/>
      <c r="B196" s="34"/>
      <c r="C196" s="34"/>
      <c r="D196" s="34"/>
      <c r="E196" s="34"/>
      <c r="F196" s="34"/>
      <c r="G196" s="34"/>
      <c r="H196" s="2531" t="s">
        <v>1049</v>
      </c>
      <c r="I196" s="2532"/>
      <c r="J196" s="147"/>
    </row>
    <row r="197" spans="1:10" s="32" customFormat="1" ht="27" customHeight="1" x14ac:dyDescent="0.2">
      <c r="A197" s="34"/>
      <c r="B197" s="34"/>
      <c r="C197" s="34"/>
      <c r="D197" s="34"/>
      <c r="E197" s="34"/>
      <c r="F197" s="34"/>
      <c r="G197" s="34"/>
      <c r="H197" s="2531" t="s">
        <v>871</v>
      </c>
      <c r="I197" s="2532"/>
      <c r="J197" s="147"/>
    </row>
    <row r="198" spans="1:10" s="32" customFormat="1" ht="27" customHeight="1" x14ac:dyDescent="0.2">
      <c r="A198" s="34"/>
      <c r="B198" s="34"/>
      <c r="C198" s="34"/>
      <c r="D198" s="34"/>
      <c r="E198" s="34"/>
      <c r="F198" s="34"/>
      <c r="G198" s="34"/>
      <c r="H198" s="2531" t="s">
        <v>872</v>
      </c>
      <c r="I198" s="2532"/>
      <c r="J198" s="147"/>
    </row>
    <row r="199" spans="1:10" s="32" customFormat="1" ht="27" customHeight="1" x14ac:dyDescent="0.2">
      <c r="A199" s="34"/>
      <c r="B199" s="34"/>
      <c r="C199" s="34"/>
      <c r="D199" s="34"/>
      <c r="E199" s="34"/>
      <c r="F199" s="34"/>
      <c r="G199" s="34"/>
      <c r="H199" s="2531" t="s">
        <v>873</v>
      </c>
      <c r="I199" s="2532"/>
      <c r="J199" s="147"/>
    </row>
    <row r="200" spans="1:10" s="32" customFormat="1" ht="27" customHeight="1" x14ac:dyDescent="0.2">
      <c r="A200" s="34"/>
      <c r="B200" s="34"/>
      <c r="C200" s="34"/>
      <c r="D200" s="34"/>
      <c r="E200" s="34"/>
      <c r="F200" s="34"/>
      <c r="G200" s="34"/>
      <c r="H200" s="2531" t="s">
        <v>874</v>
      </c>
      <c r="I200" s="2532"/>
      <c r="J200" s="147"/>
    </row>
    <row r="201" spans="1:10" s="32" customFormat="1" ht="27" customHeight="1" x14ac:dyDescent="0.2">
      <c r="A201" s="34"/>
      <c r="B201" s="34"/>
      <c r="C201" s="34"/>
      <c r="D201" s="34"/>
      <c r="E201" s="34"/>
      <c r="F201" s="34"/>
      <c r="G201" s="34"/>
      <c r="H201" s="2535" t="s">
        <v>1381</v>
      </c>
      <c r="I201" s="2536"/>
      <c r="J201" s="147"/>
    </row>
    <row r="202" spans="1:10" s="32" customFormat="1" ht="27" customHeight="1" x14ac:dyDescent="0.2">
      <c r="A202" s="34"/>
      <c r="B202" s="34"/>
      <c r="C202" s="34"/>
      <c r="D202" s="34"/>
      <c r="E202" s="34"/>
      <c r="F202" s="34"/>
      <c r="G202" s="34"/>
      <c r="H202" s="2531" t="s">
        <v>875</v>
      </c>
      <c r="I202" s="2532"/>
      <c r="J202" s="147"/>
    </row>
    <row r="203" spans="1:10" s="32" customFormat="1" ht="27" customHeight="1" x14ac:dyDescent="0.2">
      <c r="A203" s="34"/>
      <c r="B203" s="34"/>
      <c r="C203" s="34"/>
      <c r="D203" s="34"/>
      <c r="E203" s="34"/>
      <c r="F203" s="34"/>
      <c r="G203" s="34"/>
      <c r="H203" s="2531" t="s">
        <v>876</v>
      </c>
      <c r="I203" s="2532"/>
      <c r="J203" s="147"/>
    </row>
    <row r="204" spans="1:10" s="32" customFormat="1" ht="27" customHeight="1" x14ac:dyDescent="0.2">
      <c r="A204" s="34"/>
      <c r="B204" s="34"/>
      <c r="C204" s="34"/>
      <c r="D204" s="34"/>
      <c r="E204" s="34"/>
      <c r="F204" s="34"/>
      <c r="G204" s="34"/>
      <c r="H204" s="2535" t="s">
        <v>1382</v>
      </c>
      <c r="I204" s="2536"/>
      <c r="J204" s="147"/>
    </row>
    <row r="205" spans="1:10" s="32" customFormat="1" ht="27" customHeight="1" x14ac:dyDescent="0.2">
      <c r="A205" s="34"/>
      <c r="B205" s="34"/>
      <c r="C205" s="34"/>
      <c r="D205" s="34"/>
      <c r="E205" s="34"/>
      <c r="F205" s="34"/>
      <c r="G205" s="34"/>
      <c r="H205" s="2531" t="s">
        <v>877</v>
      </c>
      <c r="I205" s="2532"/>
      <c r="J205" s="147"/>
    </row>
    <row r="206" spans="1:10" s="32" customFormat="1" ht="42" customHeight="1" x14ac:dyDescent="0.2">
      <c r="A206" s="34"/>
      <c r="B206" s="34"/>
      <c r="C206" s="34"/>
      <c r="D206" s="34"/>
      <c r="E206" s="34"/>
      <c r="F206" s="34"/>
      <c r="G206" s="34"/>
      <c r="H206" s="2531" t="s">
        <v>1477</v>
      </c>
      <c r="I206" s="2532"/>
      <c r="J206" s="147"/>
    </row>
    <row r="207" spans="1:10" s="32" customFormat="1" ht="27" customHeight="1" x14ac:dyDescent="0.2">
      <c r="A207" s="34"/>
      <c r="B207" s="34"/>
      <c r="C207" s="34"/>
      <c r="D207" s="34"/>
      <c r="E207" s="34"/>
      <c r="F207" s="34"/>
      <c r="G207" s="34"/>
      <c r="H207" s="2531" t="s">
        <v>878</v>
      </c>
      <c r="I207" s="2532"/>
      <c r="J207" s="147"/>
    </row>
    <row r="208" spans="1:10" s="32" customFormat="1" ht="27" customHeight="1" x14ac:dyDescent="0.2">
      <c r="A208" s="34"/>
      <c r="B208" s="34"/>
      <c r="C208" s="34"/>
      <c r="D208" s="34"/>
      <c r="E208" s="34"/>
      <c r="F208" s="34"/>
      <c r="G208" s="34"/>
      <c r="H208" s="2531" t="s">
        <v>1741</v>
      </c>
      <c r="I208" s="2532"/>
      <c r="J208" s="147"/>
    </row>
    <row r="209" spans="1:10" s="32" customFormat="1" ht="42" customHeight="1" x14ac:dyDescent="0.2">
      <c r="A209" s="34"/>
      <c r="B209" s="34"/>
      <c r="C209" s="34"/>
      <c r="D209" s="34"/>
      <c r="E209" s="34"/>
      <c r="F209" s="34"/>
      <c r="G209" s="34"/>
      <c r="H209" s="2531" t="s">
        <v>1052</v>
      </c>
      <c r="I209" s="2532"/>
      <c r="J209" s="147"/>
    </row>
    <row r="210" spans="1:10" s="32" customFormat="1" ht="27" customHeight="1" x14ac:dyDescent="0.2">
      <c r="A210" s="34"/>
      <c r="B210" s="34"/>
      <c r="C210" s="34"/>
      <c r="D210" s="34"/>
      <c r="E210" s="34"/>
      <c r="F210" s="34"/>
      <c r="G210" s="34"/>
      <c r="H210" s="2531" t="s">
        <v>879</v>
      </c>
      <c r="I210" s="2532"/>
      <c r="J210" s="147"/>
    </row>
    <row r="211" spans="1:10" s="32" customFormat="1" ht="42" customHeight="1" x14ac:dyDescent="0.2">
      <c r="A211" s="34"/>
      <c r="B211" s="34"/>
      <c r="C211" s="34"/>
      <c r="D211" s="34"/>
      <c r="E211" s="34"/>
      <c r="F211" s="34"/>
      <c r="G211" s="34"/>
      <c r="H211" s="2531" t="s">
        <v>1527</v>
      </c>
      <c r="I211" s="2532"/>
      <c r="J211" s="147"/>
    </row>
    <row r="212" spans="1:10" s="32" customFormat="1" ht="27" customHeight="1" x14ac:dyDescent="0.2">
      <c r="A212" s="34"/>
      <c r="B212" s="34"/>
      <c r="C212" s="34"/>
      <c r="D212" s="34"/>
      <c r="E212" s="34"/>
      <c r="F212" s="34"/>
      <c r="G212" s="34"/>
      <c r="H212" s="2531" t="s">
        <v>880</v>
      </c>
      <c r="I212" s="2532"/>
      <c r="J212" s="147"/>
    </row>
    <row r="213" spans="1:10" s="32" customFormat="1" ht="27" customHeight="1" x14ac:dyDescent="0.2">
      <c r="A213" s="34"/>
      <c r="B213" s="34"/>
      <c r="C213" s="34"/>
      <c r="D213" s="34"/>
      <c r="E213" s="34"/>
      <c r="F213" s="34"/>
      <c r="G213" s="34"/>
      <c r="H213" s="2531" t="s">
        <v>881</v>
      </c>
      <c r="I213" s="2532"/>
      <c r="J213" s="147"/>
    </row>
    <row r="214" spans="1:10" s="32" customFormat="1" ht="27" customHeight="1" x14ac:dyDescent="0.2">
      <c r="A214" s="34"/>
      <c r="B214" s="34"/>
      <c r="C214" s="34"/>
      <c r="D214" s="34"/>
      <c r="E214" s="34"/>
      <c r="F214" s="34"/>
      <c r="G214" s="34"/>
      <c r="H214" s="2531" t="s">
        <v>882</v>
      </c>
      <c r="I214" s="2532"/>
      <c r="J214" s="147"/>
    </row>
    <row r="215" spans="1:10" s="32" customFormat="1" ht="42" customHeight="1" x14ac:dyDescent="0.2">
      <c r="A215" s="34"/>
      <c r="B215" s="34"/>
      <c r="C215" s="34"/>
      <c r="D215" s="34"/>
      <c r="E215" s="34"/>
      <c r="F215" s="34"/>
      <c r="G215" s="34"/>
      <c r="H215" s="2535" t="s">
        <v>1525</v>
      </c>
      <c r="I215" s="2536"/>
      <c r="J215" s="147"/>
    </row>
    <row r="216" spans="1:10" s="32" customFormat="1" ht="27" customHeight="1" x14ac:dyDescent="0.2">
      <c r="A216" s="34"/>
      <c r="B216" s="34"/>
      <c r="C216" s="34"/>
      <c r="D216" s="34"/>
      <c r="E216" s="34"/>
      <c r="F216" s="34"/>
      <c r="G216" s="34"/>
      <c r="H216" s="2531" t="s">
        <v>883</v>
      </c>
      <c r="I216" s="2532"/>
      <c r="J216" s="147"/>
    </row>
    <row r="217" spans="1:10" s="32" customFormat="1" ht="27" customHeight="1" x14ac:dyDescent="0.2">
      <c r="A217" s="34"/>
      <c r="B217" s="34"/>
      <c r="C217" s="34"/>
      <c r="D217" s="34"/>
      <c r="E217" s="34"/>
      <c r="F217" s="34"/>
      <c r="G217" s="34"/>
      <c r="H217" s="2531" t="s">
        <v>731</v>
      </c>
      <c r="I217" s="2532"/>
      <c r="J217" s="147"/>
    </row>
    <row r="218" spans="1:10" s="32" customFormat="1" ht="42" customHeight="1" x14ac:dyDescent="0.2">
      <c r="A218" s="34"/>
      <c r="B218" s="34"/>
      <c r="C218" s="34"/>
      <c r="D218" s="34"/>
      <c r="E218" s="34"/>
      <c r="F218" s="34"/>
      <c r="G218" s="34"/>
      <c r="H218" s="2531" t="s">
        <v>884</v>
      </c>
      <c r="I218" s="2532"/>
      <c r="J218" s="147"/>
    </row>
    <row r="219" spans="1:10" s="32" customFormat="1" ht="27" customHeight="1" x14ac:dyDescent="0.2">
      <c r="A219" s="34"/>
      <c r="B219" s="34"/>
      <c r="C219" s="34"/>
      <c r="D219" s="34"/>
      <c r="E219" s="34"/>
      <c r="F219" s="34"/>
      <c r="G219" s="34"/>
      <c r="H219" s="2531" t="s">
        <v>885</v>
      </c>
      <c r="I219" s="2532"/>
      <c r="J219" s="147"/>
    </row>
    <row r="220" spans="1:10" s="32" customFormat="1" ht="27" customHeight="1" x14ac:dyDescent="0.2">
      <c r="A220" s="34"/>
      <c r="B220" s="34"/>
      <c r="C220" s="34"/>
      <c r="D220" s="34"/>
      <c r="E220" s="34"/>
      <c r="F220" s="34"/>
      <c r="G220" s="34"/>
      <c r="H220" s="2531" t="s">
        <v>886</v>
      </c>
      <c r="I220" s="2532"/>
      <c r="J220" s="147"/>
    </row>
    <row r="221" spans="1:10" s="32" customFormat="1" ht="27" customHeight="1" x14ac:dyDescent="0.2">
      <c r="A221" s="34"/>
      <c r="B221" s="34"/>
      <c r="C221" s="34"/>
      <c r="D221" s="34"/>
      <c r="E221" s="34"/>
      <c r="F221" s="34"/>
      <c r="G221" s="34"/>
      <c r="H221" s="2531" t="s">
        <v>887</v>
      </c>
      <c r="I221" s="2532"/>
      <c r="J221" s="147"/>
    </row>
    <row r="222" spans="1:10" s="32" customFormat="1" ht="27" customHeight="1" x14ac:dyDescent="0.2">
      <c r="A222" s="34"/>
      <c r="B222" s="34"/>
      <c r="C222" s="34"/>
      <c r="D222" s="34"/>
      <c r="E222" s="34"/>
      <c r="F222" s="34"/>
      <c r="G222" s="34"/>
      <c r="H222" s="2531" t="s">
        <v>888</v>
      </c>
      <c r="I222" s="2532"/>
      <c r="J222" s="147"/>
    </row>
    <row r="223" spans="1:10" s="32" customFormat="1" ht="27" customHeight="1" x14ac:dyDescent="0.2">
      <c r="A223" s="34"/>
      <c r="B223" s="34"/>
      <c r="C223" s="34"/>
      <c r="D223" s="34"/>
      <c r="E223" s="34"/>
      <c r="F223" s="34"/>
      <c r="G223" s="34"/>
      <c r="H223" s="2531" t="s">
        <v>889</v>
      </c>
      <c r="I223" s="2532"/>
      <c r="J223" s="147"/>
    </row>
    <row r="224" spans="1:10" s="32" customFormat="1" ht="27" customHeight="1" x14ac:dyDescent="0.2">
      <c r="A224" s="34"/>
      <c r="B224" s="34"/>
      <c r="C224" s="34"/>
      <c r="D224" s="34"/>
      <c r="E224" s="34"/>
      <c r="F224" s="34"/>
      <c r="G224" s="34"/>
      <c r="H224" s="2531" t="s">
        <v>890</v>
      </c>
      <c r="I224" s="2532"/>
      <c r="J224" s="147"/>
    </row>
    <row r="225" spans="1:10" s="32" customFormat="1" ht="42" customHeight="1" x14ac:dyDescent="0.2">
      <c r="A225" s="34"/>
      <c r="B225" s="34"/>
      <c r="C225" s="34"/>
      <c r="D225" s="34"/>
      <c r="E225" s="34"/>
      <c r="F225" s="34"/>
      <c r="G225" s="34"/>
      <c r="H225" s="2531" t="s">
        <v>891</v>
      </c>
      <c r="I225" s="2532"/>
      <c r="J225" s="147"/>
    </row>
    <row r="226" spans="1:10" s="32" customFormat="1" ht="42" customHeight="1" x14ac:dyDescent="0.2">
      <c r="A226" s="34"/>
      <c r="B226" s="34"/>
      <c r="C226" s="34"/>
      <c r="D226" s="34"/>
      <c r="E226" s="34"/>
      <c r="F226" s="34"/>
      <c r="G226" s="34"/>
      <c r="H226" s="2531" t="s">
        <v>892</v>
      </c>
      <c r="I226" s="2532"/>
      <c r="J226" s="147"/>
    </row>
    <row r="227" spans="1:10" s="32" customFormat="1" ht="27" customHeight="1" x14ac:dyDescent="0.2">
      <c r="A227" s="34"/>
      <c r="B227" s="34"/>
      <c r="C227" s="34"/>
      <c r="D227" s="34"/>
      <c r="E227" s="34"/>
      <c r="F227" s="34"/>
      <c r="G227" s="34"/>
      <c r="H227" s="2531" t="s">
        <v>893</v>
      </c>
      <c r="I227" s="2532"/>
      <c r="J227" s="147"/>
    </row>
    <row r="228" spans="1:10" s="32" customFormat="1" ht="42" customHeight="1" x14ac:dyDescent="0.2">
      <c r="A228" s="34"/>
      <c r="B228" s="34"/>
      <c r="C228" s="34"/>
      <c r="D228" s="34"/>
      <c r="E228" s="34"/>
      <c r="F228" s="34"/>
      <c r="G228" s="34"/>
      <c r="H228" s="2531" t="s">
        <v>1217</v>
      </c>
      <c r="I228" s="2532"/>
      <c r="J228" s="147"/>
    </row>
    <row r="229" spans="1:10" s="32" customFormat="1" ht="27" customHeight="1" x14ac:dyDescent="0.2">
      <c r="A229" s="34"/>
      <c r="B229" s="34"/>
      <c r="C229" s="34"/>
      <c r="D229" s="34"/>
      <c r="E229" s="34"/>
      <c r="F229" s="34"/>
      <c r="G229" s="34"/>
      <c r="H229" s="2531" t="s">
        <v>894</v>
      </c>
      <c r="I229" s="2532"/>
      <c r="J229" s="147"/>
    </row>
    <row r="230" spans="1:10" s="32" customFormat="1" ht="27" customHeight="1" x14ac:dyDescent="0.2">
      <c r="A230" s="34"/>
      <c r="B230" s="34"/>
      <c r="C230" s="34"/>
      <c r="D230" s="34"/>
      <c r="E230" s="34"/>
      <c r="F230" s="34"/>
      <c r="G230" s="34"/>
      <c r="H230" s="2531" t="s">
        <v>895</v>
      </c>
      <c r="I230" s="2532"/>
      <c r="J230" s="147"/>
    </row>
    <row r="231" spans="1:10" s="32" customFormat="1" ht="27" customHeight="1" x14ac:dyDescent="0.2">
      <c r="A231" s="34"/>
      <c r="B231" s="34"/>
      <c r="C231" s="34"/>
      <c r="D231" s="34"/>
      <c r="E231" s="34"/>
      <c r="F231" s="34"/>
      <c r="G231" s="34"/>
      <c r="H231" s="2531" t="s">
        <v>896</v>
      </c>
      <c r="I231" s="2532"/>
      <c r="J231" s="147"/>
    </row>
    <row r="232" spans="1:10" s="32" customFormat="1" ht="27" customHeight="1" x14ac:dyDescent="0.2">
      <c r="A232" s="34"/>
      <c r="B232" s="34"/>
      <c r="C232" s="34"/>
      <c r="D232" s="34"/>
      <c r="E232" s="34"/>
      <c r="F232" s="34"/>
      <c r="G232" s="34"/>
      <c r="H232" s="2531" t="s">
        <v>897</v>
      </c>
      <c r="I232" s="2532"/>
      <c r="J232" s="147"/>
    </row>
    <row r="233" spans="1:10" s="32" customFormat="1" ht="42" customHeight="1" x14ac:dyDescent="0.2">
      <c r="A233" s="34"/>
      <c r="B233" s="34"/>
      <c r="C233" s="34"/>
      <c r="D233" s="34"/>
      <c r="E233" s="34"/>
      <c r="F233" s="34"/>
      <c r="G233" s="34"/>
      <c r="H233" s="2531" t="s">
        <v>1526</v>
      </c>
      <c r="I233" s="2532"/>
      <c r="J233" s="147"/>
    </row>
    <row r="234" spans="1:10" s="32" customFormat="1" ht="27" customHeight="1" x14ac:dyDescent="0.2">
      <c r="A234" s="34"/>
      <c r="B234" s="34"/>
      <c r="C234" s="34"/>
      <c r="D234" s="34"/>
      <c r="E234" s="34"/>
      <c r="F234" s="34"/>
      <c r="G234" s="34"/>
      <c r="H234" s="2531" t="s">
        <v>898</v>
      </c>
      <c r="I234" s="2532"/>
      <c r="J234" s="147"/>
    </row>
    <row r="235" spans="1:10" s="32" customFormat="1" ht="42" customHeight="1" x14ac:dyDescent="0.2">
      <c r="A235" s="34"/>
      <c r="B235" s="34"/>
      <c r="C235" s="34"/>
      <c r="D235" s="34"/>
      <c r="E235" s="34"/>
      <c r="F235" s="34"/>
      <c r="G235" s="34"/>
      <c r="H235" s="2531" t="s">
        <v>899</v>
      </c>
      <c r="I235" s="2532"/>
      <c r="J235" s="147"/>
    </row>
    <row r="236" spans="1:10" s="32" customFormat="1" ht="27" customHeight="1" x14ac:dyDescent="0.2">
      <c r="A236" s="34"/>
      <c r="B236" s="34"/>
      <c r="C236" s="34"/>
      <c r="D236" s="34"/>
      <c r="E236" s="34"/>
      <c r="F236" s="34"/>
      <c r="G236" s="34"/>
      <c r="H236" s="2531" t="s">
        <v>1408</v>
      </c>
      <c r="I236" s="2532"/>
      <c r="J236" s="147"/>
    </row>
    <row r="237" spans="1:10" s="32" customFormat="1" ht="27" customHeight="1" x14ac:dyDescent="0.2">
      <c r="A237" s="34"/>
      <c r="B237" s="34"/>
      <c r="C237" s="34"/>
      <c r="D237" s="34"/>
      <c r="E237" s="34"/>
      <c r="F237" s="34"/>
      <c r="G237" s="34"/>
      <c r="H237" s="2531" t="s">
        <v>900</v>
      </c>
      <c r="I237" s="2532"/>
      <c r="J237" s="147"/>
    </row>
    <row r="238" spans="1:10" s="32" customFormat="1" ht="27" customHeight="1" x14ac:dyDescent="0.2">
      <c r="A238" s="34"/>
      <c r="B238" s="34"/>
      <c r="C238" s="34"/>
      <c r="D238" s="34"/>
      <c r="E238" s="34"/>
      <c r="F238" s="34"/>
      <c r="G238" s="34"/>
      <c r="H238" s="2531" t="s">
        <v>1218</v>
      </c>
      <c r="I238" s="2532"/>
      <c r="J238" s="147"/>
    </row>
    <row r="239" spans="1:10" s="32" customFormat="1" ht="42" customHeight="1" x14ac:dyDescent="0.2">
      <c r="A239" s="34"/>
      <c r="B239" s="34"/>
      <c r="C239" s="34"/>
      <c r="D239" s="34"/>
      <c r="E239" s="34"/>
      <c r="F239" s="34"/>
      <c r="G239" s="34"/>
      <c r="H239" s="2531" t="s">
        <v>901</v>
      </c>
      <c r="I239" s="2532"/>
      <c r="J239" s="147"/>
    </row>
    <row r="240" spans="1:10" s="32" customFormat="1" ht="42" customHeight="1" x14ac:dyDescent="0.2">
      <c r="A240" s="34"/>
      <c r="B240" s="34"/>
      <c r="C240" s="34"/>
      <c r="D240" s="34"/>
      <c r="E240" s="34"/>
      <c r="F240" s="34"/>
      <c r="G240" s="34"/>
      <c r="H240" s="2531" t="s">
        <v>902</v>
      </c>
      <c r="I240" s="2532"/>
      <c r="J240" s="147"/>
    </row>
    <row r="241" spans="1:10" s="32" customFormat="1" ht="27" customHeight="1" x14ac:dyDescent="0.2">
      <c r="A241" s="34"/>
      <c r="B241" s="34"/>
      <c r="C241" s="34"/>
      <c r="D241" s="34"/>
      <c r="E241" s="34"/>
      <c r="F241" s="34"/>
      <c r="G241" s="34"/>
      <c r="H241" s="2531" t="s">
        <v>903</v>
      </c>
      <c r="I241" s="2532"/>
      <c r="J241" s="147"/>
    </row>
    <row r="242" spans="1:10" s="32" customFormat="1" ht="27" customHeight="1" x14ac:dyDescent="0.2">
      <c r="A242" s="34"/>
      <c r="B242" s="34"/>
      <c r="C242" s="34"/>
      <c r="D242" s="34"/>
      <c r="E242" s="34"/>
      <c r="F242" s="34"/>
      <c r="G242" s="34"/>
      <c r="H242" s="2531" t="s">
        <v>904</v>
      </c>
      <c r="I242" s="2532"/>
      <c r="J242" s="147"/>
    </row>
    <row r="243" spans="1:10" s="32" customFormat="1" ht="27" customHeight="1" x14ac:dyDescent="0.2">
      <c r="A243" s="34"/>
      <c r="B243" s="34"/>
      <c r="C243" s="34"/>
      <c r="D243" s="34"/>
      <c r="E243" s="34"/>
      <c r="F243" s="34"/>
      <c r="G243" s="34"/>
      <c r="H243" s="2531" t="s">
        <v>905</v>
      </c>
      <c r="I243" s="2532"/>
      <c r="J243" s="147"/>
    </row>
    <row r="244" spans="1:10" s="32" customFormat="1" ht="27" customHeight="1" x14ac:dyDescent="0.2">
      <c r="A244" s="34"/>
      <c r="B244" s="34"/>
      <c r="C244" s="34"/>
      <c r="D244" s="34"/>
      <c r="E244" s="34"/>
      <c r="F244" s="34"/>
      <c r="G244" s="34"/>
      <c r="H244" s="2535" t="s">
        <v>1383</v>
      </c>
      <c r="I244" s="2536"/>
      <c r="J244" s="147"/>
    </row>
    <row r="245" spans="1:10" s="32" customFormat="1" ht="27" customHeight="1" x14ac:dyDescent="0.2">
      <c r="A245" s="34"/>
      <c r="B245" s="34"/>
      <c r="C245" s="34"/>
      <c r="D245" s="34"/>
      <c r="E245" s="34"/>
      <c r="F245" s="34"/>
      <c r="G245" s="34"/>
      <c r="H245" s="2531" t="s">
        <v>906</v>
      </c>
      <c r="I245" s="2532"/>
      <c r="J245" s="147"/>
    </row>
    <row r="246" spans="1:10" s="32" customFormat="1" ht="27" customHeight="1" x14ac:dyDescent="0.2">
      <c r="A246" s="34"/>
      <c r="B246" s="34"/>
      <c r="C246" s="34"/>
      <c r="D246" s="34"/>
      <c r="E246" s="34"/>
      <c r="F246" s="34"/>
      <c r="G246" s="34"/>
      <c r="H246" s="2705" t="s">
        <v>1352</v>
      </c>
      <c r="I246" s="2706"/>
      <c r="J246" s="147"/>
    </row>
    <row r="247" spans="1:10" s="32" customFormat="1" ht="27" customHeight="1" thickBot="1" x14ac:dyDescent="0.25">
      <c r="A247" s="34"/>
      <c r="B247" s="34"/>
      <c r="C247" s="34"/>
      <c r="D247" s="34"/>
      <c r="E247" s="34"/>
      <c r="F247" s="34"/>
      <c r="G247" s="34"/>
      <c r="H247" s="2533" t="s">
        <v>907</v>
      </c>
      <c r="I247" s="2534"/>
      <c r="J247" s="147"/>
    </row>
    <row r="248" spans="1:10" s="32" customFormat="1" x14ac:dyDescent="0.2">
      <c r="A248" s="34"/>
      <c r="B248" s="34"/>
      <c r="C248" s="34"/>
      <c r="D248" s="34"/>
      <c r="E248" s="34"/>
      <c r="F248" s="34"/>
      <c r="G248" s="34"/>
      <c r="H248" s="1094"/>
      <c r="I248" s="1848"/>
      <c r="J248" s="147"/>
    </row>
    <row r="249" spans="1:10" s="32" customFormat="1" x14ac:dyDescent="0.2">
      <c r="A249" s="98"/>
      <c r="B249" s="34"/>
      <c r="C249" s="35"/>
      <c r="D249" s="784"/>
      <c r="E249" s="784"/>
      <c r="F249" s="784"/>
      <c r="G249" s="785"/>
      <c r="H249" s="1094"/>
      <c r="I249" s="1848"/>
      <c r="J249" s="147"/>
    </row>
    <row r="250" spans="1:10" s="32" customFormat="1" x14ac:dyDescent="0.2">
      <c r="A250" s="98"/>
      <c r="B250" s="34"/>
      <c r="C250" s="35"/>
      <c r="D250" s="784"/>
      <c r="E250" s="784"/>
      <c r="F250" s="784"/>
      <c r="G250" s="785"/>
      <c r="H250" s="1094"/>
      <c r="I250" s="1848"/>
      <c r="J250" s="147"/>
    </row>
    <row r="251" spans="1:10" s="32" customFormat="1" x14ac:dyDescent="0.2">
      <c r="A251" s="98"/>
      <c r="B251" s="34"/>
      <c r="C251" s="35"/>
      <c r="D251" s="784"/>
      <c r="E251" s="784"/>
      <c r="F251" s="784"/>
      <c r="G251" s="785"/>
      <c r="H251" s="1094"/>
      <c r="I251" s="1848"/>
      <c r="J251" s="147"/>
    </row>
    <row r="252" spans="1:10" s="32" customFormat="1" x14ac:dyDescent="0.2">
      <c r="A252" s="98"/>
      <c r="B252" s="34"/>
      <c r="C252" s="35"/>
      <c r="D252" s="784"/>
      <c r="E252" s="784"/>
      <c r="F252" s="784"/>
      <c r="G252" s="785"/>
      <c r="H252" s="1094"/>
      <c r="I252" s="1848"/>
      <c r="J252" s="147"/>
    </row>
    <row r="253" spans="1:10" s="32" customFormat="1" x14ac:dyDescent="0.2">
      <c r="A253" s="98"/>
      <c r="B253" s="34"/>
      <c r="C253" s="35"/>
      <c r="D253" s="784"/>
      <c r="E253" s="784"/>
      <c r="F253" s="784"/>
      <c r="G253" s="785"/>
      <c r="H253" s="1094"/>
      <c r="I253" s="1848"/>
      <c r="J253" s="147"/>
    </row>
    <row r="254" spans="1:10" s="32" customFormat="1" x14ac:dyDescent="0.2">
      <c r="A254" s="98"/>
      <c r="B254" s="34"/>
      <c r="C254" s="35"/>
      <c r="D254" s="784"/>
      <c r="E254" s="784"/>
      <c r="F254" s="784"/>
      <c r="G254" s="785"/>
      <c r="H254" s="1094"/>
      <c r="I254" s="1848"/>
      <c r="J254" s="147"/>
    </row>
    <row r="255" spans="1:10" s="32" customFormat="1" x14ac:dyDescent="0.2">
      <c r="A255" s="98"/>
      <c r="B255" s="34"/>
      <c r="C255" s="35"/>
      <c r="D255" s="784"/>
      <c r="E255" s="784"/>
      <c r="F255" s="784"/>
      <c r="G255" s="785"/>
      <c r="H255" s="1094"/>
      <c r="I255" s="1848"/>
      <c r="J255" s="147"/>
    </row>
    <row r="256" spans="1:10" s="32" customFormat="1" x14ac:dyDescent="0.2">
      <c r="A256" s="98"/>
      <c r="B256" s="34"/>
      <c r="C256" s="35"/>
      <c r="D256" s="784"/>
      <c r="E256" s="784"/>
      <c r="F256" s="784"/>
      <c r="G256" s="785"/>
      <c r="H256" s="1094"/>
      <c r="I256" s="1848"/>
      <c r="J256" s="147"/>
    </row>
    <row r="257" spans="1:10" s="32" customFormat="1" x14ac:dyDescent="0.2">
      <c r="A257" s="98"/>
      <c r="B257" s="34"/>
      <c r="C257" s="35"/>
      <c r="D257" s="784"/>
      <c r="E257" s="784"/>
      <c r="F257" s="784"/>
      <c r="G257" s="785"/>
      <c r="H257" s="1094"/>
      <c r="I257" s="1848"/>
      <c r="J257" s="147"/>
    </row>
    <row r="258" spans="1:10" s="32" customFormat="1" x14ac:dyDescent="0.2">
      <c r="A258" s="98"/>
      <c r="B258" s="34"/>
      <c r="C258" s="35"/>
      <c r="D258" s="784"/>
      <c r="E258" s="784"/>
      <c r="F258" s="784"/>
      <c r="G258" s="785"/>
      <c r="H258" s="1094"/>
      <c r="I258" s="1848"/>
      <c r="J258" s="147"/>
    </row>
    <row r="259" spans="1:10" s="32" customFormat="1" x14ac:dyDescent="0.2">
      <c r="A259" s="98"/>
      <c r="B259" s="34"/>
      <c r="C259" s="35"/>
      <c r="D259" s="784"/>
      <c r="E259" s="784"/>
      <c r="F259" s="784"/>
      <c r="G259" s="785"/>
      <c r="H259" s="1094"/>
      <c r="I259" s="1848"/>
      <c r="J259" s="147"/>
    </row>
    <row r="260" spans="1:10" s="32" customFormat="1" x14ac:dyDescent="0.2">
      <c r="A260" s="98"/>
      <c r="B260" s="34"/>
      <c r="C260" s="35"/>
      <c r="D260" s="784"/>
      <c r="E260" s="784"/>
      <c r="F260" s="784"/>
      <c r="G260" s="785"/>
      <c r="H260" s="1094"/>
      <c r="I260" s="1848"/>
      <c r="J260" s="147"/>
    </row>
    <row r="261" spans="1:10" s="32" customFormat="1" x14ac:dyDescent="0.2">
      <c r="A261" s="98"/>
      <c r="B261" s="34"/>
      <c r="C261" s="35"/>
      <c r="D261" s="784"/>
      <c r="E261" s="784"/>
      <c r="F261" s="784"/>
      <c r="G261" s="785"/>
      <c r="H261" s="1094"/>
      <c r="I261" s="1848"/>
      <c r="J261" s="147"/>
    </row>
    <row r="262" spans="1:10" s="32" customFormat="1" x14ac:dyDescent="0.2">
      <c r="A262" s="98"/>
      <c r="B262" s="34"/>
      <c r="C262" s="35"/>
      <c r="D262" s="784"/>
      <c r="E262" s="784"/>
      <c r="F262" s="784"/>
      <c r="G262" s="785"/>
      <c r="H262" s="1094"/>
      <c r="I262" s="1848"/>
      <c r="J262" s="147"/>
    </row>
    <row r="263" spans="1:10" s="32" customFormat="1" x14ac:dyDescent="0.2">
      <c r="A263" s="98"/>
      <c r="B263" s="34"/>
      <c r="C263" s="35"/>
      <c r="D263" s="784"/>
      <c r="E263" s="784"/>
      <c r="F263" s="784"/>
      <c r="G263" s="785"/>
      <c r="H263" s="1094"/>
      <c r="I263" s="1848"/>
      <c r="J263" s="147"/>
    </row>
    <row r="264" spans="1:10" s="32" customFormat="1" x14ac:dyDescent="0.2">
      <c r="A264" s="98"/>
      <c r="B264" s="34"/>
      <c r="C264" s="35"/>
      <c r="D264" s="784"/>
      <c r="E264" s="784"/>
      <c r="F264" s="784"/>
      <c r="G264" s="785"/>
      <c r="H264" s="1094"/>
      <c r="I264" s="1848"/>
      <c r="J264" s="147"/>
    </row>
    <row r="265" spans="1:10" s="32" customFormat="1" x14ac:dyDescent="0.2">
      <c r="A265" s="98"/>
      <c r="B265" s="34"/>
      <c r="C265" s="35"/>
      <c r="D265" s="784"/>
      <c r="E265" s="784"/>
      <c r="F265" s="784"/>
      <c r="G265" s="785"/>
      <c r="H265" s="1094"/>
      <c r="I265" s="1848"/>
      <c r="J265" s="147"/>
    </row>
    <row r="266" spans="1:10" s="32" customFormat="1" x14ac:dyDescent="0.2">
      <c r="A266" s="98"/>
      <c r="B266" s="34"/>
      <c r="C266" s="35"/>
      <c r="D266" s="784"/>
      <c r="E266" s="784"/>
      <c r="F266" s="784"/>
      <c r="G266" s="785"/>
      <c r="H266" s="1094"/>
      <c r="I266" s="1848"/>
      <c r="J266" s="147"/>
    </row>
    <row r="267" spans="1:10" s="32" customFormat="1" x14ac:dyDescent="0.2">
      <c r="A267" s="98"/>
      <c r="B267" s="34"/>
      <c r="C267" s="35"/>
      <c r="D267" s="784"/>
      <c r="E267" s="784"/>
      <c r="F267" s="784"/>
      <c r="G267" s="785"/>
      <c r="H267" s="1094"/>
      <c r="I267" s="1848"/>
      <c r="J267" s="147"/>
    </row>
    <row r="268" spans="1:10" s="32" customFormat="1" x14ac:dyDescent="0.2">
      <c r="A268" s="98"/>
      <c r="B268" s="34"/>
      <c r="C268" s="35"/>
      <c r="D268" s="784"/>
      <c r="E268" s="784"/>
      <c r="F268" s="784"/>
      <c r="G268" s="785"/>
      <c r="H268" s="1094"/>
      <c r="I268" s="1848"/>
      <c r="J268" s="147"/>
    </row>
    <row r="269" spans="1:10" s="32" customFormat="1" x14ac:dyDescent="0.2">
      <c r="A269" s="98"/>
      <c r="B269" s="34"/>
      <c r="C269" s="35"/>
      <c r="D269" s="784"/>
      <c r="E269" s="784"/>
      <c r="F269" s="784"/>
      <c r="G269" s="785"/>
      <c r="H269" s="1094"/>
      <c r="I269" s="1848"/>
      <c r="J269" s="147"/>
    </row>
    <row r="270" spans="1:10" s="32" customFormat="1" x14ac:dyDescent="0.2">
      <c r="A270" s="98"/>
      <c r="B270" s="34"/>
      <c r="C270" s="35"/>
      <c r="D270" s="784"/>
      <c r="E270" s="784"/>
      <c r="F270" s="784"/>
      <c r="G270" s="785"/>
      <c r="H270" s="1094"/>
      <c r="I270" s="1848"/>
      <c r="J270" s="147"/>
    </row>
    <row r="271" spans="1:10" s="32" customFormat="1" x14ac:dyDescent="0.2">
      <c r="A271" s="98"/>
      <c r="B271" s="34"/>
      <c r="C271" s="35"/>
      <c r="D271" s="784"/>
      <c r="E271" s="784"/>
      <c r="F271" s="784"/>
      <c r="G271" s="785"/>
      <c r="H271" s="1094"/>
      <c r="I271" s="1848"/>
      <c r="J271" s="147"/>
    </row>
    <row r="272" spans="1:10" s="32" customFormat="1" x14ac:dyDescent="0.2">
      <c r="A272" s="98"/>
      <c r="B272" s="34"/>
      <c r="C272" s="35"/>
      <c r="D272" s="784"/>
      <c r="E272" s="784"/>
      <c r="F272" s="784"/>
      <c r="G272" s="785"/>
      <c r="H272" s="1094"/>
      <c r="I272" s="1848"/>
      <c r="J272" s="147"/>
    </row>
    <row r="273" spans="1:10" s="32" customFormat="1" x14ac:dyDescent="0.2">
      <c r="A273" s="98"/>
      <c r="B273" s="34"/>
      <c r="C273" s="35"/>
      <c r="D273" s="784"/>
      <c r="E273" s="784"/>
      <c r="F273" s="784"/>
      <c r="G273" s="785"/>
      <c r="H273" s="1094"/>
      <c r="I273" s="1848"/>
      <c r="J273" s="147"/>
    </row>
    <row r="274" spans="1:10" s="32" customFormat="1" x14ac:dyDescent="0.2">
      <c r="A274" s="98"/>
      <c r="B274" s="34"/>
      <c r="C274" s="35"/>
      <c r="D274" s="784"/>
      <c r="E274" s="784"/>
      <c r="F274" s="784"/>
      <c r="G274" s="785"/>
      <c r="H274" s="1094"/>
      <c r="I274" s="1848"/>
      <c r="J274" s="147"/>
    </row>
    <row r="275" spans="1:10" s="32" customFormat="1" x14ac:dyDescent="0.2">
      <c r="A275" s="98"/>
      <c r="B275" s="34"/>
      <c r="C275" s="35"/>
      <c r="D275" s="784"/>
      <c r="E275" s="784"/>
      <c r="F275" s="784"/>
      <c r="G275" s="785"/>
      <c r="H275" s="1094"/>
      <c r="I275" s="1848"/>
      <c r="J275" s="147"/>
    </row>
    <row r="276" spans="1:10" s="32" customFormat="1" x14ac:dyDescent="0.2">
      <c r="A276" s="98"/>
      <c r="B276" s="34"/>
      <c r="C276" s="35"/>
      <c r="D276" s="784"/>
      <c r="E276" s="784"/>
      <c r="F276" s="784"/>
      <c r="G276" s="785"/>
      <c r="H276" s="1094"/>
      <c r="I276" s="1848"/>
      <c r="J276" s="147"/>
    </row>
    <row r="277" spans="1:10" s="32" customFormat="1" x14ac:dyDescent="0.2">
      <c r="A277" s="98"/>
      <c r="B277" s="34"/>
      <c r="C277" s="35"/>
      <c r="D277" s="784"/>
      <c r="E277" s="784"/>
      <c r="F277" s="784"/>
      <c r="G277" s="785"/>
      <c r="H277" s="1094"/>
      <c r="I277" s="1848"/>
      <c r="J277" s="147"/>
    </row>
    <row r="278" spans="1:10" s="32" customFormat="1" x14ac:dyDescent="0.2">
      <c r="A278" s="98"/>
      <c r="B278" s="34"/>
      <c r="C278" s="35"/>
      <c r="D278" s="784"/>
      <c r="E278" s="784"/>
      <c r="F278" s="784"/>
      <c r="G278" s="785"/>
      <c r="H278" s="1094"/>
      <c r="I278" s="1848"/>
      <c r="J278" s="147"/>
    </row>
    <row r="279" spans="1:10" s="32" customFormat="1" x14ac:dyDescent="0.2">
      <c r="A279" s="98"/>
      <c r="B279" s="34"/>
      <c r="C279" s="35"/>
      <c r="D279" s="784"/>
      <c r="E279" s="784"/>
      <c r="F279" s="784"/>
      <c r="G279" s="785"/>
      <c r="H279" s="1094"/>
      <c r="I279" s="1848"/>
      <c r="J279" s="147"/>
    </row>
    <row r="280" spans="1:10" s="32" customFormat="1" x14ac:dyDescent="0.2">
      <c r="A280" s="98"/>
      <c r="B280" s="34"/>
      <c r="C280" s="35"/>
      <c r="D280" s="784"/>
      <c r="E280" s="784"/>
      <c r="F280" s="784"/>
      <c r="G280" s="785"/>
      <c r="H280" s="1094"/>
      <c r="I280" s="1848"/>
      <c r="J280" s="147"/>
    </row>
    <row r="281" spans="1:10" s="32" customFormat="1" x14ac:dyDescent="0.2">
      <c r="A281" s="98"/>
      <c r="B281" s="34"/>
      <c r="C281" s="35"/>
      <c r="D281" s="784"/>
      <c r="E281" s="784"/>
      <c r="F281" s="784"/>
      <c r="G281" s="785"/>
      <c r="H281" s="1094"/>
      <c r="I281" s="1848"/>
      <c r="J281" s="147"/>
    </row>
    <row r="282" spans="1:10" s="32" customFormat="1" x14ac:dyDescent="0.2">
      <c r="A282" s="98"/>
      <c r="B282" s="34"/>
      <c r="C282" s="35"/>
      <c r="D282" s="784"/>
      <c r="E282" s="784"/>
      <c r="F282" s="784"/>
      <c r="G282" s="785"/>
      <c r="H282" s="1094"/>
      <c r="I282" s="1848"/>
      <c r="J282" s="147"/>
    </row>
    <row r="283" spans="1:10" s="32" customFormat="1" x14ac:dyDescent="0.2">
      <c r="A283" s="98"/>
      <c r="B283" s="34"/>
      <c r="C283" s="35"/>
      <c r="D283" s="784"/>
      <c r="E283" s="784"/>
      <c r="F283" s="784"/>
      <c r="G283" s="785"/>
      <c r="H283" s="1094"/>
      <c r="I283" s="1848"/>
      <c r="J283" s="147"/>
    </row>
    <row r="284" spans="1:10" s="32" customFormat="1" x14ac:dyDescent="0.2">
      <c r="A284" s="98"/>
      <c r="B284" s="34"/>
      <c r="C284" s="35"/>
      <c r="D284" s="784"/>
      <c r="E284" s="784"/>
      <c r="F284" s="784"/>
      <c r="G284" s="785"/>
      <c r="H284" s="1094"/>
      <c r="I284" s="1848"/>
      <c r="J284" s="147"/>
    </row>
    <row r="285" spans="1:10" s="32" customFormat="1" x14ac:dyDescent="0.2">
      <c r="A285" s="98"/>
      <c r="B285" s="34"/>
      <c r="C285" s="35"/>
      <c r="D285" s="784"/>
      <c r="E285" s="784"/>
      <c r="F285" s="784"/>
      <c r="G285" s="785"/>
      <c r="H285" s="1094"/>
      <c r="I285" s="1848"/>
      <c r="J285" s="147"/>
    </row>
    <row r="286" spans="1:10" s="32" customFormat="1" x14ac:dyDescent="0.2">
      <c r="A286" s="98"/>
      <c r="B286" s="34"/>
      <c r="C286" s="35"/>
      <c r="D286" s="784"/>
      <c r="E286" s="784"/>
      <c r="F286" s="784"/>
      <c r="G286" s="785"/>
      <c r="H286" s="1094"/>
      <c r="I286" s="1848"/>
      <c r="J286" s="147"/>
    </row>
    <row r="287" spans="1:10" s="32" customFormat="1" x14ac:dyDescent="0.2">
      <c r="A287" s="98"/>
      <c r="B287" s="34"/>
      <c r="C287" s="35"/>
      <c r="D287" s="784"/>
      <c r="E287" s="784"/>
      <c r="F287" s="784"/>
      <c r="G287" s="785"/>
      <c r="H287" s="1094"/>
      <c r="I287" s="1848"/>
      <c r="J287" s="147"/>
    </row>
    <row r="288" spans="1:10" s="32" customFormat="1" x14ac:dyDescent="0.2">
      <c r="A288" s="98"/>
      <c r="B288" s="34"/>
      <c r="C288" s="35"/>
      <c r="D288" s="784"/>
      <c r="E288" s="784"/>
      <c r="F288" s="784"/>
      <c r="G288" s="785"/>
      <c r="H288" s="1094"/>
      <c r="I288" s="1848"/>
      <c r="J288" s="147"/>
    </row>
    <row r="289" spans="1:10" s="32" customFormat="1" x14ac:dyDescent="0.2">
      <c r="A289" s="98"/>
      <c r="B289" s="34"/>
      <c r="C289" s="35"/>
      <c r="D289" s="784"/>
      <c r="E289" s="784"/>
      <c r="F289" s="784"/>
      <c r="G289" s="785"/>
      <c r="H289" s="1094"/>
      <c r="I289" s="1848"/>
      <c r="J289" s="147"/>
    </row>
    <row r="290" spans="1:10" s="32" customFormat="1" x14ac:dyDescent="0.2">
      <c r="A290" s="98"/>
      <c r="B290" s="34"/>
      <c r="C290" s="35"/>
      <c r="D290" s="784"/>
      <c r="E290" s="784"/>
      <c r="F290" s="784"/>
      <c r="G290" s="785"/>
      <c r="H290" s="1094"/>
      <c r="I290" s="1848"/>
      <c r="J290" s="147"/>
    </row>
    <row r="291" spans="1:10" s="32" customFormat="1" x14ac:dyDescent="0.2">
      <c r="A291" s="98"/>
      <c r="B291" s="34"/>
      <c r="C291" s="35"/>
      <c r="D291" s="784"/>
      <c r="E291" s="784"/>
      <c r="F291" s="784"/>
      <c r="G291" s="785"/>
      <c r="H291" s="1094"/>
      <c r="I291" s="1848"/>
      <c r="J291" s="147"/>
    </row>
    <row r="292" spans="1:10" s="32" customFormat="1" x14ac:dyDescent="0.2">
      <c r="A292" s="98"/>
      <c r="B292" s="34"/>
      <c r="C292" s="35"/>
      <c r="D292" s="784"/>
      <c r="E292" s="784"/>
      <c r="F292" s="784"/>
      <c r="G292" s="785"/>
      <c r="H292" s="1094"/>
      <c r="I292" s="1848"/>
      <c r="J292" s="147"/>
    </row>
    <row r="293" spans="1:10" s="32" customFormat="1" x14ac:dyDescent="0.2">
      <c r="A293" s="98"/>
      <c r="B293" s="34"/>
      <c r="C293" s="35"/>
      <c r="D293" s="784"/>
      <c r="E293" s="784"/>
      <c r="F293" s="784"/>
      <c r="G293" s="785"/>
      <c r="H293" s="1094"/>
      <c r="I293" s="1848"/>
      <c r="J293" s="147"/>
    </row>
    <row r="294" spans="1:10" s="32" customFormat="1" x14ac:dyDescent="0.2">
      <c r="A294" s="98"/>
      <c r="B294" s="34"/>
      <c r="C294" s="35"/>
      <c r="D294" s="784"/>
      <c r="E294" s="784"/>
      <c r="F294" s="784"/>
      <c r="G294" s="785"/>
      <c r="H294" s="1094"/>
      <c r="I294" s="1848"/>
      <c r="J294" s="147"/>
    </row>
    <row r="295" spans="1:10" s="32" customFormat="1" x14ac:dyDescent="0.2">
      <c r="A295" s="98"/>
      <c r="B295" s="34"/>
      <c r="C295" s="35"/>
      <c r="D295" s="784"/>
      <c r="E295" s="784"/>
      <c r="F295" s="784"/>
      <c r="G295" s="785"/>
      <c r="H295" s="1094"/>
      <c r="I295" s="1848"/>
      <c r="J295" s="147"/>
    </row>
    <row r="296" spans="1:10" s="32" customFormat="1" x14ac:dyDescent="0.2">
      <c r="A296" s="98"/>
      <c r="B296" s="34"/>
      <c r="C296" s="35"/>
      <c r="D296" s="784"/>
      <c r="E296" s="784"/>
      <c r="F296" s="784"/>
      <c r="G296" s="785"/>
      <c r="H296" s="1094"/>
      <c r="I296" s="1848"/>
      <c r="J296" s="147"/>
    </row>
    <row r="297" spans="1:10" s="32" customFormat="1" x14ac:dyDescent="0.2">
      <c r="A297" s="98"/>
      <c r="B297" s="34"/>
      <c r="C297" s="35"/>
      <c r="D297" s="784"/>
      <c r="E297" s="784"/>
      <c r="F297" s="784"/>
      <c r="G297" s="785"/>
      <c r="H297" s="1094"/>
      <c r="I297" s="1848"/>
      <c r="J297" s="147"/>
    </row>
    <row r="298" spans="1:10" s="32" customFormat="1" x14ac:dyDescent="0.2">
      <c r="A298" s="98"/>
      <c r="B298" s="34"/>
      <c r="C298" s="35"/>
      <c r="D298" s="784"/>
      <c r="E298" s="784"/>
      <c r="F298" s="784"/>
      <c r="G298" s="785"/>
      <c r="H298" s="1094"/>
      <c r="I298" s="1848"/>
      <c r="J298" s="147"/>
    </row>
    <row r="299" spans="1:10" s="32" customFormat="1" x14ac:dyDescent="0.2">
      <c r="A299" s="98"/>
      <c r="B299" s="34"/>
      <c r="C299" s="35"/>
      <c r="D299" s="784"/>
      <c r="E299" s="784"/>
      <c r="F299" s="784"/>
      <c r="G299" s="785"/>
      <c r="H299" s="1094"/>
      <c r="I299" s="1848"/>
      <c r="J299" s="147"/>
    </row>
    <row r="300" spans="1:10" s="32" customFormat="1" x14ac:dyDescent="0.2">
      <c r="A300" s="98"/>
      <c r="B300" s="34"/>
      <c r="C300" s="35"/>
      <c r="D300" s="784"/>
      <c r="E300" s="784"/>
      <c r="F300" s="784"/>
      <c r="G300" s="785"/>
      <c r="H300" s="1094"/>
      <c r="I300" s="1848"/>
      <c r="J300" s="147"/>
    </row>
    <row r="301" spans="1:10" s="32" customFormat="1" x14ac:dyDescent="0.2">
      <c r="A301" s="98"/>
      <c r="B301" s="34"/>
      <c r="C301" s="35"/>
      <c r="D301" s="784"/>
      <c r="E301" s="784"/>
      <c r="F301" s="784"/>
      <c r="G301" s="785"/>
      <c r="H301" s="1094"/>
      <c r="I301" s="1848"/>
      <c r="J301" s="147"/>
    </row>
    <row r="302" spans="1:10" s="32" customFormat="1" x14ac:dyDescent="0.2">
      <c r="A302" s="98"/>
      <c r="B302" s="34"/>
      <c r="C302" s="35"/>
      <c r="D302" s="784"/>
      <c r="E302" s="784"/>
      <c r="F302" s="784"/>
      <c r="G302" s="785"/>
      <c r="H302" s="1094"/>
      <c r="I302" s="1848"/>
      <c r="J302" s="147"/>
    </row>
    <row r="303" spans="1:10" s="32" customFormat="1" x14ac:dyDescent="0.2">
      <c r="A303" s="98"/>
      <c r="B303" s="34"/>
      <c r="C303" s="35"/>
      <c r="D303" s="784"/>
      <c r="E303" s="784"/>
      <c r="F303" s="784"/>
      <c r="G303" s="785"/>
      <c r="H303" s="1094"/>
      <c r="I303" s="1848"/>
      <c r="J303" s="147"/>
    </row>
    <row r="304" spans="1:10" s="32" customFormat="1" x14ac:dyDescent="0.2">
      <c r="A304" s="98"/>
      <c r="B304" s="34"/>
      <c r="C304" s="35"/>
      <c r="D304" s="784"/>
      <c r="E304" s="784"/>
      <c r="F304" s="784"/>
      <c r="G304" s="785"/>
      <c r="H304" s="1094"/>
      <c r="I304" s="1848"/>
      <c r="J304" s="147"/>
    </row>
    <row r="305" spans="1:10" s="32" customFormat="1" x14ac:dyDescent="0.2">
      <c r="A305" s="98"/>
      <c r="B305" s="34"/>
      <c r="C305" s="35"/>
      <c r="D305" s="784"/>
      <c r="E305" s="784"/>
      <c r="F305" s="784"/>
      <c r="G305" s="785"/>
      <c r="H305" s="1094"/>
      <c r="I305" s="1848"/>
      <c r="J305" s="147"/>
    </row>
    <row r="306" spans="1:10" s="32" customFormat="1" x14ac:dyDescent="0.2">
      <c r="A306" s="98"/>
      <c r="B306" s="34"/>
      <c r="C306" s="35"/>
      <c r="D306" s="784"/>
      <c r="E306" s="784"/>
      <c r="F306" s="784"/>
      <c r="G306" s="785"/>
      <c r="H306" s="1094"/>
      <c r="I306" s="1848"/>
      <c r="J306" s="147"/>
    </row>
    <row r="307" spans="1:10" s="32" customFormat="1" x14ac:dyDescent="0.2">
      <c r="A307" s="98"/>
      <c r="B307" s="34"/>
      <c r="C307" s="35"/>
      <c r="D307" s="784"/>
      <c r="E307" s="784"/>
      <c r="F307" s="784"/>
      <c r="G307" s="785"/>
      <c r="H307" s="1094"/>
      <c r="I307" s="1848"/>
      <c r="J307" s="147"/>
    </row>
    <row r="308" spans="1:10" s="32" customFormat="1" x14ac:dyDescent="0.2">
      <c r="A308" s="98"/>
      <c r="B308" s="34"/>
      <c r="C308" s="35"/>
      <c r="D308" s="784"/>
      <c r="E308" s="784"/>
      <c r="F308" s="784"/>
      <c r="G308" s="785"/>
      <c r="H308" s="36"/>
      <c r="I308" s="1848"/>
      <c r="J308" s="147"/>
    </row>
    <row r="309" spans="1:10" s="32" customFormat="1" x14ac:dyDescent="0.2">
      <c r="A309" s="98"/>
      <c r="B309" s="34"/>
      <c r="C309" s="35"/>
      <c r="D309" s="784"/>
      <c r="E309" s="784"/>
      <c r="F309" s="784"/>
      <c r="G309" s="785"/>
      <c r="H309" s="36"/>
      <c r="I309" s="1848"/>
      <c r="J309" s="147"/>
    </row>
    <row r="310" spans="1:10" s="32" customFormat="1" x14ac:dyDescent="0.2">
      <c r="A310" s="98"/>
      <c r="B310" s="34"/>
      <c r="C310" s="35"/>
      <c r="D310" s="784"/>
      <c r="E310" s="784"/>
      <c r="F310" s="784"/>
      <c r="G310" s="785"/>
      <c r="H310" s="36"/>
      <c r="I310" s="1848"/>
      <c r="J310" s="147"/>
    </row>
    <row r="311" spans="1:10" s="32" customFormat="1" x14ac:dyDescent="0.2">
      <c r="A311" s="98"/>
      <c r="B311" s="34"/>
      <c r="C311" s="35"/>
      <c r="D311" s="784"/>
      <c r="E311" s="784"/>
      <c r="F311" s="784"/>
      <c r="G311" s="785"/>
      <c r="H311" s="36"/>
      <c r="I311" s="1848"/>
      <c r="J311" s="147"/>
    </row>
    <row r="312" spans="1:10" s="32" customFormat="1" x14ac:dyDescent="0.2">
      <c r="A312" s="98"/>
      <c r="B312" s="34"/>
      <c r="C312" s="35"/>
      <c r="D312" s="784"/>
      <c r="E312" s="784"/>
      <c r="F312" s="784"/>
      <c r="G312" s="785"/>
      <c r="H312" s="36"/>
      <c r="I312" s="1848"/>
      <c r="J312" s="147"/>
    </row>
    <row r="313" spans="1:10" s="32" customFormat="1" x14ac:dyDescent="0.2">
      <c r="A313" s="98"/>
      <c r="B313" s="34"/>
      <c r="C313" s="35"/>
      <c r="D313" s="784"/>
      <c r="E313" s="784"/>
      <c r="F313" s="784"/>
      <c r="G313" s="785"/>
      <c r="H313" s="36"/>
      <c r="I313" s="1848"/>
      <c r="J313" s="147"/>
    </row>
    <row r="314" spans="1:10" s="32" customFormat="1" x14ac:dyDescent="0.2">
      <c r="A314" s="98"/>
      <c r="B314" s="34"/>
      <c r="C314" s="35"/>
      <c r="D314" s="784"/>
      <c r="E314" s="784"/>
      <c r="F314" s="784"/>
      <c r="G314" s="785"/>
      <c r="H314" s="36"/>
      <c r="I314" s="1848"/>
      <c r="J314" s="147"/>
    </row>
    <row r="315" spans="1:10" s="32" customFormat="1" x14ac:dyDescent="0.2">
      <c r="A315" s="98"/>
      <c r="B315" s="34"/>
      <c r="C315" s="35"/>
      <c r="D315" s="784"/>
      <c r="E315" s="784"/>
      <c r="F315" s="784"/>
      <c r="G315" s="785"/>
      <c r="H315" s="36"/>
      <c r="I315" s="1848"/>
      <c r="J315" s="147"/>
    </row>
    <row r="316" spans="1:10" s="32" customFormat="1" x14ac:dyDescent="0.2">
      <c r="A316" s="98"/>
      <c r="B316" s="34"/>
      <c r="C316" s="35"/>
      <c r="D316" s="784"/>
      <c r="E316" s="784"/>
      <c r="F316" s="784"/>
      <c r="G316" s="785"/>
      <c r="H316" s="36"/>
      <c r="I316" s="1848"/>
      <c r="J316" s="147"/>
    </row>
    <row r="317" spans="1:10" s="32" customFormat="1" x14ac:dyDescent="0.2">
      <c r="A317" s="98"/>
      <c r="B317" s="34"/>
      <c r="C317" s="35"/>
      <c r="D317" s="784"/>
      <c r="E317" s="784"/>
      <c r="F317" s="784"/>
      <c r="G317" s="785"/>
      <c r="H317" s="36"/>
      <c r="I317" s="1848"/>
      <c r="J317" s="147"/>
    </row>
    <row r="318" spans="1:10" s="32" customFormat="1" x14ac:dyDescent="0.2">
      <c r="A318" s="98"/>
      <c r="B318" s="34"/>
      <c r="C318" s="35"/>
      <c r="D318" s="784"/>
      <c r="E318" s="784"/>
      <c r="F318" s="784"/>
      <c r="G318" s="785"/>
      <c r="H318" s="36"/>
      <c r="I318" s="1848"/>
      <c r="J318" s="147"/>
    </row>
    <row r="319" spans="1:10" s="32" customFormat="1" x14ac:dyDescent="0.2">
      <c r="A319" s="98"/>
      <c r="B319" s="34"/>
      <c r="C319" s="35"/>
      <c r="D319" s="784"/>
      <c r="E319" s="784"/>
      <c r="F319" s="784"/>
      <c r="G319" s="785"/>
      <c r="H319" s="36"/>
      <c r="I319" s="1848"/>
      <c r="J319" s="147"/>
    </row>
    <row r="320" spans="1:10" s="32" customFormat="1" x14ac:dyDescent="0.2">
      <c r="A320" s="98"/>
      <c r="B320" s="34"/>
      <c r="C320" s="35"/>
      <c r="D320" s="784"/>
      <c r="E320" s="784"/>
      <c r="F320" s="784"/>
      <c r="G320" s="785"/>
      <c r="H320" s="36"/>
      <c r="I320" s="1848"/>
      <c r="J320" s="147"/>
    </row>
    <row r="321" spans="1:10" s="32" customFormat="1" x14ac:dyDescent="0.2">
      <c r="A321" s="98"/>
      <c r="B321" s="34"/>
      <c r="C321" s="35"/>
      <c r="D321" s="784"/>
      <c r="E321" s="784"/>
      <c r="F321" s="784"/>
      <c r="G321" s="785"/>
      <c r="H321" s="36"/>
      <c r="I321" s="1848"/>
      <c r="J321" s="147"/>
    </row>
    <row r="322" spans="1:10" s="32" customFormat="1" x14ac:dyDescent="0.2">
      <c r="A322" s="98"/>
      <c r="B322" s="34"/>
      <c r="C322" s="35"/>
      <c r="D322" s="784"/>
      <c r="E322" s="784"/>
      <c r="F322" s="784"/>
      <c r="G322" s="785"/>
      <c r="H322" s="36"/>
      <c r="I322" s="1848"/>
      <c r="J322" s="147"/>
    </row>
    <row r="323" spans="1:10" s="32" customFormat="1" x14ac:dyDescent="0.2">
      <c r="A323" s="98"/>
      <c r="B323" s="34"/>
      <c r="C323" s="35"/>
      <c r="D323" s="784"/>
      <c r="E323" s="784"/>
      <c r="F323" s="784"/>
      <c r="G323" s="785"/>
      <c r="H323" s="36"/>
      <c r="I323" s="1848"/>
      <c r="J323" s="147"/>
    </row>
    <row r="324" spans="1:10" s="32" customFormat="1" x14ac:dyDescent="0.2">
      <c r="A324" s="98"/>
      <c r="B324" s="34"/>
      <c r="C324" s="35"/>
      <c r="D324" s="784"/>
      <c r="E324" s="784"/>
      <c r="F324" s="784"/>
      <c r="G324" s="785"/>
      <c r="H324" s="36"/>
      <c r="I324" s="1848"/>
      <c r="J324" s="147"/>
    </row>
    <row r="325" spans="1:10" s="32" customFormat="1" x14ac:dyDescent="0.2">
      <c r="A325" s="98"/>
      <c r="B325" s="34"/>
      <c r="C325" s="35"/>
      <c r="D325" s="784"/>
      <c r="E325" s="784"/>
      <c r="F325" s="784"/>
      <c r="G325" s="785"/>
      <c r="H325" s="36"/>
      <c r="I325" s="1848"/>
      <c r="J325" s="147"/>
    </row>
    <row r="326" spans="1:10" s="32" customFormat="1" x14ac:dyDescent="0.2">
      <c r="A326" s="98"/>
      <c r="B326" s="34"/>
      <c r="C326" s="35"/>
      <c r="D326" s="784"/>
      <c r="E326" s="784"/>
      <c r="F326" s="784"/>
      <c r="G326" s="785"/>
      <c r="H326" s="36"/>
      <c r="I326" s="1848"/>
      <c r="J326" s="147"/>
    </row>
    <row r="327" spans="1:10" s="32" customFormat="1" x14ac:dyDescent="0.2">
      <c r="A327" s="98"/>
      <c r="B327" s="34"/>
      <c r="C327" s="35"/>
      <c r="D327" s="784"/>
      <c r="E327" s="784"/>
      <c r="F327" s="784"/>
      <c r="G327" s="785"/>
      <c r="H327" s="36"/>
      <c r="I327" s="1848"/>
      <c r="J327" s="147"/>
    </row>
    <row r="328" spans="1:10" s="32" customFormat="1" x14ac:dyDescent="0.2">
      <c r="A328" s="98"/>
      <c r="B328" s="34"/>
      <c r="C328" s="35"/>
      <c r="D328" s="784"/>
      <c r="E328" s="784"/>
      <c r="F328" s="784"/>
      <c r="G328" s="785"/>
      <c r="H328" s="36"/>
      <c r="I328" s="1848"/>
      <c r="J328" s="147"/>
    </row>
    <row r="329" spans="1:10" s="32" customFormat="1" x14ac:dyDescent="0.2">
      <c r="A329" s="98"/>
      <c r="B329" s="34"/>
      <c r="C329" s="35"/>
      <c r="D329" s="784"/>
      <c r="E329" s="784"/>
      <c r="F329" s="784"/>
      <c r="G329" s="785"/>
      <c r="H329" s="36"/>
      <c r="I329" s="1848"/>
      <c r="J329" s="147"/>
    </row>
    <row r="330" spans="1:10" s="32" customFormat="1" x14ac:dyDescent="0.2">
      <c r="A330" s="98"/>
      <c r="B330" s="34"/>
      <c r="C330" s="35"/>
      <c r="D330" s="784"/>
      <c r="E330" s="784"/>
      <c r="F330" s="784"/>
      <c r="G330" s="785"/>
      <c r="H330" s="36"/>
      <c r="I330" s="1848"/>
      <c r="J330" s="147"/>
    </row>
    <row r="331" spans="1:10" s="32" customFormat="1" x14ac:dyDescent="0.2">
      <c r="A331" s="98"/>
      <c r="B331" s="34"/>
      <c r="C331" s="35"/>
      <c r="D331" s="784"/>
      <c r="E331" s="784"/>
      <c r="F331" s="784"/>
      <c r="G331" s="785"/>
      <c r="H331" s="36"/>
      <c r="I331" s="1848"/>
      <c r="J331" s="147"/>
    </row>
    <row r="332" spans="1:10" s="32" customFormat="1" x14ac:dyDescent="0.2">
      <c r="A332" s="98"/>
      <c r="B332" s="34"/>
      <c r="C332" s="35"/>
      <c r="D332" s="784"/>
      <c r="E332" s="784"/>
      <c r="F332" s="784"/>
      <c r="G332" s="785"/>
      <c r="H332" s="36"/>
      <c r="I332" s="1848"/>
      <c r="J332" s="147"/>
    </row>
    <row r="333" spans="1:10" s="32" customFormat="1" x14ac:dyDescent="0.2">
      <c r="A333" s="98"/>
      <c r="B333" s="34"/>
      <c r="C333" s="35"/>
      <c r="D333" s="784"/>
      <c r="E333" s="784"/>
      <c r="F333" s="784"/>
      <c r="G333" s="785"/>
      <c r="H333" s="36"/>
      <c r="I333" s="1848"/>
      <c r="J333" s="147"/>
    </row>
    <row r="334" spans="1:10" s="32" customFormat="1" x14ac:dyDescent="0.2">
      <c r="A334" s="98"/>
      <c r="B334" s="34"/>
      <c r="C334" s="35"/>
      <c r="D334" s="784"/>
      <c r="E334" s="784"/>
      <c r="F334" s="784"/>
      <c r="G334" s="785"/>
      <c r="H334" s="36"/>
      <c r="I334" s="1848"/>
      <c r="J334" s="147"/>
    </row>
    <row r="335" spans="1:10" s="32" customFormat="1" x14ac:dyDescent="0.2">
      <c r="A335" s="98"/>
      <c r="B335" s="34"/>
      <c r="C335" s="35"/>
      <c r="D335" s="784"/>
      <c r="E335" s="784"/>
      <c r="F335" s="784"/>
      <c r="G335" s="785"/>
      <c r="H335" s="36"/>
      <c r="I335" s="1848"/>
      <c r="J335" s="147"/>
    </row>
    <row r="336" spans="1:10" s="32" customFormat="1" x14ac:dyDescent="0.2">
      <c r="A336" s="98"/>
      <c r="B336" s="34"/>
      <c r="C336" s="35"/>
      <c r="D336" s="784"/>
      <c r="E336" s="784"/>
      <c r="F336" s="784"/>
      <c r="G336" s="785"/>
      <c r="H336" s="36"/>
      <c r="I336" s="1848"/>
      <c r="J336" s="147"/>
    </row>
    <row r="337" spans="1:10" s="32" customFormat="1" x14ac:dyDescent="0.2">
      <c r="A337" s="98"/>
      <c r="B337" s="34"/>
      <c r="C337" s="35"/>
      <c r="D337" s="784"/>
      <c r="E337" s="784"/>
      <c r="F337" s="784"/>
      <c r="G337" s="785"/>
      <c r="H337" s="36"/>
      <c r="I337" s="1848"/>
      <c r="J337" s="147"/>
    </row>
    <row r="338" spans="1:10" s="32" customFormat="1" x14ac:dyDescent="0.2">
      <c r="A338" s="98"/>
      <c r="B338" s="34"/>
      <c r="C338" s="35"/>
      <c r="D338" s="784"/>
      <c r="E338" s="784"/>
      <c r="F338" s="784"/>
      <c r="G338" s="785"/>
      <c r="H338" s="36"/>
      <c r="I338" s="1848"/>
      <c r="J338" s="147"/>
    </row>
    <row r="339" spans="1:10" s="32" customFormat="1" x14ac:dyDescent="0.2">
      <c r="A339" s="98"/>
      <c r="B339" s="34"/>
      <c r="C339" s="35"/>
      <c r="D339" s="784"/>
      <c r="E339" s="784"/>
      <c r="F339" s="784"/>
      <c r="G339" s="785"/>
      <c r="H339" s="36"/>
      <c r="I339" s="1848"/>
      <c r="J339" s="147"/>
    </row>
    <row r="340" spans="1:10" s="32" customFormat="1" x14ac:dyDescent="0.2">
      <c r="A340" s="98"/>
      <c r="B340" s="34"/>
      <c r="C340" s="35"/>
      <c r="D340" s="784"/>
      <c r="E340" s="784"/>
      <c r="F340" s="784"/>
      <c r="G340" s="785"/>
      <c r="H340" s="36"/>
      <c r="I340" s="1848"/>
      <c r="J340" s="147"/>
    </row>
    <row r="341" spans="1:10" s="32" customFormat="1" x14ac:dyDescent="0.2">
      <c r="A341" s="98"/>
      <c r="B341" s="34"/>
      <c r="C341" s="35"/>
      <c r="D341" s="784"/>
      <c r="E341" s="784"/>
      <c r="F341" s="784"/>
      <c r="G341" s="785"/>
      <c r="H341" s="36"/>
      <c r="I341" s="1848"/>
      <c r="J341" s="147"/>
    </row>
    <row r="342" spans="1:10" s="32" customFormat="1" x14ac:dyDescent="0.2">
      <c r="A342" s="98"/>
      <c r="B342" s="34"/>
      <c r="C342" s="35"/>
      <c r="D342" s="784"/>
      <c r="E342" s="784"/>
      <c r="F342" s="784"/>
      <c r="G342" s="785"/>
      <c r="H342" s="36"/>
      <c r="I342" s="1848"/>
      <c r="J342" s="147"/>
    </row>
    <row r="343" spans="1:10" s="32" customFormat="1" x14ac:dyDescent="0.2">
      <c r="A343" s="98"/>
      <c r="B343" s="34"/>
      <c r="C343" s="35"/>
      <c r="D343" s="784"/>
      <c r="E343" s="784"/>
      <c r="F343" s="784"/>
      <c r="G343" s="785"/>
      <c r="H343" s="36"/>
      <c r="I343" s="1848"/>
      <c r="J343" s="147"/>
    </row>
    <row r="344" spans="1:10" s="32" customFormat="1" x14ac:dyDescent="0.2">
      <c r="A344" s="98"/>
      <c r="B344" s="34"/>
      <c r="C344" s="35"/>
      <c r="D344" s="784"/>
      <c r="E344" s="784"/>
      <c r="F344" s="784"/>
      <c r="G344" s="785"/>
      <c r="H344" s="36"/>
      <c r="I344" s="1848"/>
      <c r="J344" s="147"/>
    </row>
    <row r="345" spans="1:10" s="32" customFormat="1" x14ac:dyDescent="0.2">
      <c r="A345" s="98"/>
      <c r="B345" s="34"/>
      <c r="C345" s="35"/>
      <c r="D345" s="784"/>
      <c r="E345" s="784"/>
      <c r="F345" s="784"/>
      <c r="G345" s="785"/>
      <c r="H345" s="36"/>
      <c r="I345" s="1848"/>
      <c r="J345" s="147"/>
    </row>
    <row r="346" spans="1:10" s="32" customFormat="1" x14ac:dyDescent="0.2">
      <c r="A346" s="98"/>
      <c r="B346" s="34"/>
      <c r="C346" s="35"/>
      <c r="D346" s="784"/>
      <c r="E346" s="784"/>
      <c r="F346" s="784"/>
      <c r="G346" s="785"/>
      <c r="H346" s="36"/>
      <c r="I346" s="1848"/>
      <c r="J346" s="147"/>
    </row>
    <row r="347" spans="1:10" s="32" customFormat="1" x14ac:dyDescent="0.2">
      <c r="A347" s="98"/>
      <c r="B347" s="34"/>
      <c r="C347" s="35"/>
      <c r="D347" s="784"/>
      <c r="E347" s="784"/>
      <c r="F347" s="784"/>
      <c r="G347" s="785"/>
      <c r="H347" s="36"/>
      <c r="I347" s="1848"/>
      <c r="J347" s="147"/>
    </row>
    <row r="348" spans="1:10" s="32" customFormat="1" x14ac:dyDescent="0.2">
      <c r="A348" s="98"/>
      <c r="B348" s="34"/>
      <c r="C348" s="35"/>
      <c r="D348" s="784"/>
      <c r="E348" s="784"/>
      <c r="F348" s="784"/>
      <c r="G348" s="785"/>
      <c r="H348" s="36"/>
      <c r="I348" s="1848"/>
      <c r="J348" s="147"/>
    </row>
    <row r="349" spans="1:10" s="32" customFormat="1" x14ac:dyDescent="0.2">
      <c r="A349" s="98"/>
      <c r="B349" s="34"/>
      <c r="C349" s="35"/>
      <c r="D349" s="784"/>
      <c r="E349" s="784"/>
      <c r="F349" s="784"/>
      <c r="G349" s="785"/>
      <c r="H349" s="36"/>
      <c r="I349" s="1848"/>
      <c r="J349" s="147"/>
    </row>
    <row r="350" spans="1:10" s="32" customFormat="1" x14ac:dyDescent="0.2">
      <c r="A350" s="98"/>
      <c r="B350" s="34"/>
      <c r="C350" s="35"/>
      <c r="D350" s="784"/>
      <c r="E350" s="784"/>
      <c r="F350" s="784"/>
      <c r="G350" s="785"/>
      <c r="H350" s="36"/>
      <c r="I350" s="1848"/>
      <c r="J350" s="147"/>
    </row>
    <row r="351" spans="1:10" s="32" customFormat="1" x14ac:dyDescent="0.2">
      <c r="A351" s="98"/>
      <c r="B351" s="34"/>
      <c r="C351" s="35"/>
      <c r="D351" s="784"/>
      <c r="E351" s="784"/>
      <c r="F351" s="784"/>
      <c r="G351" s="785"/>
      <c r="H351" s="36"/>
      <c r="I351" s="1848"/>
      <c r="J351" s="147"/>
    </row>
    <row r="352" spans="1:10" s="32" customFormat="1" x14ac:dyDescent="0.2">
      <c r="A352" s="98"/>
      <c r="B352" s="34"/>
      <c r="C352" s="35"/>
      <c r="D352" s="784"/>
      <c r="E352" s="784"/>
      <c r="F352" s="784"/>
      <c r="G352" s="785"/>
      <c r="H352" s="36"/>
      <c r="I352" s="1848"/>
      <c r="J352" s="147"/>
    </row>
    <row r="353" spans="1:10" s="32" customFormat="1" x14ac:dyDescent="0.2">
      <c r="A353" s="98"/>
      <c r="B353" s="34"/>
      <c r="C353" s="35"/>
      <c r="D353" s="784"/>
      <c r="E353" s="784"/>
      <c r="F353" s="784"/>
      <c r="G353" s="785"/>
      <c r="H353" s="36"/>
      <c r="I353" s="1848"/>
      <c r="J353" s="147"/>
    </row>
    <row r="354" spans="1:10" s="32" customFormat="1" x14ac:dyDescent="0.2">
      <c r="A354" s="98"/>
      <c r="B354" s="34"/>
      <c r="C354" s="35"/>
      <c r="D354" s="784"/>
      <c r="E354" s="784"/>
      <c r="F354" s="784"/>
      <c r="G354" s="785"/>
      <c r="H354" s="36"/>
      <c r="I354" s="1848"/>
      <c r="J354" s="147"/>
    </row>
    <row r="355" spans="1:10" s="32" customFormat="1" x14ac:dyDescent="0.2">
      <c r="A355" s="98"/>
      <c r="B355" s="34"/>
      <c r="C355" s="35"/>
      <c r="D355" s="784"/>
      <c r="E355" s="784"/>
      <c r="F355" s="784"/>
      <c r="G355" s="785"/>
      <c r="H355" s="36"/>
      <c r="I355" s="1848"/>
      <c r="J355" s="147"/>
    </row>
    <row r="356" spans="1:10" s="32" customFormat="1" x14ac:dyDescent="0.2">
      <c r="A356" s="98"/>
      <c r="B356" s="34"/>
      <c r="C356" s="35"/>
      <c r="D356" s="784"/>
      <c r="E356" s="784"/>
      <c r="F356" s="784"/>
      <c r="G356" s="785"/>
      <c r="H356" s="36"/>
      <c r="I356" s="1848"/>
      <c r="J356" s="147"/>
    </row>
    <row r="357" spans="1:10" s="32" customFormat="1" x14ac:dyDescent="0.2">
      <c r="A357" s="98"/>
      <c r="B357" s="34"/>
      <c r="C357" s="35"/>
      <c r="D357" s="784"/>
      <c r="E357" s="784"/>
      <c r="F357" s="784"/>
      <c r="G357" s="785"/>
      <c r="H357" s="36"/>
      <c r="I357" s="1848"/>
      <c r="J357" s="147"/>
    </row>
    <row r="358" spans="1:10" s="32" customFormat="1" x14ac:dyDescent="0.2">
      <c r="A358" s="98"/>
      <c r="B358" s="34"/>
      <c r="C358" s="35"/>
      <c r="D358" s="784"/>
      <c r="E358" s="784"/>
      <c r="F358" s="784"/>
      <c r="G358" s="785"/>
      <c r="H358" s="36"/>
      <c r="I358" s="1848"/>
      <c r="J358" s="147"/>
    </row>
    <row r="359" spans="1:10" s="32" customFormat="1" x14ac:dyDescent="0.2">
      <c r="A359" s="98"/>
      <c r="B359" s="34"/>
      <c r="C359" s="35"/>
      <c r="D359" s="784"/>
      <c r="E359" s="784"/>
      <c r="F359" s="784"/>
      <c r="G359" s="785"/>
      <c r="H359" s="36"/>
      <c r="I359" s="1848"/>
      <c r="J359" s="147"/>
    </row>
    <row r="360" spans="1:10" s="32" customFormat="1" x14ac:dyDescent="0.2">
      <c r="A360" s="98"/>
      <c r="B360" s="34"/>
      <c r="C360" s="35"/>
      <c r="D360" s="784"/>
      <c r="E360" s="784"/>
      <c r="F360" s="784"/>
      <c r="G360" s="785"/>
      <c r="H360" s="36"/>
      <c r="I360" s="1848"/>
      <c r="J360" s="147"/>
    </row>
    <row r="361" spans="1:10" s="32" customFormat="1" x14ac:dyDescent="0.2">
      <c r="A361" s="98"/>
      <c r="B361" s="34"/>
      <c r="C361" s="35"/>
      <c r="D361" s="784"/>
      <c r="E361" s="784"/>
      <c r="F361" s="784"/>
      <c r="G361" s="785"/>
      <c r="H361" s="36"/>
      <c r="I361" s="1848"/>
      <c r="J361" s="147"/>
    </row>
    <row r="362" spans="1:10" s="32" customFormat="1" x14ac:dyDescent="0.2">
      <c r="A362" s="98"/>
      <c r="B362" s="34"/>
      <c r="C362" s="35"/>
      <c r="D362" s="784"/>
      <c r="E362" s="784"/>
      <c r="F362" s="784"/>
      <c r="G362" s="785"/>
      <c r="H362" s="36"/>
      <c r="I362" s="1848"/>
      <c r="J362" s="147"/>
    </row>
    <row r="363" spans="1:10" s="32" customFormat="1" x14ac:dyDescent="0.2">
      <c r="A363" s="98"/>
      <c r="B363" s="34"/>
      <c r="C363" s="35"/>
      <c r="D363" s="784"/>
      <c r="E363" s="784"/>
      <c r="F363" s="784"/>
      <c r="G363" s="785"/>
      <c r="H363" s="36"/>
      <c r="I363" s="1848"/>
      <c r="J363" s="147"/>
    </row>
    <row r="364" spans="1:10" s="32" customFormat="1" x14ac:dyDescent="0.2">
      <c r="A364" s="98"/>
      <c r="B364" s="34"/>
      <c r="C364" s="35"/>
      <c r="D364" s="784"/>
      <c r="E364" s="784"/>
      <c r="F364" s="784"/>
      <c r="G364" s="785"/>
      <c r="H364" s="36"/>
      <c r="I364" s="1848"/>
      <c r="J364" s="147"/>
    </row>
    <row r="365" spans="1:10" s="32" customFormat="1" x14ac:dyDescent="0.2">
      <c r="A365" s="98"/>
      <c r="B365" s="34"/>
      <c r="C365" s="35"/>
      <c r="D365" s="784"/>
      <c r="E365" s="784"/>
      <c r="F365" s="784"/>
      <c r="G365" s="785"/>
      <c r="H365" s="36"/>
      <c r="I365" s="1848"/>
      <c r="J365" s="147"/>
    </row>
    <row r="366" spans="1:10" s="32" customFormat="1" x14ac:dyDescent="0.2">
      <c r="A366" s="98"/>
      <c r="B366" s="34"/>
      <c r="C366" s="35"/>
      <c r="D366" s="784"/>
      <c r="E366" s="784"/>
      <c r="F366" s="784"/>
      <c r="G366" s="785"/>
      <c r="H366" s="36"/>
      <c r="I366" s="1848"/>
      <c r="J366" s="147"/>
    </row>
    <row r="367" spans="1:10" s="32" customFormat="1" x14ac:dyDescent="0.2">
      <c r="A367" s="98"/>
      <c r="B367" s="34"/>
      <c r="C367" s="35"/>
      <c r="D367" s="784"/>
      <c r="E367" s="784"/>
      <c r="F367" s="784"/>
      <c r="G367" s="785"/>
      <c r="H367" s="36"/>
      <c r="I367" s="1848"/>
      <c r="J367" s="147"/>
    </row>
    <row r="368" spans="1:10" s="32" customFormat="1" x14ac:dyDescent="0.2">
      <c r="A368" s="98"/>
      <c r="B368" s="34"/>
      <c r="C368" s="35"/>
      <c r="D368" s="784"/>
      <c r="E368" s="784"/>
      <c r="F368" s="784"/>
      <c r="G368" s="785"/>
      <c r="H368" s="36"/>
      <c r="I368" s="1848"/>
      <c r="J368" s="147"/>
    </row>
    <row r="369" spans="1:10" s="32" customFormat="1" x14ac:dyDescent="0.2">
      <c r="A369" s="98"/>
      <c r="B369" s="34"/>
      <c r="C369" s="35"/>
      <c r="D369" s="784"/>
      <c r="E369" s="784"/>
      <c r="F369" s="784"/>
      <c r="G369" s="785"/>
      <c r="H369" s="36"/>
      <c r="I369" s="1848"/>
      <c r="J369" s="147"/>
    </row>
    <row r="370" spans="1:10" s="32" customFormat="1" x14ac:dyDescent="0.2">
      <c r="A370" s="98"/>
      <c r="B370" s="34"/>
      <c r="C370" s="35"/>
      <c r="D370" s="784"/>
      <c r="E370" s="784"/>
      <c r="F370" s="784"/>
      <c r="G370" s="785"/>
      <c r="H370" s="36"/>
      <c r="I370" s="1848"/>
      <c r="J370" s="147"/>
    </row>
    <row r="371" spans="1:10" s="32" customFormat="1" x14ac:dyDescent="0.2">
      <c r="A371" s="98"/>
      <c r="B371" s="34"/>
      <c r="C371" s="35"/>
      <c r="D371" s="784"/>
      <c r="E371" s="784"/>
      <c r="F371" s="784"/>
      <c r="G371" s="785"/>
      <c r="H371" s="36"/>
      <c r="I371" s="1848"/>
      <c r="J371" s="147"/>
    </row>
    <row r="372" spans="1:10" s="32" customFormat="1" x14ac:dyDescent="0.2">
      <c r="A372" s="98"/>
      <c r="B372" s="34"/>
      <c r="C372" s="35"/>
      <c r="D372" s="784"/>
      <c r="E372" s="784"/>
      <c r="F372" s="784"/>
      <c r="G372" s="785"/>
      <c r="H372" s="36"/>
      <c r="I372" s="1848"/>
      <c r="J372" s="147"/>
    </row>
    <row r="373" spans="1:10" s="32" customFormat="1" x14ac:dyDescent="0.2">
      <c r="A373" s="98"/>
      <c r="B373" s="34"/>
      <c r="C373" s="35"/>
      <c r="D373" s="784"/>
      <c r="E373" s="784"/>
      <c r="F373" s="784"/>
      <c r="G373" s="785"/>
      <c r="H373" s="36"/>
      <c r="I373" s="1848"/>
      <c r="J373" s="147"/>
    </row>
    <row r="374" spans="1:10" s="32" customFormat="1" x14ac:dyDescent="0.2">
      <c r="A374" s="98"/>
      <c r="B374" s="34"/>
      <c r="C374" s="35"/>
      <c r="D374" s="784"/>
      <c r="E374" s="784"/>
      <c r="F374" s="784"/>
      <c r="G374" s="785"/>
      <c r="H374" s="36"/>
      <c r="I374" s="1848"/>
      <c r="J374" s="147"/>
    </row>
    <row r="375" spans="1:10" s="32" customFormat="1" x14ac:dyDescent="0.2">
      <c r="A375" s="98"/>
      <c r="B375" s="34"/>
      <c r="C375" s="35"/>
      <c r="D375" s="784"/>
      <c r="E375" s="784"/>
      <c r="F375" s="784"/>
      <c r="G375" s="785"/>
      <c r="H375" s="36"/>
      <c r="I375" s="1848"/>
      <c r="J375" s="147"/>
    </row>
    <row r="376" spans="1:10" s="32" customFormat="1" x14ac:dyDescent="0.2">
      <c r="A376" s="98"/>
      <c r="B376" s="34"/>
      <c r="C376" s="35"/>
      <c r="D376" s="784"/>
      <c r="E376" s="784"/>
      <c r="F376" s="784"/>
      <c r="G376" s="785"/>
      <c r="H376" s="36"/>
      <c r="I376" s="1848"/>
      <c r="J376" s="147"/>
    </row>
    <row r="377" spans="1:10" s="32" customFormat="1" x14ac:dyDescent="0.2">
      <c r="A377" s="98"/>
      <c r="B377" s="34"/>
      <c r="C377" s="35"/>
      <c r="D377" s="784"/>
      <c r="E377" s="784"/>
      <c r="F377" s="784"/>
      <c r="G377" s="785"/>
      <c r="H377" s="36"/>
      <c r="I377" s="1848"/>
      <c r="J377" s="147"/>
    </row>
    <row r="378" spans="1:10" s="32" customFormat="1" x14ac:dyDescent="0.2">
      <c r="A378" s="98"/>
      <c r="B378" s="34"/>
      <c r="C378" s="35"/>
      <c r="D378" s="784"/>
      <c r="E378" s="784"/>
      <c r="F378" s="784"/>
      <c r="G378" s="785"/>
      <c r="H378" s="36"/>
      <c r="I378" s="1848"/>
      <c r="J378" s="147"/>
    </row>
    <row r="379" spans="1:10" s="32" customFormat="1" x14ac:dyDescent="0.2">
      <c r="A379" s="98"/>
      <c r="B379" s="34"/>
      <c r="C379" s="35"/>
      <c r="D379" s="784"/>
      <c r="E379" s="784"/>
      <c r="F379" s="784"/>
      <c r="G379" s="785"/>
      <c r="H379" s="36"/>
      <c r="I379" s="1848"/>
      <c r="J379" s="147"/>
    </row>
    <row r="380" spans="1:10" s="32" customFormat="1" x14ac:dyDescent="0.2">
      <c r="A380" s="98"/>
      <c r="B380" s="34"/>
      <c r="C380" s="35"/>
      <c r="D380" s="784"/>
      <c r="E380" s="784"/>
      <c r="F380" s="784"/>
      <c r="G380" s="785"/>
      <c r="H380" s="36"/>
      <c r="I380" s="1848"/>
      <c r="J380" s="147"/>
    </row>
    <row r="381" spans="1:10" s="32" customFormat="1" x14ac:dyDescent="0.2">
      <c r="A381" s="98"/>
      <c r="B381" s="34"/>
      <c r="C381" s="35"/>
      <c r="D381" s="784"/>
      <c r="E381" s="784"/>
      <c r="F381" s="784"/>
      <c r="G381" s="785"/>
      <c r="H381" s="36"/>
      <c r="I381" s="1848"/>
      <c r="J381" s="147"/>
    </row>
    <row r="382" spans="1:10" s="32" customFormat="1" x14ac:dyDescent="0.2">
      <c r="A382" s="98"/>
      <c r="B382" s="34"/>
      <c r="C382" s="35"/>
      <c r="D382" s="784"/>
      <c r="E382" s="784"/>
      <c r="F382" s="784"/>
      <c r="G382" s="785"/>
      <c r="H382" s="36"/>
      <c r="I382" s="1848"/>
      <c r="J382" s="147"/>
    </row>
    <row r="383" spans="1:10" s="32" customFormat="1" x14ac:dyDescent="0.2">
      <c r="A383" s="98"/>
      <c r="B383" s="34"/>
      <c r="C383" s="35"/>
      <c r="D383" s="784"/>
      <c r="E383" s="784"/>
      <c r="F383" s="784"/>
      <c r="G383" s="785"/>
      <c r="H383" s="36"/>
      <c r="I383" s="1848"/>
      <c r="J383" s="147"/>
    </row>
    <row r="384" spans="1:10" s="32" customFormat="1" x14ac:dyDescent="0.2">
      <c r="A384" s="98"/>
      <c r="B384" s="34"/>
      <c r="C384" s="35"/>
      <c r="D384" s="784"/>
      <c r="E384" s="784"/>
      <c r="F384" s="784"/>
      <c r="G384" s="785"/>
      <c r="H384" s="36"/>
      <c r="I384" s="1848"/>
      <c r="J384" s="147"/>
    </row>
    <row r="385" spans="1:10" s="32" customFormat="1" x14ac:dyDescent="0.2">
      <c r="A385" s="98"/>
      <c r="B385" s="34"/>
      <c r="C385" s="35"/>
      <c r="D385" s="784"/>
      <c r="E385" s="784"/>
      <c r="F385" s="784"/>
      <c r="G385" s="785"/>
      <c r="H385" s="36"/>
      <c r="I385" s="1848"/>
      <c r="J385" s="147"/>
    </row>
    <row r="386" spans="1:10" s="32" customFormat="1" x14ac:dyDescent="0.2">
      <c r="A386" s="98"/>
      <c r="B386" s="34"/>
      <c r="C386" s="35"/>
      <c r="D386" s="784"/>
      <c r="E386" s="784"/>
      <c r="F386" s="784"/>
      <c r="G386" s="785"/>
      <c r="H386" s="36"/>
      <c r="I386" s="1848"/>
      <c r="J386" s="147"/>
    </row>
    <row r="387" spans="1:10" s="32" customFormat="1" x14ac:dyDescent="0.2">
      <c r="A387" s="98"/>
      <c r="B387" s="34"/>
      <c r="C387" s="35"/>
      <c r="D387" s="784"/>
      <c r="E387" s="784"/>
      <c r="F387" s="784"/>
      <c r="G387" s="785"/>
      <c r="H387" s="36"/>
      <c r="I387" s="1848"/>
      <c r="J387" s="147"/>
    </row>
    <row r="388" spans="1:10" s="32" customFormat="1" x14ac:dyDescent="0.2">
      <c r="A388" s="98"/>
      <c r="B388" s="34"/>
      <c r="C388" s="35"/>
      <c r="D388" s="784"/>
      <c r="E388" s="784"/>
      <c r="F388" s="784"/>
      <c r="G388" s="785"/>
      <c r="H388" s="36"/>
      <c r="I388" s="1848"/>
      <c r="J388" s="147"/>
    </row>
    <row r="389" spans="1:10" s="32" customFormat="1" x14ac:dyDescent="0.2">
      <c r="A389" s="98"/>
      <c r="B389" s="34"/>
      <c r="C389" s="35"/>
      <c r="D389" s="784"/>
      <c r="E389" s="784"/>
      <c r="F389" s="784"/>
      <c r="G389" s="785"/>
      <c r="H389" s="36"/>
      <c r="I389" s="1848"/>
      <c r="J389" s="147"/>
    </row>
    <row r="390" spans="1:10" s="32" customFormat="1" x14ac:dyDescent="0.2">
      <c r="A390" s="98"/>
      <c r="B390" s="34"/>
      <c r="C390" s="35"/>
      <c r="D390" s="784"/>
      <c r="E390" s="784"/>
      <c r="F390" s="784"/>
      <c r="G390" s="785"/>
      <c r="H390" s="36"/>
      <c r="I390" s="1848"/>
      <c r="J390" s="147"/>
    </row>
    <row r="391" spans="1:10" s="32" customFormat="1" x14ac:dyDescent="0.2">
      <c r="A391" s="98"/>
      <c r="B391" s="34"/>
      <c r="C391" s="35"/>
      <c r="D391" s="784"/>
      <c r="E391" s="784"/>
      <c r="F391" s="784"/>
      <c r="G391" s="785"/>
      <c r="H391" s="36"/>
      <c r="I391" s="1848"/>
      <c r="J391" s="147"/>
    </row>
    <row r="392" spans="1:10" s="32" customFormat="1" x14ac:dyDescent="0.2">
      <c r="A392" s="98"/>
      <c r="B392" s="34"/>
      <c r="C392" s="35"/>
      <c r="D392" s="784"/>
      <c r="E392" s="784"/>
      <c r="F392" s="784"/>
      <c r="G392" s="785"/>
      <c r="H392" s="36"/>
      <c r="I392" s="1848"/>
      <c r="J392" s="147"/>
    </row>
    <row r="393" spans="1:10" s="32" customFormat="1" x14ac:dyDescent="0.2">
      <c r="A393" s="98"/>
      <c r="B393" s="34"/>
      <c r="C393" s="35"/>
      <c r="D393" s="784"/>
      <c r="E393" s="784"/>
      <c r="F393" s="784"/>
      <c r="G393" s="785"/>
      <c r="H393" s="36"/>
      <c r="I393" s="1848"/>
      <c r="J393" s="147"/>
    </row>
    <row r="394" spans="1:10" s="32" customFormat="1" x14ac:dyDescent="0.2">
      <c r="A394" s="98"/>
      <c r="B394" s="34"/>
      <c r="C394" s="35"/>
      <c r="D394" s="784"/>
      <c r="E394" s="784"/>
      <c r="F394" s="784"/>
      <c r="G394" s="785"/>
      <c r="H394" s="36"/>
      <c r="I394" s="1848"/>
      <c r="J394" s="147"/>
    </row>
    <row r="395" spans="1:10" s="32" customFormat="1" x14ac:dyDescent="0.2">
      <c r="A395" s="34"/>
      <c r="B395" s="34"/>
      <c r="D395" s="784"/>
      <c r="E395" s="784"/>
      <c r="F395" s="784"/>
      <c r="G395" s="785"/>
      <c r="H395" s="36"/>
      <c r="I395" s="1848"/>
      <c r="J395" s="147"/>
    </row>
    <row r="396" spans="1:10" s="32" customFormat="1" x14ac:dyDescent="0.2">
      <c r="A396" s="34"/>
      <c r="B396" s="34"/>
      <c r="D396" s="784"/>
      <c r="E396" s="784"/>
      <c r="F396" s="784"/>
      <c r="G396" s="785"/>
      <c r="H396" s="36"/>
      <c r="I396" s="1848"/>
      <c r="J396" s="147"/>
    </row>
    <row r="397" spans="1:10" s="32" customFormat="1" x14ac:dyDescent="0.2">
      <c r="A397" s="34"/>
      <c r="B397" s="34"/>
      <c r="D397" s="784"/>
      <c r="E397" s="784"/>
      <c r="F397" s="784"/>
      <c r="G397" s="785"/>
      <c r="H397" s="36"/>
      <c r="I397" s="1848"/>
      <c r="J397" s="147"/>
    </row>
    <row r="398" spans="1:10" s="32" customFormat="1" x14ac:dyDescent="0.2">
      <c r="A398" s="34"/>
      <c r="B398" s="34"/>
      <c r="D398" s="784"/>
      <c r="E398" s="784"/>
      <c r="F398" s="784"/>
      <c r="G398" s="785"/>
      <c r="H398" s="36"/>
      <c r="I398" s="1848"/>
      <c r="J398" s="147"/>
    </row>
    <row r="399" spans="1:10" s="32" customFormat="1" x14ac:dyDescent="0.2">
      <c r="A399" s="34"/>
      <c r="B399" s="34"/>
      <c r="D399" s="784"/>
      <c r="E399" s="784"/>
      <c r="F399" s="784"/>
      <c r="G399" s="785"/>
      <c r="H399" s="36"/>
      <c r="I399" s="1848"/>
      <c r="J399" s="147"/>
    </row>
    <row r="400" spans="1:10" s="32" customFormat="1" x14ac:dyDescent="0.2">
      <c r="A400" s="34"/>
      <c r="B400" s="34"/>
      <c r="D400" s="784"/>
      <c r="E400" s="784"/>
      <c r="F400" s="784"/>
      <c r="G400" s="785"/>
      <c r="H400" s="36"/>
      <c r="I400" s="1848"/>
      <c r="J400" s="147"/>
    </row>
    <row r="401" spans="1:10" s="32" customFormat="1" x14ac:dyDescent="0.2">
      <c r="A401" s="34"/>
      <c r="B401" s="34"/>
      <c r="D401" s="784"/>
      <c r="E401" s="784"/>
      <c r="F401" s="784"/>
      <c r="G401" s="785"/>
      <c r="H401" s="36"/>
      <c r="I401" s="1848"/>
      <c r="J401" s="147"/>
    </row>
    <row r="402" spans="1:10" s="32" customFormat="1" x14ac:dyDescent="0.2">
      <c r="A402" s="34"/>
      <c r="B402" s="34"/>
      <c r="D402" s="784"/>
      <c r="E402" s="784"/>
      <c r="F402" s="784"/>
      <c r="G402" s="785"/>
      <c r="H402" s="36"/>
      <c r="I402" s="1848"/>
      <c r="J402" s="147"/>
    </row>
    <row r="403" spans="1:10" s="32" customFormat="1" x14ac:dyDescent="0.2">
      <c r="A403" s="34"/>
      <c r="B403" s="34"/>
      <c r="D403" s="784"/>
      <c r="E403" s="784"/>
      <c r="F403" s="784"/>
      <c r="G403" s="785"/>
      <c r="H403" s="36"/>
      <c r="I403" s="1848"/>
      <c r="J403" s="147"/>
    </row>
    <row r="404" spans="1:10" s="32" customFormat="1" x14ac:dyDescent="0.2">
      <c r="A404" s="34"/>
      <c r="B404" s="34"/>
      <c r="D404" s="784"/>
      <c r="E404" s="784"/>
      <c r="F404" s="784"/>
      <c r="G404" s="785"/>
      <c r="H404" s="36"/>
      <c r="I404" s="1848"/>
      <c r="J404" s="147"/>
    </row>
    <row r="405" spans="1:10" s="32" customFormat="1" x14ac:dyDescent="0.2">
      <c r="A405" s="34"/>
      <c r="B405" s="34"/>
      <c r="D405" s="784"/>
      <c r="E405" s="784"/>
      <c r="F405" s="784"/>
      <c r="G405" s="785"/>
      <c r="H405" s="36"/>
      <c r="I405" s="1848"/>
      <c r="J405" s="147"/>
    </row>
    <row r="406" spans="1:10" s="32" customFormat="1" x14ac:dyDescent="0.2">
      <c r="A406" s="34"/>
      <c r="B406" s="34"/>
      <c r="D406" s="784"/>
      <c r="E406" s="784"/>
      <c r="F406" s="784"/>
      <c r="G406" s="785"/>
      <c r="H406" s="36"/>
      <c r="I406" s="1848"/>
      <c r="J406" s="147"/>
    </row>
    <row r="407" spans="1:10" s="32" customFormat="1" x14ac:dyDescent="0.2">
      <c r="A407" s="34"/>
      <c r="B407" s="34"/>
      <c r="D407" s="784"/>
      <c r="E407" s="784"/>
      <c r="F407" s="784"/>
      <c r="G407" s="785"/>
      <c r="H407" s="36"/>
      <c r="I407" s="1848"/>
      <c r="J407" s="147"/>
    </row>
    <row r="408" spans="1:10" s="32" customFormat="1" x14ac:dyDescent="0.2">
      <c r="A408" s="34"/>
      <c r="B408" s="34"/>
      <c r="D408" s="784"/>
      <c r="E408" s="784"/>
      <c r="F408" s="784"/>
      <c r="G408" s="785"/>
      <c r="H408" s="36"/>
      <c r="I408" s="1848"/>
      <c r="J408" s="147"/>
    </row>
    <row r="409" spans="1:10" s="32" customFormat="1" x14ac:dyDescent="0.2">
      <c r="A409" s="34"/>
      <c r="B409" s="34"/>
      <c r="D409" s="784"/>
      <c r="E409" s="784"/>
      <c r="F409" s="784"/>
      <c r="G409" s="785"/>
      <c r="H409" s="36"/>
      <c r="I409" s="1848"/>
      <c r="J409" s="147"/>
    </row>
    <row r="410" spans="1:10" s="32" customFormat="1" x14ac:dyDescent="0.2">
      <c r="A410" s="34"/>
      <c r="B410" s="34"/>
      <c r="D410" s="784"/>
      <c r="E410" s="784"/>
      <c r="F410" s="784"/>
      <c r="G410" s="785"/>
      <c r="H410" s="36"/>
      <c r="I410" s="1848"/>
      <c r="J410" s="147"/>
    </row>
    <row r="411" spans="1:10" s="32" customFormat="1" x14ac:dyDescent="0.2">
      <c r="A411" s="34"/>
      <c r="B411" s="34"/>
      <c r="D411" s="784"/>
      <c r="E411" s="784"/>
      <c r="F411" s="784"/>
      <c r="G411" s="785"/>
      <c r="H411" s="36"/>
      <c r="I411" s="1848"/>
      <c r="J411" s="147"/>
    </row>
    <row r="412" spans="1:10" s="32" customFormat="1" x14ac:dyDescent="0.2">
      <c r="A412" s="34"/>
      <c r="B412" s="34"/>
      <c r="D412" s="784"/>
      <c r="E412" s="784"/>
      <c r="F412" s="784"/>
      <c r="G412" s="785"/>
      <c r="H412" s="36"/>
      <c r="I412" s="1848"/>
      <c r="J412" s="147"/>
    </row>
    <row r="413" spans="1:10" s="32" customFormat="1" x14ac:dyDescent="0.2">
      <c r="A413" s="34"/>
      <c r="B413" s="34"/>
      <c r="D413" s="784"/>
      <c r="E413" s="784"/>
      <c r="F413" s="784"/>
      <c r="G413" s="785"/>
      <c r="H413" s="36"/>
      <c r="I413" s="1848"/>
      <c r="J413" s="147"/>
    </row>
    <row r="414" spans="1:10" s="32" customFormat="1" x14ac:dyDescent="0.2">
      <c r="A414" s="34"/>
      <c r="B414" s="34"/>
      <c r="D414" s="784"/>
      <c r="E414" s="784"/>
      <c r="F414" s="784"/>
      <c r="G414" s="785"/>
      <c r="H414" s="36"/>
      <c r="I414" s="1848"/>
      <c r="J414" s="147"/>
    </row>
    <row r="415" spans="1:10" s="32" customFormat="1" x14ac:dyDescent="0.2">
      <c r="A415" s="34"/>
      <c r="B415" s="34"/>
      <c r="D415" s="784"/>
      <c r="E415" s="784"/>
      <c r="F415" s="784"/>
      <c r="G415" s="785"/>
      <c r="H415" s="36"/>
      <c r="I415" s="1848"/>
      <c r="J415" s="147"/>
    </row>
    <row r="416" spans="1:10" s="32" customFormat="1" x14ac:dyDescent="0.2">
      <c r="A416" s="34"/>
      <c r="B416" s="34"/>
      <c r="D416" s="784"/>
      <c r="E416" s="784"/>
      <c r="F416" s="784"/>
      <c r="G416" s="785"/>
      <c r="H416" s="36"/>
      <c r="I416" s="1848"/>
      <c r="J416" s="147"/>
    </row>
    <row r="417" spans="1:10" s="32" customFormat="1" x14ac:dyDescent="0.2">
      <c r="A417" s="34"/>
      <c r="B417" s="34"/>
      <c r="D417" s="784"/>
      <c r="E417" s="784"/>
      <c r="F417" s="784"/>
      <c r="G417" s="785"/>
      <c r="H417" s="36"/>
      <c r="I417" s="1848"/>
      <c r="J417" s="147"/>
    </row>
    <row r="418" spans="1:10" s="32" customFormat="1" x14ac:dyDescent="0.2">
      <c r="A418" s="34"/>
      <c r="B418" s="34"/>
      <c r="D418" s="784"/>
      <c r="E418" s="784"/>
      <c r="F418" s="784"/>
      <c r="G418" s="785"/>
      <c r="H418" s="36"/>
      <c r="I418" s="1848"/>
      <c r="J418" s="147"/>
    </row>
    <row r="419" spans="1:10" s="32" customFormat="1" x14ac:dyDescent="0.2">
      <c r="A419" s="34"/>
      <c r="B419" s="34"/>
      <c r="D419" s="784"/>
      <c r="E419" s="784"/>
      <c r="F419" s="784"/>
      <c r="G419" s="785"/>
      <c r="H419" s="36"/>
      <c r="I419" s="1848"/>
      <c r="J419" s="147"/>
    </row>
    <row r="420" spans="1:10" s="32" customFormat="1" x14ac:dyDescent="0.2">
      <c r="A420" s="34"/>
      <c r="B420" s="34"/>
      <c r="D420" s="784"/>
      <c r="E420" s="784"/>
      <c r="F420" s="784"/>
      <c r="G420" s="785"/>
      <c r="H420" s="36"/>
      <c r="I420" s="1848"/>
      <c r="J420" s="147"/>
    </row>
    <row r="421" spans="1:10" s="32" customFormat="1" x14ac:dyDescent="0.2">
      <c r="A421" s="34"/>
      <c r="B421" s="34"/>
      <c r="D421" s="784"/>
      <c r="E421" s="784"/>
      <c r="F421" s="784"/>
      <c r="G421" s="785"/>
      <c r="H421" s="36"/>
      <c r="I421" s="1848"/>
      <c r="J421" s="147"/>
    </row>
    <row r="422" spans="1:10" s="32" customFormat="1" x14ac:dyDescent="0.2">
      <c r="A422" s="34"/>
      <c r="B422" s="34"/>
      <c r="D422" s="784"/>
      <c r="E422" s="784"/>
      <c r="F422" s="784"/>
      <c r="G422" s="785"/>
      <c r="H422" s="36"/>
      <c r="I422" s="1848"/>
      <c r="J422" s="147"/>
    </row>
    <row r="423" spans="1:10" s="32" customFormat="1" x14ac:dyDescent="0.2">
      <c r="A423" s="34"/>
      <c r="B423" s="34"/>
      <c r="D423" s="784"/>
      <c r="E423" s="784"/>
      <c r="F423" s="784"/>
      <c r="G423" s="785"/>
      <c r="H423" s="36"/>
      <c r="I423" s="1848"/>
      <c r="J423" s="147"/>
    </row>
    <row r="424" spans="1:10" s="32" customFormat="1" x14ac:dyDescent="0.2">
      <c r="A424" s="34"/>
      <c r="B424" s="34"/>
      <c r="D424" s="784"/>
      <c r="E424" s="784"/>
      <c r="F424" s="784"/>
      <c r="G424" s="785"/>
      <c r="H424" s="36"/>
      <c r="I424" s="1848"/>
      <c r="J424" s="147"/>
    </row>
    <row r="425" spans="1:10" s="32" customFormat="1" x14ac:dyDescent="0.2">
      <c r="A425" s="34"/>
      <c r="B425" s="34"/>
      <c r="D425" s="784"/>
      <c r="E425" s="784"/>
      <c r="F425" s="784"/>
      <c r="G425" s="785"/>
      <c r="H425" s="36"/>
      <c r="I425" s="1848"/>
      <c r="J425" s="147"/>
    </row>
    <row r="426" spans="1:10" s="32" customFormat="1" x14ac:dyDescent="0.2">
      <c r="A426" s="34"/>
      <c r="B426" s="34"/>
      <c r="D426" s="784"/>
      <c r="E426" s="784"/>
      <c r="F426" s="784"/>
      <c r="G426" s="785"/>
      <c r="H426" s="36"/>
      <c r="I426" s="1848"/>
      <c r="J426" s="147"/>
    </row>
    <row r="427" spans="1:10" s="32" customFormat="1" x14ac:dyDescent="0.2">
      <c r="A427" s="34"/>
      <c r="B427" s="34"/>
      <c r="D427" s="784"/>
      <c r="E427" s="784"/>
      <c r="F427" s="784"/>
      <c r="G427" s="785"/>
      <c r="H427" s="36"/>
      <c r="I427" s="1848"/>
      <c r="J427" s="147"/>
    </row>
    <row r="428" spans="1:10" s="32" customFormat="1" x14ac:dyDescent="0.2">
      <c r="A428" s="34"/>
      <c r="B428" s="34"/>
      <c r="D428" s="784"/>
      <c r="E428" s="784"/>
      <c r="F428" s="784"/>
      <c r="G428" s="785"/>
      <c r="H428" s="36"/>
      <c r="I428" s="1848"/>
      <c r="J428" s="147"/>
    </row>
    <row r="429" spans="1:10" s="32" customFormat="1" x14ac:dyDescent="0.2">
      <c r="A429" s="34"/>
      <c r="B429" s="34"/>
      <c r="D429" s="784"/>
      <c r="E429" s="784"/>
      <c r="F429" s="784"/>
      <c r="G429" s="785"/>
      <c r="H429" s="36"/>
      <c r="I429" s="1848"/>
      <c r="J429" s="147"/>
    </row>
    <row r="430" spans="1:10" s="32" customFormat="1" x14ac:dyDescent="0.2">
      <c r="A430" s="34"/>
      <c r="B430" s="34"/>
      <c r="D430" s="784"/>
      <c r="E430" s="784"/>
      <c r="F430" s="784"/>
      <c r="G430" s="785"/>
      <c r="H430" s="36"/>
      <c r="I430" s="1848"/>
      <c r="J430" s="147"/>
    </row>
    <row r="431" spans="1:10" s="32" customFormat="1" x14ac:dyDescent="0.2">
      <c r="A431" s="34"/>
      <c r="B431" s="34"/>
      <c r="D431" s="784"/>
      <c r="E431" s="784"/>
      <c r="F431" s="784"/>
      <c r="G431" s="785"/>
      <c r="H431" s="36"/>
      <c r="I431" s="1848"/>
      <c r="J431" s="147"/>
    </row>
    <row r="432" spans="1:10" s="32" customFormat="1" x14ac:dyDescent="0.2">
      <c r="A432" s="34"/>
      <c r="B432" s="34"/>
      <c r="D432" s="784"/>
      <c r="E432" s="784"/>
      <c r="F432" s="784"/>
      <c r="G432" s="785"/>
      <c r="H432" s="36"/>
      <c r="I432" s="1848"/>
      <c r="J432" s="147"/>
    </row>
    <row r="433" spans="1:10" s="32" customFormat="1" x14ac:dyDescent="0.2">
      <c r="A433" s="34"/>
      <c r="B433" s="34"/>
      <c r="D433" s="784"/>
      <c r="E433" s="784"/>
      <c r="F433" s="784"/>
      <c r="G433" s="785"/>
      <c r="H433" s="36"/>
      <c r="I433" s="1848"/>
      <c r="J433" s="147"/>
    </row>
    <row r="434" spans="1:10" s="32" customFormat="1" x14ac:dyDescent="0.2">
      <c r="A434" s="34"/>
      <c r="B434" s="34"/>
      <c r="D434" s="784"/>
      <c r="E434" s="784"/>
      <c r="F434" s="784"/>
      <c r="G434" s="785"/>
      <c r="H434" s="36"/>
      <c r="I434" s="1848"/>
      <c r="J434" s="147"/>
    </row>
    <row r="435" spans="1:10" s="32" customFormat="1" x14ac:dyDescent="0.2">
      <c r="A435" s="34"/>
      <c r="B435" s="34"/>
      <c r="D435" s="784"/>
      <c r="E435" s="784"/>
      <c r="F435" s="784"/>
      <c r="G435" s="785"/>
      <c r="H435" s="36"/>
      <c r="I435" s="1848"/>
      <c r="J435" s="147"/>
    </row>
    <row r="436" spans="1:10" s="32" customFormat="1" x14ac:dyDescent="0.2">
      <c r="A436" s="34"/>
      <c r="B436" s="34"/>
      <c r="D436" s="784"/>
      <c r="E436" s="784"/>
      <c r="F436" s="784"/>
      <c r="G436" s="785"/>
      <c r="H436" s="36"/>
      <c r="I436" s="1848"/>
      <c r="J436" s="147"/>
    </row>
    <row r="437" spans="1:10" s="32" customFormat="1" x14ac:dyDescent="0.2">
      <c r="A437" s="34"/>
      <c r="B437" s="34"/>
      <c r="D437" s="784"/>
      <c r="E437" s="784"/>
      <c r="F437" s="784"/>
      <c r="G437" s="785"/>
      <c r="H437" s="36"/>
      <c r="I437" s="1848"/>
      <c r="J437" s="147"/>
    </row>
    <row r="438" spans="1:10" s="32" customFormat="1" x14ac:dyDescent="0.2">
      <c r="A438" s="34"/>
      <c r="B438" s="34"/>
      <c r="D438" s="784"/>
      <c r="E438" s="784"/>
      <c r="F438" s="784"/>
      <c r="G438" s="785"/>
      <c r="H438" s="36"/>
      <c r="I438" s="1848"/>
      <c r="J438" s="147"/>
    </row>
    <row r="439" spans="1:10" s="32" customFormat="1" x14ac:dyDescent="0.2">
      <c r="A439" s="34"/>
      <c r="B439" s="34"/>
      <c r="D439" s="784"/>
      <c r="E439" s="784"/>
      <c r="F439" s="784"/>
      <c r="G439" s="785"/>
      <c r="H439" s="36"/>
      <c r="I439" s="1848"/>
      <c r="J439" s="147"/>
    </row>
    <row r="440" spans="1:10" s="32" customFormat="1" x14ac:dyDescent="0.2">
      <c r="A440" s="34"/>
      <c r="B440" s="34"/>
      <c r="D440" s="784"/>
      <c r="E440" s="784"/>
      <c r="F440" s="784"/>
      <c r="G440" s="785"/>
      <c r="H440" s="36"/>
      <c r="I440" s="1848"/>
      <c r="J440" s="147"/>
    </row>
    <row r="441" spans="1:10" s="32" customFormat="1" x14ac:dyDescent="0.2">
      <c r="A441" s="34"/>
      <c r="B441" s="34"/>
      <c r="D441" s="784"/>
      <c r="E441" s="784"/>
      <c r="F441" s="784"/>
      <c r="G441" s="785"/>
      <c r="H441" s="36"/>
      <c r="I441" s="1848"/>
      <c r="J441" s="147"/>
    </row>
    <row r="442" spans="1:10" s="32" customFormat="1" x14ac:dyDescent="0.2">
      <c r="A442" s="34"/>
      <c r="B442" s="34"/>
      <c r="D442" s="784"/>
      <c r="E442" s="784"/>
      <c r="F442" s="784"/>
      <c r="G442" s="785"/>
      <c r="H442" s="36"/>
      <c r="I442" s="1848"/>
      <c r="J442" s="147"/>
    </row>
    <row r="443" spans="1:10" s="32" customFormat="1" x14ac:dyDescent="0.2">
      <c r="A443" s="34"/>
      <c r="B443" s="34"/>
      <c r="D443" s="784"/>
      <c r="E443" s="784"/>
      <c r="F443" s="784"/>
      <c r="G443" s="785"/>
      <c r="H443" s="36"/>
      <c r="I443" s="1848"/>
      <c r="J443" s="147"/>
    </row>
    <row r="444" spans="1:10" s="32" customFormat="1" x14ac:dyDescent="0.2">
      <c r="A444" s="34"/>
      <c r="B444" s="34"/>
      <c r="D444" s="784"/>
      <c r="E444" s="784"/>
      <c r="F444" s="784"/>
      <c r="G444" s="785"/>
      <c r="H444" s="36"/>
      <c r="I444" s="1848"/>
      <c r="J444" s="147"/>
    </row>
    <row r="445" spans="1:10" s="32" customFormat="1" x14ac:dyDescent="0.2">
      <c r="A445" s="34"/>
      <c r="B445" s="34"/>
      <c r="D445" s="784"/>
      <c r="E445" s="784"/>
      <c r="F445" s="784"/>
      <c r="G445" s="785"/>
      <c r="H445" s="36"/>
      <c r="I445" s="1848"/>
      <c r="J445" s="147"/>
    </row>
    <row r="446" spans="1:10" s="32" customFormat="1" x14ac:dyDescent="0.2">
      <c r="A446" s="34"/>
      <c r="B446" s="34"/>
      <c r="D446" s="784"/>
      <c r="E446" s="784"/>
      <c r="F446" s="784"/>
      <c r="G446" s="785"/>
      <c r="H446" s="36"/>
      <c r="I446" s="1848"/>
      <c r="J446" s="147"/>
    </row>
    <row r="447" spans="1:10" s="32" customFormat="1" x14ac:dyDescent="0.2">
      <c r="A447" s="34"/>
      <c r="B447" s="34"/>
      <c r="D447" s="784"/>
      <c r="E447" s="784"/>
      <c r="F447" s="784"/>
      <c r="G447" s="785"/>
      <c r="H447" s="36"/>
      <c r="I447" s="1848"/>
      <c r="J447" s="147"/>
    </row>
    <row r="448" spans="1:10" s="32" customFormat="1" x14ac:dyDescent="0.2">
      <c r="A448" s="34"/>
      <c r="B448" s="34"/>
      <c r="D448" s="784"/>
      <c r="E448" s="784"/>
      <c r="F448" s="784"/>
      <c r="G448" s="785"/>
      <c r="H448" s="36"/>
      <c r="I448" s="1848"/>
      <c r="J448" s="147"/>
    </row>
    <row r="449" spans="1:10" s="32" customFormat="1" x14ac:dyDescent="0.2">
      <c r="A449" s="34"/>
      <c r="B449" s="34"/>
      <c r="D449" s="784"/>
      <c r="E449" s="784"/>
      <c r="F449" s="784"/>
      <c r="G449" s="785"/>
      <c r="H449" s="36"/>
      <c r="I449" s="1848"/>
      <c r="J449" s="147"/>
    </row>
    <row r="450" spans="1:10" s="32" customFormat="1" x14ac:dyDescent="0.2">
      <c r="A450" s="34"/>
      <c r="B450" s="34"/>
      <c r="D450" s="784"/>
      <c r="E450" s="784"/>
      <c r="F450" s="784"/>
      <c r="G450" s="785"/>
      <c r="H450" s="36"/>
      <c r="I450" s="1848"/>
      <c r="J450" s="147"/>
    </row>
    <row r="451" spans="1:10" s="32" customFormat="1" x14ac:dyDescent="0.2">
      <c r="A451" s="34"/>
      <c r="B451" s="34"/>
      <c r="D451" s="784"/>
      <c r="E451" s="784"/>
      <c r="F451" s="784"/>
      <c r="G451" s="785"/>
      <c r="H451" s="36"/>
      <c r="I451" s="1848"/>
      <c r="J451" s="147"/>
    </row>
    <row r="452" spans="1:10" s="32" customFormat="1" x14ac:dyDescent="0.2">
      <c r="A452" s="34"/>
      <c r="B452" s="34"/>
      <c r="D452" s="784"/>
      <c r="E452" s="784"/>
      <c r="F452" s="784"/>
      <c r="G452" s="785"/>
      <c r="H452" s="36"/>
      <c r="I452" s="1848"/>
      <c r="J452" s="147"/>
    </row>
    <row r="453" spans="1:10" s="32" customFormat="1" x14ac:dyDescent="0.2">
      <c r="A453" s="34"/>
      <c r="B453" s="34"/>
      <c r="D453" s="784"/>
      <c r="E453" s="784"/>
      <c r="F453" s="784"/>
      <c r="G453" s="785"/>
      <c r="H453" s="36"/>
      <c r="I453" s="1848"/>
      <c r="J453" s="147"/>
    </row>
    <row r="454" spans="1:10" s="32" customFormat="1" x14ac:dyDescent="0.2">
      <c r="A454" s="34"/>
      <c r="B454" s="34"/>
      <c r="D454" s="784"/>
      <c r="E454" s="784"/>
      <c r="F454" s="784"/>
      <c r="G454" s="785"/>
      <c r="H454" s="36"/>
      <c r="I454" s="1848"/>
      <c r="J454" s="147"/>
    </row>
    <row r="455" spans="1:10" s="32" customFormat="1" x14ac:dyDescent="0.2">
      <c r="A455" s="34"/>
      <c r="B455" s="34"/>
      <c r="D455" s="784"/>
      <c r="E455" s="784"/>
      <c r="F455" s="784"/>
      <c r="G455" s="785"/>
      <c r="H455" s="36"/>
      <c r="I455" s="1848"/>
      <c r="J455" s="147"/>
    </row>
    <row r="456" spans="1:10" s="32" customFormat="1" x14ac:dyDescent="0.2">
      <c r="A456" s="34"/>
      <c r="B456" s="34"/>
      <c r="D456" s="784"/>
      <c r="E456" s="784"/>
      <c r="F456" s="784"/>
      <c r="G456" s="785"/>
      <c r="H456" s="36"/>
      <c r="I456" s="1848"/>
      <c r="J456" s="147"/>
    </row>
    <row r="457" spans="1:10" s="32" customFormat="1" x14ac:dyDescent="0.2">
      <c r="A457" s="34"/>
      <c r="B457" s="34"/>
      <c r="D457" s="784"/>
      <c r="E457" s="784"/>
      <c r="F457" s="784"/>
      <c r="G457" s="785"/>
      <c r="H457" s="36"/>
      <c r="I457" s="1848"/>
      <c r="J457" s="147"/>
    </row>
    <row r="458" spans="1:10" s="32" customFormat="1" x14ac:dyDescent="0.2">
      <c r="A458" s="34"/>
      <c r="B458" s="34"/>
      <c r="D458" s="784"/>
      <c r="E458" s="784"/>
      <c r="F458" s="784"/>
      <c r="G458" s="785"/>
      <c r="H458" s="36"/>
      <c r="I458" s="1848"/>
      <c r="J458" s="147"/>
    </row>
    <row r="459" spans="1:10" s="32" customFormat="1" x14ac:dyDescent="0.2">
      <c r="A459" s="34"/>
      <c r="B459" s="34"/>
      <c r="D459" s="784"/>
      <c r="E459" s="784"/>
      <c r="F459" s="784"/>
      <c r="G459" s="785"/>
      <c r="H459" s="36"/>
      <c r="I459" s="1848"/>
      <c r="J459" s="147"/>
    </row>
    <row r="460" spans="1:10" s="32" customFormat="1" x14ac:dyDescent="0.2">
      <c r="A460" s="34"/>
      <c r="B460" s="34"/>
      <c r="D460" s="784"/>
      <c r="E460" s="784"/>
      <c r="F460" s="784"/>
      <c r="G460" s="785"/>
      <c r="H460" s="36"/>
      <c r="I460" s="1848"/>
      <c r="J460" s="147"/>
    </row>
    <row r="461" spans="1:10" s="32" customFormat="1" x14ac:dyDescent="0.2">
      <c r="A461" s="34"/>
      <c r="B461" s="34"/>
      <c r="D461" s="784"/>
      <c r="E461" s="784"/>
      <c r="F461" s="784"/>
      <c r="G461" s="785"/>
      <c r="H461" s="36"/>
      <c r="I461" s="1848"/>
      <c r="J461" s="147"/>
    </row>
    <row r="462" spans="1:10" s="32" customFormat="1" x14ac:dyDescent="0.2">
      <c r="A462" s="34"/>
      <c r="B462" s="34"/>
      <c r="D462" s="784"/>
      <c r="E462" s="784"/>
      <c r="F462" s="784"/>
      <c r="G462" s="785"/>
      <c r="H462" s="36"/>
      <c r="I462" s="1848"/>
      <c r="J462" s="147"/>
    </row>
    <row r="463" spans="1:10" s="32" customFormat="1" x14ac:dyDescent="0.2">
      <c r="A463" s="34"/>
      <c r="B463" s="34"/>
      <c r="D463" s="784"/>
      <c r="E463" s="784"/>
      <c r="F463" s="784"/>
      <c r="G463" s="785"/>
      <c r="H463" s="36"/>
      <c r="I463" s="1848"/>
      <c r="J463" s="147"/>
    </row>
    <row r="464" spans="1:10" s="32" customFormat="1" x14ac:dyDescent="0.2">
      <c r="A464" s="34"/>
      <c r="B464" s="34"/>
      <c r="D464" s="784"/>
      <c r="E464" s="784"/>
      <c r="F464" s="784"/>
      <c r="G464" s="785"/>
      <c r="H464" s="36"/>
      <c r="I464" s="1848"/>
      <c r="J464" s="147"/>
    </row>
    <row r="465" spans="1:10" s="32" customFormat="1" x14ac:dyDescent="0.2">
      <c r="A465" s="34"/>
      <c r="B465" s="34"/>
      <c r="D465" s="784"/>
      <c r="E465" s="784"/>
      <c r="F465" s="784"/>
      <c r="G465" s="785"/>
      <c r="H465" s="36"/>
      <c r="I465" s="1848"/>
      <c r="J465" s="147"/>
    </row>
    <row r="466" spans="1:10" s="32" customFormat="1" x14ac:dyDescent="0.2">
      <c r="A466" s="34"/>
      <c r="B466" s="34"/>
      <c r="D466" s="784"/>
      <c r="E466" s="784"/>
      <c r="F466" s="784"/>
      <c r="G466" s="785"/>
      <c r="H466" s="36"/>
      <c r="I466" s="1848"/>
      <c r="J466" s="147"/>
    </row>
    <row r="467" spans="1:10" s="32" customFormat="1" x14ac:dyDescent="0.2">
      <c r="A467" s="34"/>
      <c r="B467" s="34"/>
      <c r="D467" s="784"/>
      <c r="E467" s="784"/>
      <c r="F467" s="784"/>
      <c r="G467" s="785"/>
      <c r="H467" s="36"/>
      <c r="I467" s="1848"/>
      <c r="J467" s="147"/>
    </row>
    <row r="468" spans="1:10" s="32" customFormat="1" x14ac:dyDescent="0.2">
      <c r="A468" s="34"/>
      <c r="B468" s="34"/>
      <c r="D468" s="784"/>
      <c r="E468" s="784"/>
      <c r="F468" s="784"/>
      <c r="G468" s="785"/>
      <c r="H468" s="36"/>
      <c r="I468" s="1848"/>
      <c r="J468" s="147"/>
    </row>
    <row r="469" spans="1:10" s="32" customFormat="1" x14ac:dyDescent="0.2">
      <c r="A469" s="34"/>
      <c r="B469" s="34"/>
      <c r="D469" s="784"/>
      <c r="E469" s="784"/>
      <c r="F469" s="784"/>
      <c r="G469" s="785"/>
      <c r="H469" s="36"/>
      <c r="I469" s="1848"/>
      <c r="J469" s="147"/>
    </row>
    <row r="470" spans="1:10" s="32" customFormat="1" x14ac:dyDescent="0.2">
      <c r="A470" s="34"/>
      <c r="B470" s="34"/>
      <c r="D470" s="784"/>
      <c r="E470" s="784"/>
      <c r="F470" s="784"/>
      <c r="G470" s="785"/>
      <c r="H470" s="36"/>
      <c r="I470" s="1848"/>
      <c r="J470" s="147"/>
    </row>
    <row r="471" spans="1:10" s="32" customFormat="1" x14ac:dyDescent="0.2">
      <c r="A471" s="34"/>
      <c r="B471" s="34"/>
      <c r="D471" s="784"/>
      <c r="E471" s="784"/>
      <c r="F471" s="784"/>
      <c r="G471" s="785"/>
      <c r="H471" s="36"/>
      <c r="I471" s="1848"/>
      <c r="J471" s="147"/>
    </row>
    <row r="472" spans="1:10" s="32" customFormat="1" x14ac:dyDescent="0.2">
      <c r="A472" s="34"/>
      <c r="B472" s="34"/>
      <c r="D472" s="784"/>
      <c r="E472" s="784"/>
      <c r="F472" s="784"/>
      <c r="G472" s="785"/>
      <c r="H472" s="36"/>
      <c r="I472" s="1848"/>
      <c r="J472" s="147"/>
    </row>
    <row r="473" spans="1:10" s="32" customFormat="1" x14ac:dyDescent="0.2">
      <c r="A473" s="34"/>
      <c r="B473" s="34"/>
      <c r="D473" s="784"/>
      <c r="E473" s="784"/>
      <c r="F473" s="784"/>
      <c r="G473" s="785"/>
      <c r="H473" s="36"/>
      <c r="I473" s="1848"/>
      <c r="J473" s="147"/>
    </row>
    <row r="474" spans="1:10" s="32" customFormat="1" x14ac:dyDescent="0.2">
      <c r="A474" s="34"/>
      <c r="B474" s="34"/>
      <c r="D474" s="784"/>
      <c r="E474" s="784"/>
      <c r="F474" s="784"/>
      <c r="G474" s="785"/>
      <c r="H474" s="36"/>
      <c r="I474" s="1848"/>
      <c r="J474" s="147"/>
    </row>
    <row r="475" spans="1:10" s="32" customFormat="1" x14ac:dyDescent="0.2">
      <c r="A475" s="34"/>
      <c r="B475" s="34"/>
      <c r="D475" s="784"/>
      <c r="E475" s="784"/>
      <c r="F475" s="784"/>
      <c r="G475" s="785"/>
      <c r="H475" s="36"/>
      <c r="I475" s="1848"/>
      <c r="J475" s="147"/>
    </row>
    <row r="476" spans="1:10" s="32" customFormat="1" x14ac:dyDescent="0.2">
      <c r="A476" s="34"/>
      <c r="B476" s="34"/>
      <c r="D476" s="784"/>
      <c r="E476" s="784"/>
      <c r="F476" s="784"/>
      <c r="G476" s="785"/>
      <c r="H476" s="36"/>
      <c r="I476" s="1848"/>
      <c r="J476" s="147"/>
    </row>
    <row r="477" spans="1:10" s="32" customFormat="1" x14ac:dyDescent="0.2">
      <c r="A477" s="34"/>
      <c r="B477" s="34"/>
      <c r="D477" s="784"/>
      <c r="E477" s="784"/>
      <c r="F477" s="784"/>
      <c r="G477" s="785"/>
      <c r="H477" s="36"/>
      <c r="I477" s="1848"/>
      <c r="J477" s="147"/>
    </row>
    <row r="478" spans="1:10" s="32" customFormat="1" x14ac:dyDescent="0.2">
      <c r="A478" s="34"/>
      <c r="B478" s="34"/>
      <c r="D478" s="784"/>
      <c r="E478" s="784"/>
      <c r="F478" s="784"/>
      <c r="G478" s="785"/>
      <c r="H478" s="36"/>
      <c r="I478" s="1848"/>
      <c r="J478" s="147"/>
    </row>
    <row r="479" spans="1:10" s="32" customFormat="1" x14ac:dyDescent="0.2">
      <c r="A479" s="34"/>
      <c r="B479" s="34"/>
      <c r="D479" s="784"/>
      <c r="E479" s="784"/>
      <c r="F479" s="784"/>
      <c r="G479" s="785"/>
      <c r="H479" s="36"/>
      <c r="I479" s="1848"/>
      <c r="J479" s="147"/>
    </row>
    <row r="480" spans="1:10" s="32" customFormat="1" x14ac:dyDescent="0.2">
      <c r="A480" s="34"/>
      <c r="B480" s="34"/>
      <c r="D480" s="784"/>
      <c r="E480" s="784"/>
      <c r="F480" s="784"/>
      <c r="G480" s="785"/>
      <c r="H480" s="36"/>
      <c r="I480" s="1848"/>
      <c r="J480" s="147"/>
    </row>
    <row r="481" spans="1:10" s="32" customFormat="1" x14ac:dyDescent="0.2">
      <c r="A481" s="34"/>
      <c r="B481" s="34"/>
      <c r="D481" s="784"/>
      <c r="E481" s="784"/>
      <c r="F481" s="784"/>
      <c r="G481" s="785"/>
      <c r="H481" s="36"/>
      <c r="I481" s="1848"/>
      <c r="J481" s="147"/>
    </row>
    <row r="482" spans="1:10" s="32" customFormat="1" x14ac:dyDescent="0.2">
      <c r="A482" s="34"/>
      <c r="B482" s="34"/>
      <c r="D482" s="784"/>
      <c r="E482" s="784"/>
      <c r="F482" s="784"/>
      <c r="G482" s="785"/>
      <c r="H482" s="36"/>
      <c r="I482" s="1848"/>
      <c r="J482" s="147"/>
    </row>
    <row r="483" spans="1:10" s="32" customFormat="1" x14ac:dyDescent="0.2">
      <c r="A483" s="34"/>
      <c r="B483" s="34"/>
      <c r="D483" s="784"/>
      <c r="E483" s="784"/>
      <c r="F483" s="784"/>
      <c r="G483" s="785"/>
      <c r="H483" s="36"/>
      <c r="I483" s="1848"/>
      <c r="J483" s="147"/>
    </row>
    <row r="484" spans="1:10" s="32" customFormat="1" x14ac:dyDescent="0.2">
      <c r="A484" s="34"/>
      <c r="B484" s="34"/>
      <c r="D484" s="784"/>
      <c r="E484" s="784"/>
      <c r="F484" s="784"/>
      <c r="G484" s="785"/>
      <c r="H484" s="36"/>
      <c r="I484" s="1848"/>
      <c r="J484" s="147"/>
    </row>
    <row r="485" spans="1:10" s="32" customFormat="1" x14ac:dyDescent="0.2">
      <c r="A485" s="34"/>
      <c r="B485" s="34"/>
      <c r="D485" s="784"/>
      <c r="E485" s="784"/>
      <c r="F485" s="784"/>
      <c r="G485" s="785"/>
      <c r="H485" s="36"/>
      <c r="I485" s="1848"/>
      <c r="J485" s="147"/>
    </row>
    <row r="486" spans="1:10" s="32" customFormat="1" x14ac:dyDescent="0.2">
      <c r="A486" s="34"/>
      <c r="B486" s="34"/>
      <c r="D486" s="784"/>
      <c r="E486" s="784"/>
      <c r="F486" s="784"/>
      <c r="G486" s="785"/>
      <c r="H486" s="36"/>
      <c r="I486" s="1848"/>
      <c r="J486" s="147"/>
    </row>
    <row r="487" spans="1:10" s="32" customFormat="1" x14ac:dyDescent="0.2">
      <c r="A487" s="34"/>
      <c r="B487" s="34"/>
      <c r="D487" s="784"/>
      <c r="E487" s="784"/>
      <c r="F487" s="784"/>
      <c r="G487" s="785"/>
      <c r="H487" s="36"/>
      <c r="I487" s="1848"/>
      <c r="J487" s="147"/>
    </row>
    <row r="488" spans="1:10" s="32" customFormat="1" x14ac:dyDescent="0.2">
      <c r="A488" s="34"/>
      <c r="B488" s="34"/>
      <c r="D488" s="784"/>
      <c r="E488" s="784"/>
      <c r="F488" s="784"/>
      <c r="G488" s="785"/>
      <c r="H488" s="36"/>
      <c r="I488" s="1848"/>
      <c r="J488" s="147"/>
    </row>
    <row r="489" spans="1:10" s="32" customFormat="1" x14ac:dyDescent="0.2">
      <c r="A489" s="34"/>
      <c r="B489" s="34"/>
      <c r="D489" s="784"/>
      <c r="E489" s="784"/>
      <c r="F489" s="784"/>
      <c r="G489" s="785"/>
      <c r="H489" s="36"/>
      <c r="I489" s="1848"/>
      <c r="J489" s="147"/>
    </row>
    <row r="490" spans="1:10" s="32" customFormat="1" x14ac:dyDescent="0.2">
      <c r="A490" s="34"/>
      <c r="B490" s="34"/>
      <c r="D490" s="784"/>
      <c r="E490" s="784"/>
      <c r="F490" s="784"/>
      <c r="G490" s="785"/>
      <c r="H490" s="36"/>
      <c r="I490" s="1848"/>
      <c r="J490" s="147"/>
    </row>
    <row r="491" spans="1:10" s="32" customFormat="1" x14ac:dyDescent="0.2">
      <c r="A491" s="34"/>
      <c r="B491" s="34"/>
      <c r="D491" s="784"/>
      <c r="E491" s="784"/>
      <c r="F491" s="784"/>
      <c r="G491" s="785"/>
      <c r="H491" s="36"/>
      <c r="I491" s="1848"/>
      <c r="J491" s="147"/>
    </row>
    <row r="492" spans="1:10" s="32" customFormat="1" x14ac:dyDescent="0.2">
      <c r="A492" s="34"/>
      <c r="B492" s="34"/>
      <c r="D492" s="784"/>
      <c r="E492" s="784"/>
      <c r="F492" s="784"/>
      <c r="G492" s="785"/>
      <c r="H492" s="36"/>
      <c r="I492" s="1848"/>
      <c r="J492" s="147"/>
    </row>
    <row r="493" spans="1:10" s="32" customFormat="1" x14ac:dyDescent="0.2">
      <c r="A493" s="34"/>
      <c r="B493" s="34"/>
      <c r="D493" s="784"/>
      <c r="E493" s="784"/>
      <c r="F493" s="784"/>
      <c r="G493" s="785"/>
      <c r="H493" s="36"/>
      <c r="I493" s="1848"/>
      <c r="J493" s="147"/>
    </row>
    <row r="494" spans="1:10" s="32" customFormat="1" x14ac:dyDescent="0.2">
      <c r="A494" s="34"/>
      <c r="B494" s="34"/>
      <c r="D494" s="784"/>
      <c r="E494" s="784"/>
      <c r="F494" s="784"/>
      <c r="G494" s="785"/>
      <c r="H494" s="36"/>
      <c r="I494" s="1848"/>
      <c r="J494" s="147"/>
    </row>
    <row r="495" spans="1:10" s="32" customFormat="1" x14ac:dyDescent="0.2">
      <c r="A495" s="34"/>
      <c r="B495" s="34"/>
      <c r="D495" s="784"/>
      <c r="E495" s="784"/>
      <c r="F495" s="784"/>
      <c r="G495" s="785"/>
      <c r="H495" s="36"/>
      <c r="I495" s="1848"/>
      <c r="J495" s="147"/>
    </row>
    <row r="496" spans="1:10" s="32" customFormat="1" x14ac:dyDescent="0.2">
      <c r="A496" s="34"/>
      <c r="B496" s="34"/>
      <c r="D496" s="784"/>
      <c r="E496" s="784"/>
      <c r="F496" s="784"/>
      <c r="G496" s="785"/>
      <c r="H496" s="36"/>
      <c r="I496" s="1848"/>
      <c r="J496" s="147"/>
    </row>
    <row r="497" spans="1:10" s="32" customFormat="1" x14ac:dyDescent="0.2">
      <c r="A497" s="34"/>
      <c r="B497" s="34"/>
      <c r="D497" s="784"/>
      <c r="E497" s="784"/>
      <c r="F497" s="784"/>
      <c r="G497" s="785"/>
      <c r="H497" s="36"/>
      <c r="I497" s="1848"/>
      <c r="J497" s="147"/>
    </row>
    <row r="498" spans="1:10" s="32" customFormat="1" x14ac:dyDescent="0.2">
      <c r="A498" s="34"/>
      <c r="B498" s="34"/>
      <c r="D498" s="784"/>
      <c r="E498" s="784"/>
      <c r="F498" s="784"/>
      <c r="G498" s="785"/>
      <c r="H498" s="36"/>
      <c r="I498" s="1848"/>
      <c r="J498" s="147"/>
    </row>
    <row r="499" spans="1:10" s="32" customFormat="1" x14ac:dyDescent="0.2">
      <c r="A499" s="34"/>
      <c r="B499" s="34"/>
      <c r="D499" s="784"/>
      <c r="E499" s="784"/>
      <c r="F499" s="784"/>
      <c r="G499" s="785"/>
      <c r="H499" s="36"/>
      <c r="I499" s="1848"/>
      <c r="J499" s="147"/>
    </row>
    <row r="500" spans="1:10" s="32" customFormat="1" x14ac:dyDescent="0.2">
      <c r="A500" s="34"/>
      <c r="B500" s="34"/>
      <c r="D500" s="784"/>
      <c r="E500" s="784"/>
      <c r="F500" s="784"/>
      <c r="G500" s="785"/>
      <c r="H500" s="36"/>
      <c r="I500" s="1848"/>
      <c r="J500" s="147"/>
    </row>
    <row r="501" spans="1:10" s="32" customFormat="1" x14ac:dyDescent="0.2">
      <c r="A501" s="34"/>
      <c r="B501" s="34"/>
      <c r="D501" s="784"/>
      <c r="E501" s="784"/>
      <c r="F501" s="784"/>
      <c r="G501" s="785"/>
      <c r="H501" s="36"/>
      <c r="I501" s="1848"/>
      <c r="J501" s="147"/>
    </row>
    <row r="502" spans="1:10" s="32" customFormat="1" x14ac:dyDescent="0.2">
      <c r="A502" s="34"/>
      <c r="B502" s="34"/>
      <c r="D502" s="784"/>
      <c r="E502" s="784"/>
      <c r="F502" s="784"/>
      <c r="G502" s="785"/>
      <c r="H502" s="36"/>
      <c r="I502" s="1848"/>
      <c r="J502" s="147"/>
    </row>
    <row r="503" spans="1:10" s="32" customFormat="1" x14ac:dyDescent="0.2">
      <c r="A503" s="34"/>
      <c r="B503" s="34"/>
      <c r="D503" s="784"/>
      <c r="E503" s="784"/>
      <c r="F503" s="784"/>
      <c r="G503" s="785"/>
      <c r="H503" s="36"/>
      <c r="I503" s="1848"/>
      <c r="J503" s="147"/>
    </row>
    <row r="504" spans="1:10" s="32" customFormat="1" x14ac:dyDescent="0.2">
      <c r="A504" s="34"/>
      <c r="B504" s="34"/>
      <c r="D504" s="784"/>
      <c r="E504" s="784"/>
      <c r="F504" s="784"/>
      <c r="G504" s="785"/>
      <c r="H504" s="36"/>
      <c r="I504" s="1848"/>
      <c r="J504" s="147"/>
    </row>
    <row r="505" spans="1:10" s="32" customFormat="1" x14ac:dyDescent="0.2">
      <c r="A505" s="34"/>
      <c r="B505" s="34"/>
      <c r="D505" s="784"/>
      <c r="E505" s="784"/>
      <c r="F505" s="784"/>
      <c r="G505" s="785"/>
      <c r="H505" s="36"/>
      <c r="I505" s="1848"/>
      <c r="J505" s="147"/>
    </row>
    <row r="506" spans="1:10" s="32" customFormat="1" x14ac:dyDescent="0.2">
      <c r="A506" s="34"/>
      <c r="B506" s="34"/>
      <c r="D506" s="784"/>
      <c r="E506" s="784"/>
      <c r="F506" s="784"/>
      <c r="G506" s="785"/>
      <c r="H506" s="36"/>
      <c r="I506" s="1848"/>
      <c r="J506" s="147"/>
    </row>
    <row r="507" spans="1:10" s="32" customFormat="1" x14ac:dyDescent="0.2">
      <c r="A507" s="34"/>
      <c r="B507" s="34"/>
      <c r="D507" s="784"/>
      <c r="E507" s="784"/>
      <c r="F507" s="784"/>
      <c r="G507" s="785"/>
      <c r="H507" s="36"/>
      <c r="I507" s="1848"/>
      <c r="J507" s="147"/>
    </row>
    <row r="508" spans="1:10" s="32" customFormat="1" x14ac:dyDescent="0.2">
      <c r="A508" s="34"/>
      <c r="B508" s="34"/>
      <c r="D508" s="784"/>
      <c r="E508" s="784"/>
      <c r="F508" s="784"/>
      <c r="G508" s="785"/>
      <c r="H508" s="36"/>
      <c r="I508" s="1848"/>
      <c r="J508" s="147"/>
    </row>
    <row r="509" spans="1:10" s="32" customFormat="1" x14ac:dyDescent="0.2">
      <c r="A509" s="34"/>
      <c r="B509" s="34"/>
      <c r="D509" s="784"/>
      <c r="E509" s="784"/>
      <c r="F509" s="784"/>
      <c r="G509" s="785"/>
      <c r="H509" s="36"/>
      <c r="I509" s="1848"/>
      <c r="J509" s="147"/>
    </row>
    <row r="510" spans="1:10" s="32" customFormat="1" x14ac:dyDescent="0.2">
      <c r="A510" s="34"/>
      <c r="B510" s="34"/>
      <c r="D510" s="784"/>
      <c r="E510" s="784"/>
      <c r="F510" s="784"/>
      <c r="G510" s="785"/>
      <c r="H510" s="36"/>
      <c r="I510" s="1848"/>
      <c r="J510" s="147"/>
    </row>
    <row r="511" spans="1:10" s="32" customFormat="1" x14ac:dyDescent="0.2">
      <c r="A511" s="34"/>
      <c r="B511" s="34"/>
      <c r="D511" s="784"/>
      <c r="E511" s="784"/>
      <c r="F511" s="784"/>
      <c r="G511" s="785"/>
      <c r="H511" s="36"/>
      <c r="I511" s="1848"/>
      <c r="J511" s="147"/>
    </row>
    <row r="512" spans="1:10" s="32" customFormat="1" x14ac:dyDescent="0.2">
      <c r="A512" s="34"/>
      <c r="B512" s="34"/>
      <c r="D512" s="784"/>
      <c r="E512" s="784"/>
      <c r="F512" s="784"/>
      <c r="G512" s="785"/>
      <c r="H512" s="36"/>
      <c r="I512" s="1848"/>
      <c r="J512" s="147"/>
    </row>
    <row r="513" spans="1:10" s="32" customFormat="1" x14ac:dyDescent="0.2">
      <c r="A513" s="34"/>
      <c r="B513" s="34"/>
      <c r="D513" s="784"/>
      <c r="E513" s="784"/>
      <c r="F513" s="784"/>
      <c r="G513" s="785"/>
      <c r="H513" s="36"/>
      <c r="I513" s="1848"/>
      <c r="J513" s="147"/>
    </row>
    <row r="514" spans="1:10" s="32" customFormat="1" x14ac:dyDescent="0.2">
      <c r="A514" s="34"/>
      <c r="B514" s="34"/>
      <c r="D514" s="784"/>
      <c r="E514" s="784"/>
      <c r="F514" s="784"/>
      <c r="G514" s="785"/>
      <c r="H514" s="36"/>
      <c r="I514" s="1848"/>
      <c r="J514" s="147"/>
    </row>
    <row r="515" spans="1:10" s="32" customFormat="1" x14ac:dyDescent="0.2">
      <c r="A515" s="34"/>
      <c r="B515" s="34"/>
      <c r="D515" s="784"/>
      <c r="E515" s="784"/>
      <c r="F515" s="784"/>
      <c r="G515" s="785"/>
      <c r="H515" s="36"/>
      <c r="I515" s="1848"/>
      <c r="J515" s="147"/>
    </row>
    <row r="516" spans="1:10" s="32" customFormat="1" x14ac:dyDescent="0.2">
      <c r="A516" s="34"/>
      <c r="B516" s="34"/>
      <c r="D516" s="784"/>
      <c r="E516" s="784"/>
      <c r="F516" s="784"/>
      <c r="G516" s="785"/>
      <c r="H516" s="36"/>
      <c r="I516" s="1848"/>
      <c r="J516" s="147"/>
    </row>
    <row r="517" spans="1:10" s="32" customFormat="1" x14ac:dyDescent="0.2">
      <c r="A517" s="34"/>
      <c r="B517" s="34"/>
      <c r="D517" s="784"/>
      <c r="E517" s="784"/>
      <c r="F517" s="784"/>
      <c r="G517" s="785"/>
      <c r="H517" s="36"/>
      <c r="I517" s="1848"/>
      <c r="J517" s="147"/>
    </row>
    <row r="518" spans="1:10" s="32" customFormat="1" x14ac:dyDescent="0.2">
      <c r="A518" s="34"/>
      <c r="B518" s="34"/>
      <c r="D518" s="784"/>
      <c r="E518" s="784"/>
      <c r="F518" s="784"/>
      <c r="G518" s="785"/>
      <c r="H518" s="36"/>
      <c r="I518" s="1848"/>
      <c r="J518" s="147"/>
    </row>
    <row r="519" spans="1:10" s="32" customFormat="1" x14ac:dyDescent="0.2">
      <c r="A519" s="34"/>
      <c r="B519" s="34"/>
      <c r="D519" s="784"/>
      <c r="E519" s="784"/>
      <c r="F519" s="784"/>
      <c r="G519" s="785"/>
      <c r="H519" s="36"/>
      <c r="I519" s="1848"/>
      <c r="J519" s="147"/>
    </row>
    <row r="520" spans="1:10" s="32" customFormat="1" x14ac:dyDescent="0.2">
      <c r="A520" s="34"/>
      <c r="B520" s="34"/>
      <c r="D520" s="784"/>
      <c r="E520" s="784"/>
      <c r="F520" s="784"/>
      <c r="G520" s="785"/>
      <c r="H520" s="36"/>
      <c r="I520" s="1848"/>
      <c r="J520" s="147"/>
    </row>
    <row r="521" spans="1:10" s="32" customFormat="1" x14ac:dyDescent="0.2">
      <c r="A521" s="34"/>
      <c r="B521" s="34"/>
      <c r="D521" s="784"/>
      <c r="E521" s="784"/>
      <c r="F521" s="784"/>
      <c r="G521" s="785"/>
      <c r="H521" s="36"/>
      <c r="I521" s="1848"/>
      <c r="J521" s="147"/>
    </row>
    <row r="522" spans="1:10" s="32" customFormat="1" x14ac:dyDescent="0.2">
      <c r="A522" s="34"/>
      <c r="B522" s="34"/>
      <c r="D522" s="784"/>
      <c r="E522" s="784"/>
      <c r="F522" s="784"/>
      <c r="G522" s="785"/>
      <c r="H522" s="36"/>
      <c r="I522" s="1848"/>
      <c r="J522" s="147"/>
    </row>
    <row r="523" spans="1:10" s="32" customFormat="1" x14ac:dyDescent="0.2">
      <c r="A523" s="34"/>
      <c r="B523" s="34"/>
      <c r="D523" s="784"/>
      <c r="E523" s="784"/>
      <c r="F523" s="784"/>
      <c r="G523" s="785"/>
      <c r="H523" s="36"/>
      <c r="I523" s="1848"/>
      <c r="J523" s="147"/>
    </row>
    <row r="524" spans="1:10" s="32" customFormat="1" x14ac:dyDescent="0.2">
      <c r="A524" s="34"/>
      <c r="B524" s="34"/>
      <c r="D524" s="784"/>
      <c r="E524" s="784"/>
      <c r="F524" s="784"/>
      <c r="G524" s="785"/>
      <c r="H524" s="36"/>
      <c r="I524" s="1848"/>
      <c r="J524" s="147"/>
    </row>
    <row r="525" spans="1:10" s="32" customFormat="1" x14ac:dyDescent="0.2">
      <c r="A525" s="34"/>
      <c r="B525" s="34"/>
      <c r="D525" s="784"/>
      <c r="E525" s="784"/>
      <c r="F525" s="784"/>
      <c r="G525" s="785"/>
      <c r="H525" s="36"/>
      <c r="I525" s="1848"/>
      <c r="J525" s="147"/>
    </row>
    <row r="526" spans="1:10" s="32" customFormat="1" x14ac:dyDescent="0.2">
      <c r="A526" s="34"/>
      <c r="B526" s="34"/>
      <c r="D526" s="784"/>
      <c r="E526" s="784"/>
      <c r="F526" s="784"/>
      <c r="G526" s="785"/>
      <c r="H526" s="36"/>
      <c r="I526" s="1848"/>
      <c r="J526" s="147"/>
    </row>
    <row r="527" spans="1:10" s="32" customFormat="1" x14ac:dyDescent="0.2">
      <c r="A527" s="34"/>
      <c r="B527" s="34"/>
      <c r="D527" s="784"/>
      <c r="E527" s="784"/>
      <c r="F527" s="784"/>
      <c r="G527" s="785"/>
      <c r="H527" s="36"/>
      <c r="I527" s="1848"/>
      <c r="J527" s="147"/>
    </row>
    <row r="528" spans="1:10" s="32" customFormat="1" x14ac:dyDescent="0.2">
      <c r="A528" s="34"/>
      <c r="B528" s="34"/>
      <c r="D528" s="784"/>
      <c r="E528" s="784"/>
      <c r="F528" s="784"/>
      <c r="G528" s="785"/>
      <c r="H528" s="36"/>
      <c r="I528" s="1848"/>
      <c r="J528" s="147"/>
    </row>
    <row r="529" spans="1:10" s="32" customFormat="1" x14ac:dyDescent="0.2">
      <c r="A529" s="34"/>
      <c r="B529" s="34"/>
      <c r="D529" s="784"/>
      <c r="E529" s="784"/>
      <c r="F529" s="784"/>
      <c r="G529" s="785"/>
      <c r="H529" s="36"/>
      <c r="I529" s="1848"/>
      <c r="J529" s="147"/>
    </row>
    <row r="530" spans="1:10" s="32" customFormat="1" x14ac:dyDescent="0.2">
      <c r="A530" s="34"/>
      <c r="B530" s="34"/>
      <c r="D530" s="784"/>
      <c r="E530" s="784"/>
      <c r="F530" s="784"/>
      <c r="G530" s="785"/>
      <c r="H530" s="36"/>
      <c r="I530" s="1848"/>
      <c r="J530" s="147"/>
    </row>
    <row r="531" spans="1:10" s="32" customFormat="1" x14ac:dyDescent="0.2">
      <c r="A531" s="34"/>
      <c r="B531" s="34"/>
      <c r="D531" s="784"/>
      <c r="E531" s="784"/>
      <c r="F531" s="784"/>
      <c r="G531" s="785"/>
      <c r="H531" s="36"/>
      <c r="I531" s="1848"/>
      <c r="J531" s="147"/>
    </row>
    <row r="532" spans="1:10" s="32" customFormat="1" x14ac:dyDescent="0.2">
      <c r="A532" s="34"/>
      <c r="B532" s="34"/>
      <c r="D532" s="784"/>
      <c r="E532" s="784"/>
      <c r="F532" s="784"/>
      <c r="G532" s="785"/>
      <c r="H532" s="36"/>
      <c r="I532" s="1848"/>
      <c r="J532" s="147"/>
    </row>
    <row r="533" spans="1:10" s="32" customFormat="1" x14ac:dyDescent="0.2">
      <c r="A533" s="34"/>
      <c r="B533" s="34"/>
      <c r="D533" s="784"/>
      <c r="E533" s="784"/>
      <c r="F533" s="784"/>
      <c r="G533" s="785"/>
      <c r="H533" s="36"/>
      <c r="I533" s="1848"/>
      <c r="J533" s="147"/>
    </row>
    <row r="534" spans="1:10" s="32" customFormat="1" x14ac:dyDescent="0.2">
      <c r="A534" s="34"/>
      <c r="B534" s="34"/>
      <c r="D534" s="784"/>
      <c r="E534" s="784"/>
      <c r="F534" s="784"/>
      <c r="G534" s="785"/>
      <c r="H534" s="36"/>
      <c r="I534" s="1848"/>
      <c r="J534" s="147"/>
    </row>
    <row r="535" spans="1:10" s="32" customFormat="1" x14ac:dyDescent="0.2">
      <c r="A535" s="34"/>
      <c r="B535" s="34"/>
      <c r="D535" s="784"/>
      <c r="E535" s="784"/>
      <c r="F535" s="784"/>
      <c r="G535" s="785"/>
      <c r="H535" s="36"/>
      <c r="I535" s="1848"/>
      <c r="J535" s="147"/>
    </row>
    <row r="536" spans="1:10" s="32" customFormat="1" x14ac:dyDescent="0.2">
      <c r="A536" s="34"/>
      <c r="B536" s="34"/>
      <c r="D536" s="784"/>
      <c r="E536" s="784"/>
      <c r="F536" s="784"/>
      <c r="G536" s="785"/>
      <c r="H536" s="36"/>
      <c r="I536" s="1848"/>
      <c r="J536" s="147"/>
    </row>
    <row r="537" spans="1:10" s="32" customFormat="1" x14ac:dyDescent="0.2">
      <c r="A537" s="34"/>
      <c r="B537" s="34"/>
      <c r="D537" s="784"/>
      <c r="E537" s="784"/>
      <c r="F537" s="784"/>
      <c r="G537" s="785"/>
      <c r="H537" s="36"/>
      <c r="I537" s="1848"/>
      <c r="J537" s="147"/>
    </row>
    <row r="538" spans="1:10" s="32" customFormat="1" x14ac:dyDescent="0.2">
      <c r="A538" s="34"/>
      <c r="B538" s="34"/>
      <c r="D538" s="784"/>
      <c r="E538" s="784"/>
      <c r="F538" s="784"/>
      <c r="G538" s="785"/>
      <c r="H538" s="36"/>
      <c r="I538" s="1848"/>
      <c r="J538" s="147"/>
    </row>
    <row r="539" spans="1:10" s="32" customFormat="1" x14ac:dyDescent="0.2">
      <c r="A539" s="34"/>
      <c r="B539" s="34"/>
      <c r="D539" s="784"/>
      <c r="E539" s="784"/>
      <c r="F539" s="784"/>
      <c r="G539" s="785"/>
      <c r="H539" s="36"/>
      <c r="I539" s="1848"/>
      <c r="J539" s="147"/>
    </row>
    <row r="540" spans="1:10" s="32" customFormat="1" x14ac:dyDescent="0.2">
      <c r="A540" s="34"/>
      <c r="B540" s="34"/>
      <c r="D540" s="784"/>
      <c r="E540" s="784"/>
      <c r="F540" s="784"/>
      <c r="G540" s="785"/>
      <c r="H540" s="36"/>
      <c r="I540" s="1848"/>
      <c r="J540" s="147"/>
    </row>
    <row r="541" spans="1:10" s="32" customFormat="1" x14ac:dyDescent="0.2">
      <c r="A541" s="34"/>
      <c r="B541" s="34"/>
      <c r="D541" s="784"/>
      <c r="E541" s="784"/>
      <c r="F541" s="784"/>
      <c r="G541" s="785"/>
      <c r="H541" s="36"/>
      <c r="I541" s="1848"/>
      <c r="J541" s="147"/>
    </row>
    <row r="542" spans="1:10" s="32" customFormat="1" x14ac:dyDescent="0.2">
      <c r="A542" s="34"/>
      <c r="B542" s="34"/>
      <c r="D542" s="784"/>
      <c r="E542" s="784"/>
      <c r="F542" s="784"/>
      <c r="G542" s="785"/>
      <c r="H542" s="36"/>
      <c r="I542" s="1848"/>
      <c r="J542" s="147"/>
    </row>
    <row r="543" spans="1:10" s="32" customFormat="1" x14ac:dyDescent="0.2">
      <c r="A543" s="34"/>
      <c r="B543" s="34"/>
      <c r="D543" s="784"/>
      <c r="E543" s="784"/>
      <c r="F543" s="784"/>
      <c r="G543" s="785"/>
      <c r="H543" s="36"/>
      <c r="I543" s="1848"/>
      <c r="J543" s="147"/>
    </row>
    <row r="544" spans="1:10" s="32" customFormat="1" x14ac:dyDescent="0.2">
      <c r="A544" s="34"/>
      <c r="B544" s="34"/>
      <c r="D544" s="784"/>
      <c r="E544" s="784"/>
      <c r="F544" s="784"/>
      <c r="G544" s="785"/>
      <c r="H544" s="36"/>
      <c r="I544" s="1848"/>
      <c r="J544" s="147"/>
    </row>
    <row r="545" spans="1:10" s="32" customFormat="1" x14ac:dyDescent="0.2">
      <c r="A545" s="34"/>
      <c r="B545" s="34"/>
      <c r="D545" s="784"/>
      <c r="E545" s="784"/>
      <c r="F545" s="784"/>
      <c r="G545" s="785"/>
      <c r="H545" s="36"/>
      <c r="I545" s="1848"/>
      <c r="J545" s="147"/>
    </row>
    <row r="546" spans="1:10" s="32" customFormat="1" x14ac:dyDescent="0.2">
      <c r="A546" s="34"/>
      <c r="B546" s="34"/>
      <c r="D546" s="784"/>
      <c r="E546" s="784"/>
      <c r="F546" s="784"/>
      <c r="G546" s="785"/>
      <c r="H546" s="36"/>
      <c r="I546" s="1848"/>
      <c r="J546" s="147"/>
    </row>
    <row r="547" spans="1:10" s="32" customFormat="1" x14ac:dyDescent="0.2">
      <c r="A547" s="34"/>
      <c r="B547" s="34"/>
      <c r="D547" s="784"/>
      <c r="E547" s="784"/>
      <c r="F547" s="784"/>
      <c r="G547" s="785"/>
      <c r="H547" s="36"/>
      <c r="I547" s="1848"/>
      <c r="J547" s="147"/>
    </row>
    <row r="548" spans="1:10" s="32" customFormat="1" x14ac:dyDescent="0.2">
      <c r="A548" s="34"/>
      <c r="B548" s="34"/>
      <c r="D548" s="784"/>
      <c r="E548" s="784"/>
      <c r="F548" s="784"/>
      <c r="G548" s="785"/>
      <c r="H548" s="36"/>
      <c r="I548" s="1848"/>
      <c r="J548" s="147"/>
    </row>
    <row r="549" spans="1:10" s="32" customFormat="1" x14ac:dyDescent="0.2">
      <c r="A549" s="34"/>
      <c r="B549" s="34"/>
      <c r="D549" s="784"/>
      <c r="E549" s="784"/>
      <c r="F549" s="784"/>
      <c r="G549" s="785"/>
      <c r="H549" s="36"/>
      <c r="I549" s="1848"/>
      <c r="J549" s="147"/>
    </row>
    <row r="550" spans="1:10" s="32" customFormat="1" x14ac:dyDescent="0.2">
      <c r="A550" s="34"/>
      <c r="B550" s="34"/>
      <c r="D550" s="784"/>
      <c r="E550" s="784"/>
      <c r="F550" s="784"/>
      <c r="G550" s="785"/>
      <c r="H550" s="36"/>
      <c r="I550" s="1848"/>
      <c r="J550" s="147"/>
    </row>
    <row r="551" spans="1:10" s="32" customFormat="1" x14ac:dyDescent="0.2">
      <c r="A551" s="34"/>
      <c r="B551" s="34"/>
      <c r="D551" s="784"/>
      <c r="E551" s="784"/>
      <c r="F551" s="784"/>
      <c r="G551" s="785"/>
      <c r="H551" s="36"/>
      <c r="I551" s="1848"/>
      <c r="J551" s="147"/>
    </row>
    <row r="552" spans="1:10" s="32" customFormat="1" x14ac:dyDescent="0.2">
      <c r="A552" s="34"/>
      <c r="B552" s="34"/>
      <c r="D552" s="784"/>
      <c r="E552" s="784"/>
      <c r="F552" s="784"/>
      <c r="G552" s="785"/>
      <c r="H552" s="36"/>
      <c r="I552" s="1848"/>
      <c r="J552" s="147"/>
    </row>
    <row r="553" spans="1:10" s="32" customFormat="1" x14ac:dyDescent="0.2">
      <c r="A553" s="34"/>
      <c r="B553" s="34"/>
      <c r="D553" s="784"/>
      <c r="E553" s="784"/>
      <c r="F553" s="784"/>
      <c r="G553" s="785"/>
      <c r="H553" s="36"/>
      <c r="I553" s="1848"/>
      <c r="J553" s="147"/>
    </row>
    <row r="554" spans="1:10" s="32" customFormat="1" x14ac:dyDescent="0.2">
      <c r="A554" s="34"/>
      <c r="B554" s="34"/>
      <c r="D554" s="784"/>
      <c r="E554" s="784"/>
      <c r="F554" s="784"/>
      <c r="G554" s="785"/>
      <c r="H554" s="36"/>
      <c r="I554" s="1848"/>
      <c r="J554" s="147"/>
    </row>
    <row r="555" spans="1:10" s="32" customFormat="1" x14ac:dyDescent="0.2">
      <c r="A555" s="34"/>
      <c r="B555" s="34"/>
      <c r="D555" s="784"/>
      <c r="E555" s="784"/>
      <c r="F555" s="784"/>
      <c r="G555" s="785"/>
      <c r="H555" s="36"/>
      <c r="I555" s="1848"/>
      <c r="J555" s="147"/>
    </row>
    <row r="556" spans="1:10" s="32" customFormat="1" x14ac:dyDescent="0.2">
      <c r="A556" s="34"/>
      <c r="B556" s="34"/>
      <c r="D556" s="784"/>
      <c r="E556" s="784"/>
      <c r="F556" s="784"/>
      <c r="G556" s="785"/>
      <c r="H556" s="36"/>
      <c r="I556" s="1848"/>
      <c r="J556" s="147"/>
    </row>
    <row r="557" spans="1:10" s="32" customFormat="1" x14ac:dyDescent="0.2">
      <c r="A557" s="34"/>
      <c r="B557" s="34"/>
      <c r="D557" s="784"/>
      <c r="E557" s="784"/>
      <c r="F557" s="784"/>
      <c r="G557" s="785"/>
      <c r="H557" s="36"/>
      <c r="I557" s="1848"/>
      <c r="J557" s="147"/>
    </row>
    <row r="558" spans="1:10" s="32" customFormat="1" x14ac:dyDescent="0.2">
      <c r="A558" s="34"/>
      <c r="B558" s="34"/>
      <c r="D558" s="784"/>
      <c r="E558" s="784"/>
      <c r="F558" s="784"/>
      <c r="G558" s="785"/>
      <c r="H558" s="36"/>
      <c r="I558" s="1848"/>
      <c r="J558" s="147"/>
    </row>
    <row r="559" spans="1:10" s="32" customFormat="1" x14ac:dyDescent="0.2">
      <c r="A559" s="34"/>
      <c r="B559" s="34"/>
      <c r="D559" s="784"/>
      <c r="E559" s="784"/>
      <c r="F559" s="784"/>
      <c r="G559" s="785"/>
      <c r="H559" s="36"/>
      <c r="I559" s="1848"/>
      <c r="J559" s="147"/>
    </row>
    <row r="560" spans="1:10" s="32" customFormat="1" x14ac:dyDescent="0.2">
      <c r="A560" s="34"/>
      <c r="B560" s="34"/>
      <c r="D560" s="784"/>
      <c r="E560" s="784"/>
      <c r="F560" s="784"/>
      <c r="G560" s="785"/>
      <c r="H560" s="36"/>
      <c r="I560" s="1848"/>
      <c r="J560" s="147"/>
    </row>
    <row r="561" spans="1:10" s="32" customFormat="1" x14ac:dyDescent="0.2">
      <c r="A561" s="34"/>
      <c r="B561" s="34"/>
      <c r="D561" s="784"/>
      <c r="E561" s="784"/>
      <c r="F561" s="784"/>
      <c r="G561" s="785"/>
      <c r="H561" s="36"/>
      <c r="I561" s="1848"/>
      <c r="J561" s="147"/>
    </row>
    <row r="562" spans="1:10" s="32" customFormat="1" x14ac:dyDescent="0.2">
      <c r="A562" s="34"/>
      <c r="B562" s="34"/>
      <c r="D562" s="784"/>
      <c r="E562" s="784"/>
      <c r="F562" s="784"/>
      <c r="G562" s="785"/>
      <c r="H562" s="36"/>
      <c r="I562" s="1848"/>
      <c r="J562" s="147"/>
    </row>
    <row r="563" spans="1:10" s="32" customFormat="1" x14ac:dyDescent="0.2">
      <c r="A563" s="34"/>
      <c r="B563" s="34"/>
      <c r="D563" s="784"/>
      <c r="E563" s="784"/>
      <c r="F563" s="784"/>
      <c r="G563" s="785"/>
      <c r="H563" s="36"/>
      <c r="I563" s="1848"/>
      <c r="J563" s="147"/>
    </row>
    <row r="564" spans="1:10" s="32" customFormat="1" x14ac:dyDescent="0.2">
      <c r="A564" s="34"/>
      <c r="B564" s="34"/>
      <c r="D564" s="784"/>
      <c r="E564" s="784"/>
      <c r="F564" s="784"/>
      <c r="G564" s="785"/>
      <c r="H564" s="36"/>
      <c r="I564" s="1848"/>
      <c r="J564" s="147"/>
    </row>
    <row r="565" spans="1:10" s="32" customFormat="1" x14ac:dyDescent="0.2">
      <c r="A565" s="34"/>
      <c r="B565" s="34"/>
      <c r="D565" s="784"/>
      <c r="E565" s="784"/>
      <c r="F565" s="784"/>
      <c r="G565" s="785"/>
      <c r="H565" s="36"/>
      <c r="I565" s="1848"/>
      <c r="J565" s="147"/>
    </row>
    <row r="566" spans="1:10" s="32" customFormat="1" x14ac:dyDescent="0.2">
      <c r="A566" s="34"/>
      <c r="B566" s="34"/>
      <c r="D566" s="784"/>
      <c r="E566" s="784"/>
      <c r="F566" s="784"/>
      <c r="G566" s="785"/>
      <c r="H566" s="36"/>
      <c r="I566" s="1848"/>
      <c r="J566" s="147"/>
    </row>
    <row r="567" spans="1:10" s="32" customFormat="1" x14ac:dyDescent="0.2">
      <c r="A567" s="34"/>
      <c r="B567" s="34"/>
      <c r="D567" s="784"/>
      <c r="E567" s="784"/>
      <c r="F567" s="784"/>
      <c r="G567" s="785"/>
      <c r="H567" s="36"/>
      <c r="I567" s="1848"/>
      <c r="J567" s="147"/>
    </row>
    <row r="568" spans="1:10" s="32" customFormat="1" x14ac:dyDescent="0.2">
      <c r="A568" s="34"/>
      <c r="B568" s="34"/>
      <c r="D568" s="784"/>
      <c r="E568" s="784"/>
      <c r="F568" s="784"/>
      <c r="G568" s="785"/>
      <c r="H568" s="36"/>
      <c r="I568" s="1848"/>
      <c r="J568" s="147"/>
    </row>
    <row r="569" spans="1:10" s="32" customFormat="1" x14ac:dyDescent="0.2">
      <c r="A569" s="34"/>
      <c r="B569" s="34"/>
      <c r="D569" s="784"/>
      <c r="E569" s="784"/>
      <c r="F569" s="784"/>
      <c r="G569" s="785"/>
      <c r="H569" s="36"/>
      <c r="I569" s="1848"/>
      <c r="J569" s="147"/>
    </row>
    <row r="570" spans="1:10" s="32" customFormat="1" x14ac:dyDescent="0.2">
      <c r="A570" s="34"/>
      <c r="B570" s="34"/>
      <c r="D570" s="784"/>
      <c r="E570" s="784"/>
      <c r="F570" s="784"/>
      <c r="G570" s="785"/>
      <c r="H570" s="36"/>
      <c r="I570" s="1848"/>
      <c r="J570" s="147"/>
    </row>
    <row r="571" spans="1:10" s="32" customFormat="1" x14ac:dyDescent="0.2">
      <c r="A571" s="34"/>
      <c r="B571" s="34"/>
      <c r="D571" s="784"/>
      <c r="E571" s="784"/>
      <c r="F571" s="784"/>
      <c r="G571" s="785"/>
      <c r="H571" s="36"/>
      <c r="I571" s="1848"/>
      <c r="J571" s="147"/>
    </row>
    <row r="572" spans="1:10" s="32" customFormat="1" x14ac:dyDescent="0.2">
      <c r="A572" s="34"/>
      <c r="B572" s="34"/>
      <c r="D572" s="784"/>
      <c r="E572" s="784"/>
      <c r="F572" s="784"/>
      <c r="G572" s="785"/>
      <c r="H572" s="36"/>
      <c r="I572" s="1848"/>
      <c r="J572" s="147"/>
    </row>
    <row r="573" spans="1:10" s="32" customFormat="1" x14ac:dyDescent="0.2">
      <c r="A573" s="34"/>
      <c r="B573" s="34"/>
      <c r="D573" s="784"/>
      <c r="E573" s="784"/>
      <c r="F573" s="784"/>
      <c r="G573" s="785"/>
      <c r="H573" s="36"/>
      <c r="I573" s="1848"/>
      <c r="J573" s="147"/>
    </row>
    <row r="574" spans="1:10" s="32" customFormat="1" x14ac:dyDescent="0.2">
      <c r="A574" s="34"/>
      <c r="B574" s="34"/>
      <c r="D574" s="784"/>
      <c r="E574" s="784"/>
      <c r="F574" s="784"/>
      <c r="G574" s="785"/>
      <c r="H574" s="36"/>
      <c r="I574" s="1848"/>
      <c r="J574" s="147"/>
    </row>
    <row r="575" spans="1:10" s="32" customFormat="1" x14ac:dyDescent="0.2">
      <c r="A575" s="34"/>
      <c r="B575" s="34"/>
      <c r="D575" s="784"/>
      <c r="E575" s="784"/>
      <c r="F575" s="784"/>
      <c r="G575" s="785"/>
      <c r="H575" s="36"/>
      <c r="I575" s="1848"/>
      <c r="J575" s="147"/>
    </row>
    <row r="576" spans="1:10" s="32" customFormat="1" x14ac:dyDescent="0.2">
      <c r="A576" s="34"/>
      <c r="B576" s="34"/>
      <c r="D576" s="784"/>
      <c r="E576" s="784"/>
      <c r="F576" s="784"/>
      <c r="G576" s="785"/>
      <c r="H576" s="36"/>
      <c r="I576" s="1848"/>
      <c r="J576" s="147"/>
    </row>
    <row r="577" spans="1:10" s="32" customFormat="1" x14ac:dyDescent="0.2">
      <c r="A577" s="34"/>
      <c r="B577" s="34"/>
      <c r="D577" s="784"/>
      <c r="E577" s="784"/>
      <c r="F577" s="784"/>
      <c r="G577" s="785"/>
      <c r="H577" s="36"/>
      <c r="I577" s="1848"/>
      <c r="J577" s="147"/>
    </row>
    <row r="578" spans="1:10" s="32" customFormat="1" x14ac:dyDescent="0.2">
      <c r="A578" s="34"/>
      <c r="B578" s="34"/>
      <c r="D578" s="784"/>
      <c r="E578" s="784"/>
      <c r="F578" s="784"/>
      <c r="G578" s="785"/>
      <c r="H578" s="36"/>
      <c r="I578" s="1848"/>
      <c r="J578" s="147"/>
    </row>
    <row r="579" spans="1:10" s="32" customFormat="1" x14ac:dyDescent="0.2">
      <c r="A579" s="34"/>
      <c r="B579" s="34"/>
      <c r="D579" s="784"/>
      <c r="E579" s="784"/>
      <c r="F579" s="784"/>
      <c r="G579" s="785"/>
      <c r="H579" s="36"/>
      <c r="I579" s="1848"/>
      <c r="J579" s="147"/>
    </row>
    <row r="580" spans="1:10" s="32" customFormat="1" x14ac:dyDescent="0.2">
      <c r="A580" s="34"/>
      <c r="B580" s="34"/>
      <c r="D580" s="784"/>
      <c r="E580" s="784"/>
      <c r="F580" s="784"/>
      <c r="G580" s="785"/>
      <c r="H580" s="36"/>
      <c r="I580" s="1848"/>
      <c r="J580" s="147"/>
    </row>
    <row r="581" spans="1:10" s="32" customFormat="1" x14ac:dyDescent="0.2">
      <c r="A581" s="34"/>
      <c r="B581" s="34"/>
      <c r="D581" s="784"/>
      <c r="E581" s="784"/>
      <c r="F581" s="784"/>
      <c r="G581" s="785"/>
      <c r="H581" s="36"/>
      <c r="I581" s="1848"/>
      <c r="J581" s="147"/>
    </row>
    <row r="582" spans="1:10" s="32" customFormat="1" x14ac:dyDescent="0.2">
      <c r="A582" s="34"/>
      <c r="B582" s="34"/>
      <c r="D582" s="784"/>
      <c r="E582" s="784"/>
      <c r="F582" s="784"/>
      <c r="G582" s="785"/>
      <c r="H582" s="36"/>
      <c r="I582" s="1848"/>
      <c r="J582" s="147"/>
    </row>
    <row r="583" spans="1:10" s="32" customFormat="1" x14ac:dyDescent="0.2">
      <c r="A583" s="34"/>
      <c r="B583" s="34"/>
      <c r="D583" s="784"/>
      <c r="E583" s="784"/>
      <c r="F583" s="784"/>
      <c r="G583" s="785"/>
      <c r="H583" s="36"/>
      <c r="I583" s="1848"/>
      <c r="J583" s="147"/>
    </row>
    <row r="584" spans="1:10" s="32" customFormat="1" x14ac:dyDescent="0.2">
      <c r="A584" s="34"/>
      <c r="B584" s="34"/>
      <c r="D584" s="784"/>
      <c r="E584" s="784"/>
      <c r="F584" s="784"/>
      <c r="G584" s="785"/>
      <c r="H584" s="36"/>
      <c r="I584" s="1848"/>
      <c r="J584" s="147"/>
    </row>
    <row r="585" spans="1:10" s="32" customFormat="1" x14ac:dyDescent="0.2">
      <c r="A585" s="34"/>
      <c r="B585" s="34"/>
      <c r="D585" s="784"/>
      <c r="E585" s="784"/>
      <c r="F585" s="784"/>
      <c r="G585" s="785"/>
      <c r="H585" s="36"/>
      <c r="I585" s="1848"/>
      <c r="J585" s="147"/>
    </row>
    <row r="586" spans="1:10" s="32" customFormat="1" x14ac:dyDescent="0.2">
      <c r="A586" s="34"/>
      <c r="B586" s="34"/>
      <c r="D586" s="784"/>
      <c r="E586" s="784"/>
      <c r="F586" s="784"/>
      <c r="G586" s="785"/>
      <c r="H586" s="36"/>
      <c r="I586" s="1848"/>
      <c r="J586" s="147"/>
    </row>
    <row r="587" spans="1:10" s="32" customFormat="1" x14ac:dyDescent="0.2">
      <c r="A587" s="34"/>
      <c r="B587" s="34"/>
      <c r="D587" s="784"/>
      <c r="E587" s="784"/>
      <c r="F587" s="784"/>
      <c r="G587" s="785"/>
      <c r="H587" s="36"/>
      <c r="I587" s="1848"/>
      <c r="J587" s="147"/>
    </row>
    <row r="588" spans="1:10" s="32" customFormat="1" x14ac:dyDescent="0.2">
      <c r="A588" s="34"/>
      <c r="B588" s="34"/>
      <c r="D588" s="784"/>
      <c r="E588" s="784"/>
      <c r="F588" s="784"/>
      <c r="G588" s="785"/>
      <c r="H588" s="36"/>
      <c r="I588" s="1848"/>
      <c r="J588" s="147"/>
    </row>
    <row r="589" spans="1:10" s="32" customFormat="1" x14ac:dyDescent="0.2">
      <c r="A589" s="34"/>
      <c r="B589" s="34"/>
      <c r="D589" s="784"/>
      <c r="E589" s="784"/>
      <c r="F589" s="784"/>
      <c r="G589" s="785"/>
      <c r="H589" s="36"/>
      <c r="I589" s="1848"/>
      <c r="J589" s="147"/>
    </row>
    <row r="590" spans="1:10" s="32" customFormat="1" x14ac:dyDescent="0.2">
      <c r="A590" s="34"/>
      <c r="B590" s="34"/>
      <c r="D590" s="784"/>
      <c r="E590" s="784"/>
      <c r="F590" s="784"/>
      <c r="G590" s="785"/>
      <c r="H590" s="36"/>
      <c r="I590" s="1848"/>
      <c r="J590" s="147"/>
    </row>
    <row r="591" spans="1:10" s="32" customFormat="1" x14ac:dyDescent="0.2">
      <c r="A591" s="34"/>
      <c r="B591" s="34"/>
      <c r="D591" s="784"/>
      <c r="E591" s="784"/>
      <c r="F591" s="784"/>
      <c r="G591" s="785"/>
      <c r="H591" s="36"/>
      <c r="I591" s="1848"/>
      <c r="J591" s="147"/>
    </row>
    <row r="592" spans="1:10" s="32" customFormat="1" x14ac:dyDescent="0.2">
      <c r="A592" s="34"/>
      <c r="B592" s="34"/>
      <c r="D592" s="784"/>
      <c r="E592" s="784"/>
      <c r="F592" s="784"/>
      <c r="G592" s="785"/>
      <c r="H592" s="36"/>
      <c r="I592" s="1848"/>
      <c r="J592" s="147"/>
    </row>
    <row r="593" spans="1:10" s="32" customFormat="1" x14ac:dyDescent="0.2">
      <c r="A593" s="34"/>
      <c r="B593" s="34"/>
      <c r="D593" s="784"/>
      <c r="E593" s="784"/>
      <c r="F593" s="784"/>
      <c r="G593" s="785"/>
      <c r="H593" s="36"/>
      <c r="I593" s="1848"/>
      <c r="J593" s="147"/>
    </row>
    <row r="594" spans="1:10" s="32" customFormat="1" x14ac:dyDescent="0.2">
      <c r="A594" s="34"/>
      <c r="B594" s="34"/>
      <c r="D594" s="784"/>
      <c r="E594" s="784"/>
      <c r="F594" s="784"/>
      <c r="G594" s="785"/>
      <c r="H594" s="36"/>
      <c r="I594" s="1848"/>
      <c r="J594" s="147"/>
    </row>
    <row r="595" spans="1:10" s="32" customFormat="1" x14ac:dyDescent="0.2">
      <c r="A595" s="34"/>
      <c r="B595" s="34"/>
      <c r="D595" s="784"/>
      <c r="E595" s="784"/>
      <c r="F595" s="784"/>
      <c r="G595" s="785"/>
      <c r="H595" s="36"/>
      <c r="I595" s="1848"/>
      <c r="J595" s="147"/>
    </row>
    <row r="596" spans="1:10" s="32" customFormat="1" x14ac:dyDescent="0.2">
      <c r="A596" s="34"/>
      <c r="B596" s="34"/>
      <c r="D596" s="784"/>
      <c r="E596" s="784"/>
      <c r="F596" s="784"/>
      <c r="G596" s="785"/>
      <c r="H596" s="36"/>
      <c r="I596" s="1848"/>
      <c r="J596" s="147"/>
    </row>
    <row r="597" spans="1:10" s="32" customFormat="1" x14ac:dyDescent="0.2">
      <c r="A597" s="34"/>
      <c r="B597" s="34"/>
      <c r="D597" s="784"/>
      <c r="E597" s="784"/>
      <c r="F597" s="784"/>
      <c r="G597" s="785"/>
      <c r="H597" s="36"/>
      <c r="I597" s="1848"/>
      <c r="J597" s="147"/>
    </row>
    <row r="598" spans="1:10" s="32" customFormat="1" x14ac:dyDescent="0.2">
      <c r="A598" s="34"/>
      <c r="B598" s="34"/>
      <c r="D598" s="784"/>
      <c r="E598" s="784"/>
      <c r="F598" s="784"/>
      <c r="G598" s="785"/>
      <c r="H598" s="36"/>
      <c r="I598" s="1848"/>
      <c r="J598" s="147"/>
    </row>
    <row r="599" spans="1:10" s="32" customFormat="1" x14ac:dyDescent="0.2">
      <c r="A599" s="34"/>
      <c r="B599" s="34"/>
      <c r="D599" s="784"/>
      <c r="E599" s="784"/>
      <c r="F599" s="784"/>
      <c r="G599" s="785"/>
      <c r="H599" s="36"/>
      <c r="I599" s="1848"/>
      <c r="J599" s="147"/>
    </row>
    <row r="600" spans="1:10" s="32" customFormat="1" x14ac:dyDescent="0.2">
      <c r="A600" s="34"/>
      <c r="B600" s="34"/>
      <c r="D600" s="784"/>
      <c r="E600" s="784"/>
      <c r="F600" s="784"/>
      <c r="G600" s="785"/>
      <c r="H600" s="36"/>
      <c r="I600" s="1848"/>
      <c r="J600" s="147"/>
    </row>
    <row r="601" spans="1:10" s="32" customFormat="1" x14ac:dyDescent="0.2">
      <c r="A601" s="34"/>
      <c r="B601" s="34"/>
      <c r="D601" s="784"/>
      <c r="E601" s="784"/>
      <c r="F601" s="784"/>
      <c r="G601" s="785"/>
      <c r="H601" s="36"/>
      <c r="I601" s="1848"/>
      <c r="J601" s="147"/>
    </row>
    <row r="602" spans="1:10" s="32" customFormat="1" x14ac:dyDescent="0.2">
      <c r="A602" s="34"/>
      <c r="B602" s="34"/>
      <c r="D602" s="784"/>
      <c r="E602" s="784"/>
      <c r="F602" s="784"/>
      <c r="G602" s="785"/>
      <c r="H602" s="36"/>
      <c r="I602" s="1848"/>
      <c r="J602" s="147"/>
    </row>
    <row r="603" spans="1:10" s="32" customFormat="1" x14ac:dyDescent="0.2">
      <c r="A603" s="34"/>
      <c r="B603" s="34"/>
      <c r="D603" s="784"/>
      <c r="E603" s="784"/>
      <c r="F603" s="784"/>
      <c r="G603" s="785"/>
      <c r="H603" s="36"/>
      <c r="I603" s="1848"/>
      <c r="J603" s="147"/>
    </row>
    <row r="604" spans="1:10" s="32" customFormat="1" x14ac:dyDescent="0.2">
      <c r="A604" s="34"/>
      <c r="B604" s="34"/>
      <c r="D604" s="784"/>
      <c r="E604" s="784"/>
      <c r="F604" s="784"/>
      <c r="G604" s="785"/>
      <c r="H604" s="36"/>
      <c r="I604" s="1848"/>
      <c r="J604" s="147"/>
    </row>
    <row r="605" spans="1:10" s="32" customFormat="1" x14ac:dyDescent="0.2">
      <c r="A605" s="34"/>
      <c r="B605" s="34"/>
      <c r="D605" s="784"/>
      <c r="E605" s="784"/>
      <c r="F605" s="784"/>
      <c r="G605" s="785"/>
      <c r="H605" s="36"/>
      <c r="I605" s="1848"/>
      <c r="J605" s="147"/>
    </row>
    <row r="606" spans="1:10" s="32" customFormat="1" x14ac:dyDescent="0.2">
      <c r="A606" s="34"/>
      <c r="B606" s="34"/>
      <c r="D606" s="784"/>
      <c r="E606" s="784"/>
      <c r="F606" s="784"/>
      <c r="G606" s="785"/>
      <c r="H606" s="36"/>
      <c r="I606" s="1848"/>
      <c r="J606" s="147"/>
    </row>
    <row r="607" spans="1:10" s="32" customFormat="1" x14ac:dyDescent="0.2">
      <c r="A607" s="34"/>
      <c r="B607" s="34"/>
      <c r="D607" s="784"/>
      <c r="E607" s="784"/>
      <c r="F607" s="784"/>
      <c r="G607" s="785"/>
      <c r="H607" s="36"/>
      <c r="I607" s="1848"/>
      <c r="J607" s="147"/>
    </row>
    <row r="608" spans="1:10" s="32" customFormat="1" x14ac:dyDescent="0.2">
      <c r="A608" s="34"/>
      <c r="B608" s="34"/>
      <c r="D608" s="784"/>
      <c r="E608" s="784"/>
      <c r="F608" s="784"/>
      <c r="G608" s="785"/>
      <c r="H608" s="36"/>
      <c r="I608" s="1848"/>
      <c r="J608" s="147"/>
    </row>
    <row r="609" spans="1:10" s="32" customFormat="1" x14ac:dyDescent="0.2">
      <c r="A609" s="34"/>
      <c r="B609" s="34"/>
      <c r="D609" s="784"/>
      <c r="E609" s="784"/>
      <c r="F609" s="784"/>
      <c r="G609" s="785"/>
      <c r="H609" s="36"/>
      <c r="I609" s="1848"/>
      <c r="J609" s="147"/>
    </row>
    <row r="610" spans="1:10" s="32" customFormat="1" x14ac:dyDescent="0.2">
      <c r="A610" s="34"/>
      <c r="B610" s="34"/>
      <c r="D610" s="784"/>
      <c r="E610" s="784"/>
      <c r="F610" s="784"/>
      <c r="G610" s="785"/>
      <c r="H610" s="36"/>
      <c r="I610" s="1848"/>
      <c r="J610" s="147"/>
    </row>
    <row r="611" spans="1:10" s="32" customFormat="1" x14ac:dyDescent="0.2">
      <c r="A611" s="34"/>
      <c r="B611" s="34"/>
      <c r="D611" s="784"/>
      <c r="E611" s="784"/>
      <c r="F611" s="784"/>
      <c r="G611" s="785"/>
      <c r="H611" s="36"/>
      <c r="I611" s="1848"/>
      <c r="J611" s="147"/>
    </row>
    <row r="612" spans="1:10" s="32" customFormat="1" x14ac:dyDescent="0.2">
      <c r="A612" s="34"/>
      <c r="B612" s="34"/>
      <c r="D612" s="784"/>
      <c r="E612" s="784"/>
      <c r="F612" s="784"/>
      <c r="G612" s="785"/>
      <c r="H612" s="36"/>
      <c r="I612" s="1848"/>
      <c r="J612" s="147"/>
    </row>
    <row r="613" spans="1:10" s="32" customFormat="1" x14ac:dyDescent="0.2">
      <c r="A613" s="34"/>
      <c r="B613" s="34"/>
      <c r="D613" s="784"/>
      <c r="E613" s="784"/>
      <c r="F613" s="784"/>
      <c r="G613" s="785"/>
      <c r="H613" s="36"/>
      <c r="I613" s="1848"/>
      <c r="J613" s="147"/>
    </row>
    <row r="614" spans="1:10" s="32" customFormat="1" x14ac:dyDescent="0.2">
      <c r="A614" s="34"/>
      <c r="B614" s="34"/>
      <c r="D614" s="784"/>
      <c r="E614" s="784"/>
      <c r="F614" s="784"/>
      <c r="G614" s="785"/>
      <c r="H614" s="36"/>
      <c r="I614" s="1848"/>
      <c r="J614" s="147"/>
    </row>
    <row r="615" spans="1:10" s="32" customFormat="1" x14ac:dyDescent="0.2">
      <c r="A615" s="34"/>
      <c r="B615" s="34"/>
      <c r="D615" s="784"/>
      <c r="E615" s="784"/>
      <c r="F615" s="784"/>
      <c r="G615" s="785"/>
      <c r="H615" s="36"/>
      <c r="I615" s="1848"/>
      <c r="J615" s="147"/>
    </row>
    <row r="616" spans="1:10" s="32" customFormat="1" x14ac:dyDescent="0.2">
      <c r="A616" s="34"/>
      <c r="B616" s="34"/>
      <c r="D616" s="784"/>
      <c r="E616" s="784"/>
      <c r="F616" s="784"/>
      <c r="G616" s="785"/>
      <c r="H616" s="36"/>
      <c r="I616" s="1848"/>
      <c r="J616" s="147"/>
    </row>
    <row r="617" spans="1:10" s="32" customFormat="1" x14ac:dyDescent="0.2">
      <c r="A617" s="34"/>
      <c r="B617" s="34"/>
      <c r="D617" s="784"/>
      <c r="E617" s="784"/>
      <c r="F617" s="784"/>
      <c r="G617" s="785"/>
      <c r="H617" s="36"/>
      <c r="I617" s="1848"/>
      <c r="J617" s="147"/>
    </row>
    <row r="618" spans="1:10" s="32" customFormat="1" x14ac:dyDescent="0.2">
      <c r="A618" s="34"/>
      <c r="B618" s="34"/>
      <c r="D618" s="784"/>
      <c r="E618" s="784"/>
      <c r="F618" s="784"/>
      <c r="G618" s="785"/>
      <c r="H618" s="36"/>
      <c r="I618" s="1848"/>
      <c r="J618" s="147"/>
    </row>
    <row r="619" spans="1:10" s="32" customFormat="1" x14ac:dyDescent="0.2">
      <c r="A619" s="34"/>
      <c r="B619" s="34"/>
      <c r="D619" s="784"/>
      <c r="E619" s="784"/>
      <c r="F619" s="784"/>
      <c r="G619" s="785"/>
      <c r="H619" s="36"/>
      <c r="I619" s="1848"/>
      <c r="J619" s="147"/>
    </row>
    <row r="620" spans="1:10" s="32" customFormat="1" x14ac:dyDescent="0.2">
      <c r="A620" s="34"/>
      <c r="B620" s="34"/>
      <c r="D620" s="784"/>
      <c r="E620" s="784"/>
      <c r="F620" s="784"/>
      <c r="G620" s="785"/>
      <c r="H620" s="36"/>
      <c r="I620" s="1848"/>
      <c r="J620" s="147"/>
    </row>
    <row r="621" spans="1:10" s="32" customFormat="1" x14ac:dyDescent="0.2">
      <c r="A621" s="34"/>
      <c r="B621" s="34"/>
      <c r="D621" s="784"/>
      <c r="E621" s="784"/>
      <c r="F621" s="784"/>
      <c r="G621" s="785"/>
      <c r="H621" s="36"/>
      <c r="I621" s="1848"/>
      <c r="J621" s="147"/>
    </row>
    <row r="622" spans="1:10" s="32" customFormat="1" x14ac:dyDescent="0.2">
      <c r="A622" s="34"/>
      <c r="B622" s="34"/>
      <c r="D622" s="784"/>
      <c r="E622" s="784"/>
      <c r="F622" s="784"/>
      <c r="G622" s="785"/>
      <c r="H622" s="36"/>
      <c r="I622" s="1848"/>
      <c r="J622" s="147"/>
    </row>
    <row r="623" spans="1:10" s="32" customFormat="1" x14ac:dyDescent="0.2">
      <c r="A623" s="34"/>
      <c r="B623" s="34"/>
      <c r="D623" s="784"/>
      <c r="E623" s="784"/>
      <c r="F623" s="784"/>
      <c r="G623" s="785"/>
      <c r="H623" s="36"/>
      <c r="I623" s="1848"/>
      <c r="J623" s="147"/>
    </row>
    <row r="624" spans="1:10" s="32" customFormat="1" x14ac:dyDescent="0.2">
      <c r="A624" s="34"/>
      <c r="B624" s="34"/>
      <c r="D624" s="784"/>
      <c r="E624" s="784"/>
      <c r="F624" s="784"/>
      <c r="G624" s="785"/>
      <c r="H624" s="36"/>
      <c r="I624" s="1848"/>
      <c r="J624" s="147"/>
    </row>
    <row r="625" spans="1:10" s="32" customFormat="1" x14ac:dyDescent="0.2">
      <c r="A625" s="34"/>
      <c r="B625" s="34"/>
      <c r="D625" s="784"/>
      <c r="E625" s="784"/>
      <c r="F625" s="784"/>
      <c r="G625" s="785"/>
      <c r="H625" s="36"/>
      <c r="I625" s="1848"/>
      <c r="J625" s="147"/>
    </row>
    <row r="626" spans="1:10" s="32" customFormat="1" x14ac:dyDescent="0.2">
      <c r="A626" s="34"/>
      <c r="B626" s="34"/>
      <c r="D626" s="784"/>
      <c r="E626" s="784"/>
      <c r="F626" s="784"/>
      <c r="G626" s="785"/>
      <c r="H626" s="36"/>
      <c r="I626" s="1848"/>
      <c r="J626" s="147"/>
    </row>
    <row r="627" spans="1:10" s="32" customFormat="1" x14ac:dyDescent="0.2">
      <c r="A627" s="34"/>
      <c r="B627" s="34"/>
      <c r="D627" s="784"/>
      <c r="E627" s="784"/>
      <c r="F627" s="784"/>
      <c r="G627" s="785"/>
      <c r="H627" s="36"/>
      <c r="I627" s="1848"/>
      <c r="J627" s="147"/>
    </row>
    <row r="628" spans="1:10" s="32" customFormat="1" x14ac:dyDescent="0.2">
      <c r="A628" s="34"/>
      <c r="B628" s="34"/>
      <c r="D628" s="784"/>
      <c r="E628" s="784"/>
      <c r="F628" s="784"/>
      <c r="G628" s="785"/>
      <c r="H628" s="36"/>
      <c r="I628" s="1848"/>
      <c r="J628" s="147"/>
    </row>
    <row r="629" spans="1:10" s="32" customFormat="1" x14ac:dyDescent="0.2">
      <c r="A629" s="34"/>
      <c r="B629" s="34"/>
      <c r="D629" s="784"/>
      <c r="E629" s="784"/>
      <c r="F629" s="784"/>
      <c r="G629" s="785"/>
      <c r="H629" s="36"/>
      <c r="I629" s="1848"/>
      <c r="J629" s="147"/>
    </row>
    <row r="630" spans="1:10" s="32" customFormat="1" x14ac:dyDescent="0.2">
      <c r="A630" s="34"/>
      <c r="B630" s="34"/>
      <c r="D630" s="784"/>
      <c r="E630" s="784"/>
      <c r="F630" s="784"/>
      <c r="G630" s="785"/>
      <c r="H630" s="36"/>
      <c r="I630" s="1848"/>
      <c r="J630" s="147"/>
    </row>
    <row r="631" spans="1:10" s="32" customFormat="1" x14ac:dyDescent="0.2">
      <c r="A631" s="34"/>
      <c r="B631" s="34"/>
      <c r="D631" s="784"/>
      <c r="E631" s="784"/>
      <c r="F631" s="784"/>
      <c r="G631" s="785"/>
      <c r="H631" s="36"/>
      <c r="I631" s="1848"/>
      <c r="J631" s="147"/>
    </row>
    <row r="632" spans="1:10" s="32" customFormat="1" x14ac:dyDescent="0.2">
      <c r="A632" s="34"/>
      <c r="B632" s="34"/>
      <c r="D632" s="784"/>
      <c r="E632" s="784"/>
      <c r="F632" s="784"/>
      <c r="G632" s="785"/>
      <c r="H632" s="36"/>
      <c r="I632" s="1848"/>
      <c r="J632" s="147"/>
    </row>
    <row r="633" spans="1:10" s="32" customFormat="1" x14ac:dyDescent="0.2">
      <c r="A633" s="34"/>
      <c r="B633" s="34"/>
      <c r="D633" s="784"/>
      <c r="E633" s="784"/>
      <c r="F633" s="784"/>
      <c r="G633" s="785"/>
      <c r="H633" s="36"/>
      <c r="I633" s="1848"/>
      <c r="J633" s="147"/>
    </row>
    <row r="634" spans="1:10" s="32" customFormat="1" x14ac:dyDescent="0.2">
      <c r="A634" s="34"/>
      <c r="B634" s="34"/>
      <c r="D634" s="784"/>
      <c r="E634" s="784"/>
      <c r="F634" s="784"/>
      <c r="G634" s="785"/>
      <c r="H634" s="36"/>
      <c r="I634" s="1848"/>
      <c r="J634" s="147"/>
    </row>
    <row r="635" spans="1:10" s="32" customFormat="1" x14ac:dyDescent="0.2">
      <c r="A635" s="34"/>
      <c r="B635" s="34"/>
      <c r="D635" s="784"/>
      <c r="E635" s="784"/>
      <c r="F635" s="784"/>
      <c r="G635" s="785"/>
      <c r="H635" s="36"/>
      <c r="I635" s="1848"/>
      <c r="J635" s="147"/>
    </row>
    <row r="636" spans="1:10" s="32" customFormat="1" x14ac:dyDescent="0.2">
      <c r="A636" s="34"/>
      <c r="B636" s="34"/>
      <c r="D636" s="784"/>
      <c r="E636" s="784"/>
      <c r="F636" s="784"/>
      <c r="G636" s="785"/>
      <c r="H636" s="36"/>
      <c r="I636" s="1848"/>
      <c r="J636" s="147"/>
    </row>
    <row r="637" spans="1:10" s="32" customFormat="1" x14ac:dyDescent="0.2">
      <c r="A637" s="34"/>
      <c r="B637" s="34"/>
      <c r="D637" s="784"/>
      <c r="E637" s="784"/>
      <c r="F637" s="784"/>
      <c r="G637" s="785"/>
      <c r="H637" s="36"/>
      <c r="I637" s="1848"/>
      <c r="J637" s="147"/>
    </row>
    <row r="638" spans="1:10" s="32" customFormat="1" x14ac:dyDescent="0.2">
      <c r="A638" s="34"/>
      <c r="B638" s="34"/>
      <c r="D638" s="784"/>
      <c r="E638" s="784"/>
      <c r="F638" s="784"/>
      <c r="G638" s="785"/>
      <c r="H638" s="36"/>
      <c r="I638" s="1848"/>
      <c r="J638" s="147"/>
    </row>
    <row r="639" spans="1:10" s="32" customFormat="1" x14ac:dyDescent="0.2">
      <c r="A639" s="34"/>
      <c r="B639" s="34"/>
      <c r="D639" s="784"/>
      <c r="E639" s="784"/>
      <c r="F639" s="784"/>
      <c r="G639" s="785"/>
      <c r="H639" s="36"/>
      <c r="I639" s="1848"/>
      <c r="J639" s="147"/>
    </row>
    <row r="640" spans="1:10" s="32" customFormat="1" x14ac:dyDescent="0.2">
      <c r="A640" s="34"/>
      <c r="B640" s="34"/>
      <c r="D640" s="784"/>
      <c r="E640" s="784"/>
      <c r="F640" s="784"/>
      <c r="G640" s="785"/>
      <c r="H640" s="36"/>
      <c r="I640" s="1848"/>
      <c r="J640" s="147"/>
    </row>
    <row r="641" spans="1:10" s="32" customFormat="1" x14ac:dyDescent="0.2">
      <c r="A641" s="34"/>
      <c r="B641" s="34"/>
      <c r="D641" s="784"/>
      <c r="E641" s="784"/>
      <c r="F641" s="784"/>
      <c r="G641" s="785"/>
      <c r="H641" s="36"/>
      <c r="I641" s="1848"/>
      <c r="J641" s="147"/>
    </row>
    <row r="642" spans="1:10" s="32" customFormat="1" x14ac:dyDescent="0.2">
      <c r="A642" s="34"/>
      <c r="B642" s="34"/>
      <c r="D642" s="784"/>
      <c r="E642" s="784"/>
      <c r="F642" s="784"/>
      <c r="G642" s="785"/>
      <c r="H642" s="36"/>
      <c r="I642" s="1848"/>
      <c r="J642" s="147"/>
    </row>
    <row r="643" spans="1:10" s="32" customFormat="1" x14ac:dyDescent="0.2">
      <c r="A643" s="34"/>
      <c r="B643" s="34"/>
      <c r="D643" s="784"/>
      <c r="E643" s="784"/>
      <c r="F643" s="784"/>
      <c r="G643" s="785"/>
      <c r="H643" s="36"/>
      <c r="I643" s="1848"/>
      <c r="J643" s="147"/>
    </row>
    <row r="644" spans="1:10" s="32" customFormat="1" x14ac:dyDescent="0.2">
      <c r="A644" s="34"/>
      <c r="B644" s="34"/>
      <c r="D644" s="784"/>
      <c r="E644" s="784"/>
      <c r="F644" s="784"/>
      <c r="G644" s="785"/>
      <c r="H644" s="36"/>
      <c r="I644" s="1848"/>
      <c r="J644" s="147"/>
    </row>
    <row r="645" spans="1:10" s="32" customFormat="1" x14ac:dyDescent="0.2">
      <c r="A645" s="34"/>
      <c r="B645" s="34"/>
      <c r="D645" s="784"/>
      <c r="E645" s="784"/>
      <c r="F645" s="784"/>
      <c r="G645" s="785"/>
      <c r="H645" s="36"/>
      <c r="I645" s="1848"/>
      <c r="J645" s="147"/>
    </row>
    <row r="646" spans="1:10" s="32" customFormat="1" x14ac:dyDescent="0.2">
      <c r="A646" s="34"/>
      <c r="B646" s="34"/>
      <c r="D646" s="784"/>
      <c r="E646" s="784"/>
      <c r="F646" s="784"/>
      <c r="G646" s="785"/>
      <c r="H646" s="36"/>
      <c r="I646" s="1848"/>
      <c r="J646" s="147"/>
    </row>
    <row r="647" spans="1:10" s="32" customFormat="1" x14ac:dyDescent="0.2">
      <c r="A647" s="34"/>
      <c r="B647" s="34"/>
      <c r="D647" s="784"/>
      <c r="E647" s="784"/>
      <c r="F647" s="784"/>
      <c r="G647" s="785"/>
      <c r="H647" s="36"/>
      <c r="I647" s="1848"/>
      <c r="J647" s="147"/>
    </row>
    <row r="648" spans="1:10" s="32" customFormat="1" x14ac:dyDescent="0.2">
      <c r="A648" s="34"/>
      <c r="B648" s="34"/>
      <c r="D648" s="784"/>
      <c r="E648" s="784"/>
      <c r="F648" s="784"/>
      <c r="G648" s="785"/>
      <c r="H648" s="36"/>
      <c r="I648" s="1848"/>
      <c r="J648" s="147"/>
    </row>
    <row r="649" spans="1:10" s="32" customFormat="1" x14ac:dyDescent="0.2">
      <c r="A649" s="34"/>
      <c r="B649" s="34"/>
      <c r="D649" s="784"/>
      <c r="E649" s="784"/>
      <c r="F649" s="784"/>
      <c r="G649" s="785"/>
      <c r="H649" s="36"/>
      <c r="I649" s="1848"/>
      <c r="J649" s="147"/>
    </row>
    <row r="650" spans="1:10" s="32" customFormat="1" x14ac:dyDescent="0.2">
      <c r="A650" s="34"/>
      <c r="B650" s="34"/>
      <c r="D650" s="784"/>
      <c r="E650" s="784"/>
      <c r="F650" s="784"/>
      <c r="G650" s="785"/>
      <c r="H650" s="36"/>
      <c r="I650" s="1848"/>
      <c r="J650" s="147"/>
    </row>
    <row r="651" spans="1:10" s="32" customFormat="1" x14ac:dyDescent="0.2">
      <c r="A651" s="34"/>
      <c r="B651" s="34"/>
      <c r="D651" s="784"/>
      <c r="E651" s="784"/>
      <c r="F651" s="784"/>
      <c r="G651" s="785"/>
      <c r="H651" s="36"/>
      <c r="I651" s="1848"/>
      <c r="J651" s="147"/>
    </row>
    <row r="652" spans="1:10" s="32" customFormat="1" x14ac:dyDescent="0.2">
      <c r="A652" s="34"/>
      <c r="B652" s="34"/>
      <c r="D652" s="784"/>
      <c r="E652" s="784"/>
      <c r="F652" s="784"/>
      <c r="G652" s="785"/>
      <c r="H652" s="36"/>
      <c r="I652" s="1848"/>
      <c r="J652" s="147"/>
    </row>
    <row r="653" spans="1:10" s="32" customFormat="1" x14ac:dyDescent="0.2">
      <c r="A653" s="34"/>
      <c r="B653" s="34"/>
      <c r="D653" s="784"/>
      <c r="E653" s="784"/>
      <c r="F653" s="784"/>
      <c r="G653" s="785"/>
      <c r="H653" s="36"/>
      <c r="I653" s="1848"/>
      <c r="J653" s="147"/>
    </row>
    <row r="654" spans="1:10" s="32" customFormat="1" x14ac:dyDescent="0.2">
      <c r="A654" s="34"/>
      <c r="B654" s="34"/>
      <c r="D654" s="784"/>
      <c r="E654" s="784"/>
      <c r="F654" s="784"/>
      <c r="G654" s="785"/>
      <c r="H654" s="36"/>
      <c r="I654" s="1848"/>
      <c r="J654" s="147"/>
    </row>
    <row r="655" spans="1:10" s="32" customFormat="1" x14ac:dyDescent="0.2">
      <c r="A655" s="34"/>
      <c r="B655" s="34"/>
      <c r="D655" s="784"/>
      <c r="E655" s="784"/>
      <c r="F655" s="784"/>
      <c r="G655" s="785"/>
      <c r="H655" s="36"/>
      <c r="I655" s="1848"/>
      <c r="J655" s="147"/>
    </row>
    <row r="656" spans="1:10" s="32" customFormat="1" x14ac:dyDescent="0.2">
      <c r="A656" s="34"/>
      <c r="B656" s="34"/>
      <c r="D656" s="784"/>
      <c r="E656" s="784"/>
      <c r="F656" s="784"/>
      <c r="G656" s="785"/>
      <c r="H656" s="36"/>
      <c r="I656" s="1848"/>
      <c r="J656" s="147"/>
    </row>
    <row r="657" spans="1:10" s="32" customFormat="1" x14ac:dyDescent="0.2">
      <c r="A657" s="34"/>
      <c r="B657" s="34"/>
      <c r="D657" s="784"/>
      <c r="E657" s="784"/>
      <c r="F657" s="784"/>
      <c r="G657" s="785"/>
      <c r="H657" s="36"/>
      <c r="I657" s="1848"/>
      <c r="J657" s="147"/>
    </row>
    <row r="658" spans="1:10" s="32" customFormat="1" x14ac:dyDescent="0.2">
      <c r="A658" s="34"/>
      <c r="B658" s="34"/>
      <c r="D658" s="784"/>
      <c r="E658" s="784"/>
      <c r="F658" s="784"/>
      <c r="G658" s="785"/>
      <c r="H658" s="36"/>
      <c r="I658" s="1848"/>
      <c r="J658" s="147"/>
    </row>
    <row r="659" spans="1:10" s="32" customFormat="1" x14ac:dyDescent="0.2">
      <c r="A659" s="34"/>
      <c r="B659" s="34"/>
      <c r="D659" s="784"/>
      <c r="E659" s="784"/>
      <c r="F659" s="784"/>
      <c r="G659" s="785"/>
      <c r="H659" s="36"/>
      <c r="I659" s="1848"/>
      <c r="J659" s="147"/>
    </row>
    <row r="660" spans="1:10" s="32" customFormat="1" x14ac:dyDescent="0.2">
      <c r="A660" s="34"/>
      <c r="B660" s="34"/>
      <c r="D660" s="784"/>
      <c r="E660" s="784"/>
      <c r="F660" s="784"/>
      <c r="G660" s="785"/>
      <c r="H660" s="36"/>
      <c r="I660" s="1848"/>
      <c r="J660" s="147"/>
    </row>
    <row r="661" spans="1:10" s="32" customFormat="1" x14ac:dyDescent="0.2">
      <c r="A661" s="34"/>
      <c r="B661" s="34"/>
      <c r="D661" s="784"/>
      <c r="E661" s="784"/>
      <c r="F661" s="784"/>
      <c r="G661" s="785"/>
      <c r="H661" s="36"/>
      <c r="I661" s="1848"/>
      <c r="J661" s="147"/>
    </row>
    <row r="662" spans="1:10" s="32" customFormat="1" x14ac:dyDescent="0.2">
      <c r="A662" s="34"/>
      <c r="B662" s="34"/>
      <c r="D662" s="784"/>
      <c r="E662" s="784"/>
      <c r="F662" s="784"/>
      <c r="G662" s="785"/>
      <c r="H662" s="36"/>
      <c r="I662" s="1848"/>
      <c r="J662" s="147"/>
    </row>
    <row r="663" spans="1:10" s="32" customFormat="1" x14ac:dyDescent="0.2">
      <c r="A663" s="34"/>
      <c r="B663" s="34"/>
      <c r="D663" s="784"/>
      <c r="E663" s="784"/>
      <c r="F663" s="784"/>
      <c r="G663" s="785"/>
      <c r="H663" s="36"/>
      <c r="I663" s="1848"/>
      <c r="J663" s="147"/>
    </row>
    <row r="664" spans="1:10" s="32" customFormat="1" x14ac:dyDescent="0.2">
      <c r="A664" s="34"/>
      <c r="B664" s="34"/>
      <c r="D664" s="784"/>
      <c r="E664" s="784"/>
      <c r="F664" s="784"/>
      <c r="G664" s="785"/>
      <c r="H664" s="36"/>
      <c r="I664" s="1848"/>
      <c r="J664" s="147"/>
    </row>
    <row r="665" spans="1:10" s="32" customFormat="1" x14ac:dyDescent="0.2">
      <c r="A665" s="34"/>
      <c r="B665" s="34"/>
      <c r="D665" s="784"/>
      <c r="E665" s="784"/>
      <c r="F665" s="784"/>
      <c r="G665" s="785"/>
      <c r="H665" s="36"/>
      <c r="I665" s="1848"/>
      <c r="J665" s="147"/>
    </row>
    <row r="666" spans="1:10" s="32" customFormat="1" x14ac:dyDescent="0.2">
      <c r="A666" s="34"/>
      <c r="B666" s="34"/>
      <c r="D666" s="784"/>
      <c r="E666" s="784"/>
      <c r="F666" s="784"/>
      <c r="G666" s="785"/>
      <c r="H666" s="36"/>
      <c r="I666" s="1848"/>
      <c r="J666" s="147"/>
    </row>
    <row r="667" spans="1:10" s="32" customFormat="1" x14ac:dyDescent="0.2">
      <c r="A667" s="34"/>
      <c r="B667" s="34"/>
      <c r="D667" s="784"/>
      <c r="E667" s="784"/>
      <c r="F667" s="784"/>
      <c r="G667" s="785"/>
      <c r="H667" s="36"/>
      <c r="I667" s="1848"/>
      <c r="J667" s="147"/>
    </row>
    <row r="668" spans="1:10" s="32" customFormat="1" x14ac:dyDescent="0.2">
      <c r="A668" s="34"/>
      <c r="B668" s="34"/>
      <c r="D668" s="784"/>
      <c r="E668" s="784"/>
      <c r="F668" s="784"/>
      <c r="G668" s="785"/>
      <c r="H668" s="36"/>
      <c r="I668" s="1848"/>
      <c r="J668" s="147"/>
    </row>
    <row r="669" spans="1:10" s="32" customFormat="1" x14ac:dyDescent="0.2">
      <c r="A669" s="34"/>
      <c r="B669" s="34"/>
      <c r="D669" s="784"/>
      <c r="E669" s="784"/>
      <c r="F669" s="784"/>
      <c r="G669" s="785"/>
      <c r="H669" s="36"/>
      <c r="I669" s="1848"/>
      <c r="J669" s="147"/>
    </row>
    <row r="670" spans="1:10" s="32" customFormat="1" x14ac:dyDescent="0.2">
      <c r="A670" s="34"/>
      <c r="B670" s="34"/>
      <c r="D670" s="784"/>
      <c r="E670" s="784"/>
      <c r="F670" s="784"/>
      <c r="G670" s="785"/>
      <c r="H670" s="36"/>
      <c r="I670" s="1848"/>
      <c r="J670" s="147"/>
    </row>
    <row r="671" spans="1:10" s="32" customFormat="1" x14ac:dyDescent="0.2">
      <c r="A671" s="34"/>
      <c r="B671" s="34"/>
      <c r="D671" s="784"/>
      <c r="E671" s="784"/>
      <c r="F671" s="784"/>
      <c r="G671" s="785"/>
      <c r="H671" s="36"/>
      <c r="I671" s="1848"/>
      <c r="J671" s="147"/>
    </row>
    <row r="672" spans="1:10" s="32" customFormat="1" x14ac:dyDescent="0.2">
      <c r="A672" s="34"/>
      <c r="B672" s="34"/>
      <c r="D672" s="784"/>
      <c r="E672" s="784"/>
      <c r="F672" s="784"/>
      <c r="G672" s="785"/>
      <c r="H672" s="36"/>
      <c r="I672" s="1848"/>
      <c r="J672" s="147"/>
    </row>
    <row r="673" spans="1:10" s="32" customFormat="1" x14ac:dyDescent="0.2">
      <c r="A673" s="34"/>
      <c r="B673" s="34"/>
      <c r="D673" s="784"/>
      <c r="E673" s="784"/>
      <c r="F673" s="784"/>
      <c r="G673" s="785"/>
      <c r="H673" s="36"/>
      <c r="I673" s="1848"/>
      <c r="J673" s="147"/>
    </row>
    <row r="674" spans="1:10" s="32" customFormat="1" x14ac:dyDescent="0.2">
      <c r="A674" s="34"/>
      <c r="B674" s="34"/>
      <c r="D674" s="784"/>
      <c r="E674" s="784"/>
      <c r="F674" s="784"/>
      <c r="G674" s="785"/>
      <c r="H674" s="36"/>
      <c r="I674" s="1848"/>
      <c r="J674" s="147"/>
    </row>
    <row r="675" spans="1:10" s="32" customFormat="1" x14ac:dyDescent="0.2">
      <c r="A675" s="34"/>
      <c r="B675" s="34"/>
      <c r="D675" s="784"/>
      <c r="E675" s="784"/>
      <c r="F675" s="784"/>
      <c r="G675" s="785"/>
      <c r="H675" s="36"/>
      <c r="I675" s="1848"/>
      <c r="J675" s="147"/>
    </row>
    <row r="676" spans="1:10" s="32" customFormat="1" x14ac:dyDescent="0.2">
      <c r="A676" s="34"/>
      <c r="B676" s="34"/>
      <c r="D676" s="784"/>
      <c r="E676" s="784"/>
      <c r="F676" s="784"/>
      <c r="G676" s="785"/>
      <c r="H676" s="36"/>
      <c r="I676" s="1848"/>
      <c r="J676" s="147"/>
    </row>
    <row r="677" spans="1:10" s="32" customFormat="1" x14ac:dyDescent="0.2">
      <c r="A677" s="34"/>
      <c r="B677" s="34"/>
      <c r="D677" s="784"/>
      <c r="E677" s="784"/>
      <c r="F677" s="784"/>
      <c r="G677" s="785"/>
      <c r="H677" s="36"/>
      <c r="I677" s="1848"/>
      <c r="J677" s="147"/>
    </row>
    <row r="678" spans="1:10" s="32" customFormat="1" x14ac:dyDescent="0.2">
      <c r="A678" s="34"/>
      <c r="B678" s="34"/>
      <c r="D678" s="784"/>
      <c r="E678" s="784"/>
      <c r="F678" s="784"/>
      <c r="G678" s="785"/>
      <c r="H678" s="36"/>
      <c r="I678" s="1848"/>
      <c r="J678" s="147"/>
    </row>
    <row r="679" spans="1:10" s="32" customFormat="1" x14ac:dyDescent="0.2">
      <c r="A679" s="34"/>
      <c r="B679" s="34"/>
      <c r="D679" s="784"/>
      <c r="E679" s="784"/>
      <c r="F679" s="784"/>
      <c r="G679" s="785"/>
      <c r="H679" s="36"/>
      <c r="I679" s="1848"/>
      <c r="J679" s="147"/>
    </row>
    <row r="680" spans="1:10" s="32" customFormat="1" x14ac:dyDescent="0.2">
      <c r="A680" s="34"/>
      <c r="B680" s="34"/>
      <c r="D680" s="784"/>
      <c r="E680" s="784"/>
      <c r="F680" s="784"/>
      <c r="G680" s="785"/>
      <c r="H680" s="36"/>
      <c r="I680" s="1848"/>
      <c r="J680" s="147"/>
    </row>
    <row r="681" spans="1:10" s="32" customFormat="1" x14ac:dyDescent="0.2">
      <c r="A681" s="34"/>
      <c r="B681" s="34"/>
      <c r="D681" s="784"/>
      <c r="E681" s="784"/>
      <c r="F681" s="784"/>
      <c r="G681" s="785"/>
      <c r="H681" s="36"/>
      <c r="I681" s="1848"/>
      <c r="J681" s="147"/>
    </row>
    <row r="682" spans="1:10" s="32" customFormat="1" x14ac:dyDescent="0.2">
      <c r="A682" s="34"/>
      <c r="B682" s="34"/>
      <c r="D682" s="784"/>
      <c r="E682" s="784"/>
      <c r="F682" s="784"/>
      <c r="G682" s="785"/>
      <c r="H682" s="36"/>
      <c r="I682" s="1848"/>
      <c r="J682" s="147"/>
    </row>
    <row r="683" spans="1:10" s="32" customFormat="1" x14ac:dyDescent="0.2">
      <c r="A683" s="34"/>
      <c r="B683" s="34"/>
      <c r="D683" s="784"/>
      <c r="E683" s="784"/>
      <c r="F683" s="784"/>
      <c r="G683" s="785"/>
      <c r="H683" s="36"/>
      <c r="I683" s="1848"/>
      <c r="J683" s="147"/>
    </row>
    <row r="684" spans="1:10" s="32" customFormat="1" x14ac:dyDescent="0.2">
      <c r="A684" s="34"/>
      <c r="B684" s="34"/>
      <c r="D684" s="784"/>
      <c r="E684" s="784"/>
      <c r="F684" s="784"/>
      <c r="G684" s="785"/>
      <c r="H684" s="36"/>
      <c r="I684" s="1848"/>
      <c r="J684" s="147"/>
    </row>
    <row r="685" spans="1:10" s="32" customFormat="1" x14ac:dyDescent="0.2">
      <c r="A685" s="34"/>
      <c r="B685" s="34"/>
      <c r="D685" s="784"/>
      <c r="E685" s="784"/>
      <c r="F685" s="784"/>
      <c r="G685" s="785"/>
      <c r="H685" s="36"/>
      <c r="I685" s="1848"/>
      <c r="J685" s="147"/>
    </row>
    <row r="686" spans="1:10" s="32" customFormat="1" x14ac:dyDescent="0.2">
      <c r="A686" s="34"/>
      <c r="B686" s="34"/>
      <c r="D686" s="784"/>
      <c r="E686" s="784"/>
      <c r="F686" s="784"/>
      <c r="G686" s="785"/>
      <c r="H686" s="36"/>
      <c r="I686" s="1848"/>
      <c r="J686" s="147"/>
    </row>
  </sheetData>
  <sheetProtection algorithmName="SHA-512" hashValue="q0xAwqXl7yTBhDl8v8w1e7t3SSvc9Acs7XUCroyk99V6e2lHN10iIAI1KiZdcw1WWJr44KZeL9EVbAoO9lea4w==" saltValue="ZM4XQRLiqsp40oipTWsPQQ==" spinCount="100000" sheet="1" formatCells="0" formatColumns="0" formatRows="0"/>
  <customSheetViews>
    <customSheetView guid="{B8E02330-2419-4DE6-AD01-7ACC7A5D18DD}" scale="80" topLeftCell="D35">
      <selection activeCell="J44" sqref="J44"/>
      <pageMargins left="0.75" right="0.75" top="1" bottom="1" header="0.5" footer="0.5"/>
      <pageSetup orientation="portrait" horizontalDpi="4294967294" r:id="rId1"/>
      <headerFooter alignWithMargins="0"/>
    </customSheetView>
  </customSheetViews>
  <mergeCells count="195">
    <mergeCell ref="B164:B171"/>
    <mergeCell ref="I164:I171"/>
    <mergeCell ref="A164:A171"/>
    <mergeCell ref="C182:E182"/>
    <mergeCell ref="A139:A144"/>
    <mergeCell ref="D174:H174"/>
    <mergeCell ref="D181:H181"/>
    <mergeCell ref="A182:B183"/>
    <mergeCell ref="C183:E183"/>
    <mergeCell ref="D175:F175"/>
    <mergeCell ref="D176:F176"/>
    <mergeCell ref="D177:F177"/>
    <mergeCell ref="D178:F178"/>
    <mergeCell ref="D179:F179"/>
    <mergeCell ref="D180:F180"/>
    <mergeCell ref="A145:A147"/>
    <mergeCell ref="A149:A155"/>
    <mergeCell ref="A174:C181"/>
    <mergeCell ref="H182:I182"/>
    <mergeCell ref="H183:I183"/>
    <mergeCell ref="I145:I147"/>
    <mergeCell ref="I149:I155"/>
    <mergeCell ref="I156:I160"/>
    <mergeCell ref="B145:B147"/>
    <mergeCell ref="B156:B160"/>
    <mergeCell ref="B149:B155"/>
    <mergeCell ref="H149:H155"/>
    <mergeCell ref="A124:A130"/>
    <mergeCell ref="A118:A123"/>
    <mergeCell ref="A131:A134"/>
    <mergeCell ref="A135:A138"/>
    <mergeCell ref="A156:A160"/>
    <mergeCell ref="B10:B17"/>
    <mergeCell ref="B18:B25"/>
    <mergeCell ref="A18:A25"/>
    <mergeCell ref="B139:B144"/>
    <mergeCell ref="A107:A110"/>
    <mergeCell ref="A98:A102"/>
    <mergeCell ref="B85:B88"/>
    <mergeCell ref="A69:A77"/>
    <mergeCell ref="A78:A84"/>
    <mergeCell ref="A85:A88"/>
    <mergeCell ref="A92:A97"/>
    <mergeCell ref="A89:A91"/>
    <mergeCell ref="A103:A106"/>
    <mergeCell ref="A55:A58"/>
    <mergeCell ref="B135:B138"/>
    <mergeCell ref="A111:A117"/>
    <mergeCell ref="B131:B134"/>
    <mergeCell ref="B66:B68"/>
    <mergeCell ref="H66:H68"/>
    <mergeCell ref="H92:H97"/>
    <mergeCell ref="H131:H134"/>
    <mergeCell ref="H118:H123"/>
    <mergeCell ref="H111:H117"/>
    <mergeCell ref="B103:B106"/>
    <mergeCell ref="H103:H106"/>
    <mergeCell ref="B107:B110"/>
    <mergeCell ref="B124:B130"/>
    <mergeCell ref="B118:B123"/>
    <mergeCell ref="H124:H130"/>
    <mergeCell ref="B111:B117"/>
    <mergeCell ref="H107:H110"/>
    <mergeCell ref="H85:H88"/>
    <mergeCell ref="B92:B97"/>
    <mergeCell ref="H89:H91"/>
    <mergeCell ref="H78:H84"/>
    <mergeCell ref="H98:H102"/>
    <mergeCell ref="B89:B91"/>
    <mergeCell ref="B98:B102"/>
    <mergeCell ref="A1:B1"/>
    <mergeCell ref="B35:B40"/>
    <mergeCell ref="A32:A34"/>
    <mergeCell ref="A3:A9"/>
    <mergeCell ref="I60:I64"/>
    <mergeCell ref="E1:I1"/>
    <mergeCell ref="I3:I9"/>
    <mergeCell ref="B3:B9"/>
    <mergeCell ref="H3:H9"/>
    <mergeCell ref="B32:B34"/>
    <mergeCell ref="B41:B47"/>
    <mergeCell ref="I55:I58"/>
    <mergeCell ref="H55:H58"/>
    <mergeCell ref="B26:B31"/>
    <mergeCell ref="B49:B54"/>
    <mergeCell ref="H18:H25"/>
    <mergeCell ref="H26:H31"/>
    <mergeCell ref="A35:A40"/>
    <mergeCell ref="A41:A47"/>
    <mergeCell ref="A10:A17"/>
    <mergeCell ref="B55:B58"/>
    <mergeCell ref="H32:H34"/>
    <mergeCell ref="H35:H40"/>
    <mergeCell ref="I10:I17"/>
    <mergeCell ref="H60:H64"/>
    <mergeCell ref="B60:B64"/>
    <mergeCell ref="A60:A64"/>
    <mergeCell ref="H10:H17"/>
    <mergeCell ref="H69:H77"/>
    <mergeCell ref="B69:B77"/>
    <mergeCell ref="B78:B84"/>
    <mergeCell ref="A66:A68"/>
    <mergeCell ref="I89:I91"/>
    <mergeCell ref="I66:I68"/>
    <mergeCell ref="I18:I25"/>
    <mergeCell ref="I26:I31"/>
    <mergeCell ref="I32:I34"/>
    <mergeCell ref="I35:I40"/>
    <mergeCell ref="I41:I47"/>
    <mergeCell ref="I49:I54"/>
    <mergeCell ref="H41:H47"/>
    <mergeCell ref="H49:H54"/>
    <mergeCell ref="A26:A31"/>
    <mergeCell ref="A49:A54"/>
    <mergeCell ref="I92:I97"/>
    <mergeCell ref="I98:I102"/>
    <mergeCell ref="I103:I106"/>
    <mergeCell ref="I107:I110"/>
    <mergeCell ref="I111:I117"/>
    <mergeCell ref="I118:I123"/>
    <mergeCell ref="I124:I130"/>
    <mergeCell ref="I69:I77"/>
    <mergeCell ref="I78:I84"/>
    <mergeCell ref="I85:I88"/>
    <mergeCell ref="I131:I134"/>
    <mergeCell ref="I135:I138"/>
    <mergeCell ref="I139:I144"/>
    <mergeCell ref="H194:I194"/>
    <mergeCell ref="H195:I195"/>
    <mergeCell ref="H145:H147"/>
    <mergeCell ref="H196:I196"/>
    <mergeCell ref="H197:I197"/>
    <mergeCell ref="H198:I198"/>
    <mergeCell ref="H156:H160"/>
    <mergeCell ref="H139:H144"/>
    <mergeCell ref="H135:H138"/>
    <mergeCell ref="H164:H171"/>
    <mergeCell ref="H199:I199"/>
    <mergeCell ref="H200:I200"/>
    <mergeCell ref="H201:I201"/>
    <mergeCell ref="H185:I185"/>
    <mergeCell ref="H186:I186"/>
    <mergeCell ref="H187:I187"/>
    <mergeCell ref="H188:I188"/>
    <mergeCell ref="H189:I189"/>
    <mergeCell ref="H190:I190"/>
    <mergeCell ref="H191:I191"/>
    <mergeCell ref="H192:I192"/>
    <mergeCell ref="H193:I193"/>
    <mergeCell ref="H202:I202"/>
    <mergeCell ref="H203:I203"/>
    <mergeCell ref="H204:I204"/>
    <mergeCell ref="H205:I205"/>
    <mergeCell ref="H206:I206"/>
    <mergeCell ref="H207:I207"/>
    <mergeCell ref="H208:I208"/>
    <mergeCell ref="H209:I209"/>
    <mergeCell ref="H210:I210"/>
    <mergeCell ref="H211:I211"/>
    <mergeCell ref="H212:I212"/>
    <mergeCell ref="H213:I213"/>
    <mergeCell ref="H214:I214"/>
    <mergeCell ref="H215:I215"/>
    <mergeCell ref="H216:I216"/>
    <mergeCell ref="H217:I217"/>
    <mergeCell ref="H218:I218"/>
    <mergeCell ref="H219:I219"/>
    <mergeCell ref="H220:I220"/>
    <mergeCell ref="H221:I221"/>
    <mergeCell ref="H222:I222"/>
    <mergeCell ref="H223:I223"/>
    <mergeCell ref="H224:I224"/>
    <mergeCell ref="H225:I225"/>
    <mergeCell ref="H226:I226"/>
    <mergeCell ref="H227:I227"/>
    <mergeCell ref="H228:I228"/>
    <mergeCell ref="H229:I229"/>
    <mergeCell ref="H230:I230"/>
    <mergeCell ref="H231:I231"/>
    <mergeCell ref="H232:I232"/>
    <mergeCell ref="H233:I233"/>
    <mergeCell ref="H234:I234"/>
    <mergeCell ref="H235:I235"/>
    <mergeCell ref="H236:I236"/>
    <mergeCell ref="H237:I237"/>
    <mergeCell ref="H247:I247"/>
    <mergeCell ref="H238:I238"/>
    <mergeCell ref="H239:I239"/>
    <mergeCell ref="H240:I240"/>
    <mergeCell ref="H241:I241"/>
    <mergeCell ref="H242:I242"/>
    <mergeCell ref="H243:I243"/>
    <mergeCell ref="H244:I244"/>
    <mergeCell ref="H245:I245"/>
    <mergeCell ref="H246:I246"/>
  </mergeCells>
  <phoneticPr fontId="3" type="noConversion"/>
  <pageMargins left="0.75" right="0.75" top="1" bottom="1" header="0.5" footer="0.5"/>
  <pageSetup orientation="portrait" horizontalDpi="4294967294"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4"/>
  <dimension ref="A1:I112"/>
  <sheetViews>
    <sheetView topLeftCell="A49" zoomScaleNormal="100" workbookViewId="0">
      <selection activeCell="G64" sqref="G64"/>
    </sheetView>
  </sheetViews>
  <sheetFormatPr defaultColWidth="9.33203125" defaultRowHeight="12.75" x14ac:dyDescent="0.2"/>
  <cols>
    <col min="1" max="1" width="5.83203125" style="42" customWidth="1"/>
    <col min="2" max="2" width="18.83203125" style="42" customWidth="1"/>
    <col min="3" max="3" width="75.83203125" style="42" customWidth="1"/>
    <col min="4" max="4" width="7.83203125" style="46" customWidth="1"/>
    <col min="5" max="5" width="7.83203125" style="95" customWidth="1"/>
    <col min="6" max="6" width="7.83203125" style="46" customWidth="1"/>
    <col min="7" max="7" width="9.1640625" style="807" customWidth="1"/>
    <col min="8" max="8" width="64.83203125" style="42" customWidth="1"/>
    <col min="9" max="9" width="9.83203125" style="42" customWidth="1"/>
    <col min="10" max="16384" width="9.33203125" style="42"/>
  </cols>
  <sheetData>
    <row r="1" spans="1:9" s="2065" customFormat="1" ht="48" customHeight="1" thickBot="1" x14ac:dyDescent="0.25">
      <c r="A1" s="2584" t="s">
        <v>2437</v>
      </c>
      <c r="B1" s="2585"/>
      <c r="C1" s="2121" t="s">
        <v>1162</v>
      </c>
      <c r="D1" s="2122" t="s">
        <v>1074</v>
      </c>
      <c r="E1" s="2970"/>
      <c r="F1" s="2635"/>
      <c r="G1" s="2635"/>
      <c r="H1" s="2635"/>
      <c r="I1" s="2635"/>
    </row>
    <row r="2" spans="1:9" s="1375" customFormat="1" ht="36" customHeight="1" thickBot="1" x14ac:dyDescent="0.25">
      <c r="A2" s="1393" t="s">
        <v>88</v>
      </c>
      <c r="B2" s="1394" t="s">
        <v>1425</v>
      </c>
      <c r="C2" s="1177" t="s">
        <v>1165</v>
      </c>
      <c r="D2" s="1158" t="s">
        <v>45</v>
      </c>
      <c r="E2" s="1249" t="s">
        <v>1189</v>
      </c>
      <c r="F2" s="1250" t="s">
        <v>1190</v>
      </c>
      <c r="G2" s="1395" t="s">
        <v>2555</v>
      </c>
      <c r="H2" s="1158" t="s">
        <v>1118</v>
      </c>
      <c r="I2" s="1232" t="s">
        <v>2424</v>
      </c>
    </row>
    <row r="3" spans="1:9" s="21" customFormat="1" ht="30" customHeight="1" thickBot="1" x14ac:dyDescent="0.25">
      <c r="A3" s="2898" t="str">
        <f>OF!A31</f>
        <v>OF5</v>
      </c>
      <c r="B3" s="2823" t="str">
        <f>OF!B31</f>
        <v>Distance to Large Vegetated Tract</v>
      </c>
      <c r="C3" s="1317" t="str">
        <f>OF!C31</f>
        <v>The minimum distance from the edge of the AA to the edge of the closest vegetated land (but excluding row crops, lawn, conifer plantation) larger than 375 hectares (about 2 km on a side), is:</v>
      </c>
      <c r="D3" s="1388"/>
      <c r="E3" s="176"/>
      <c r="F3" s="176"/>
      <c r="G3" s="725">
        <f>MAX(F4:F10)/MAX(E4:E10)</f>
        <v>0.16666666666666666</v>
      </c>
      <c r="H3" s="2823" t="s">
        <v>1604</v>
      </c>
      <c r="I3" s="2323" t="s">
        <v>1605</v>
      </c>
    </row>
    <row r="4" spans="1:9" s="21" customFormat="1" ht="42" customHeight="1" x14ac:dyDescent="0.2">
      <c r="A4" s="2899"/>
      <c r="B4" s="2824"/>
      <c r="C4" s="871" t="str">
        <f>OF!C32</f>
        <v>&lt;50 m, and not separated from the 375-ha vegetated area by any width of paved roads, stretches of open water, row crops, bare ground, lawn, or impervious surface. Or the AA itself contains &gt;375 ha of vegetation. [This is often the answer in relatively undeveloped landscapes.]</v>
      </c>
      <c r="D4" s="205">
        <f>OF!D32</f>
        <v>0</v>
      </c>
      <c r="E4" s="93">
        <v>6</v>
      </c>
      <c r="F4" s="91">
        <f t="shared" ref="F4:F10" si="0">D4*E4</f>
        <v>0</v>
      </c>
      <c r="G4" s="93"/>
      <c r="H4" s="2824"/>
      <c r="I4" s="2324"/>
    </row>
    <row r="5" spans="1:9" s="21" customFormat="1" ht="27" customHeight="1" x14ac:dyDescent="0.2">
      <c r="A5" s="2899"/>
      <c r="B5" s="2824"/>
      <c r="C5" s="419" t="str">
        <f>OF!C33</f>
        <v>&lt;50 m, but completely separated from the 375-ha vegetated area by those features, and AA does not contain &gt;375 ha of vegetation.</v>
      </c>
      <c r="D5" s="205">
        <f>OF!D33</f>
        <v>0</v>
      </c>
      <c r="E5" s="93">
        <v>5</v>
      </c>
      <c r="F5" s="91">
        <f t="shared" si="0"/>
        <v>0</v>
      </c>
      <c r="G5" s="93"/>
      <c r="H5" s="2824"/>
      <c r="I5" s="2324"/>
    </row>
    <row r="6" spans="1:9" s="21" customFormat="1" ht="15" customHeight="1" x14ac:dyDescent="0.2">
      <c r="A6" s="2899"/>
      <c r="B6" s="2824"/>
      <c r="C6" s="419" t="str">
        <f>OF!C34</f>
        <v>50-500 m, and not separated.</v>
      </c>
      <c r="D6" s="205">
        <f>OF!D34</f>
        <v>0</v>
      </c>
      <c r="E6" s="93">
        <v>4</v>
      </c>
      <c r="F6" s="91">
        <f t="shared" si="0"/>
        <v>0</v>
      </c>
      <c r="G6" s="93"/>
      <c r="H6" s="2824"/>
      <c r="I6" s="2324"/>
    </row>
    <row r="7" spans="1:9" s="21" customFormat="1" ht="15" customHeight="1" x14ac:dyDescent="0.2">
      <c r="A7" s="2899"/>
      <c r="B7" s="2824"/>
      <c r="C7" s="419" t="str">
        <f>OF!C35</f>
        <v>50-500 m, but separated by those features.</v>
      </c>
      <c r="D7" s="205">
        <f>OF!D35</f>
        <v>0</v>
      </c>
      <c r="E7" s="93">
        <v>3</v>
      </c>
      <c r="F7" s="91">
        <f t="shared" si="0"/>
        <v>0</v>
      </c>
      <c r="G7" s="93"/>
      <c r="H7" s="2824"/>
      <c r="I7" s="2324"/>
    </row>
    <row r="8" spans="1:9" s="21" customFormat="1" ht="15" customHeight="1" x14ac:dyDescent="0.2">
      <c r="A8" s="2899"/>
      <c r="B8" s="2824"/>
      <c r="C8" s="419" t="str">
        <f>OF!C36</f>
        <v>0.5 - 5 km, and not separated.</v>
      </c>
      <c r="D8" s="205">
        <f>OF!D36</f>
        <v>0</v>
      </c>
      <c r="E8" s="93">
        <v>2</v>
      </c>
      <c r="F8" s="91">
        <f t="shared" si="0"/>
        <v>0</v>
      </c>
      <c r="G8" s="93"/>
      <c r="H8" s="2824"/>
      <c r="I8" s="2324"/>
    </row>
    <row r="9" spans="1:9" s="21" customFormat="1" ht="15" customHeight="1" x14ac:dyDescent="0.2">
      <c r="A9" s="2899"/>
      <c r="B9" s="2824"/>
      <c r="C9" s="419" t="str">
        <f>OF!C37</f>
        <v>0.5 - 5 km, but separated by those features.</v>
      </c>
      <c r="D9" s="205">
        <f>OF!D37</f>
        <v>1</v>
      </c>
      <c r="E9" s="93">
        <v>1</v>
      </c>
      <c r="F9" s="91">
        <f t="shared" si="0"/>
        <v>1</v>
      </c>
      <c r="G9" s="93"/>
      <c r="H9" s="2824"/>
      <c r="I9" s="2324"/>
    </row>
    <row r="10" spans="1:9" s="21" customFormat="1" ht="15" customHeight="1" thickBot="1" x14ac:dyDescent="0.25">
      <c r="A10" s="2900"/>
      <c r="B10" s="2825"/>
      <c r="C10" s="420" t="str">
        <f>OF!C38</f>
        <v>None of the above (the closest patches or corridors which are that large are &gt;5 km away).</v>
      </c>
      <c r="D10" s="206">
        <f>OF!D38</f>
        <v>0</v>
      </c>
      <c r="E10" s="867">
        <v>0</v>
      </c>
      <c r="F10" s="180">
        <f t="shared" si="0"/>
        <v>0</v>
      </c>
      <c r="G10" s="867"/>
      <c r="H10" s="2825"/>
      <c r="I10" s="2325"/>
    </row>
    <row r="11" spans="1:9" s="13" customFormat="1" ht="45" customHeight="1" thickBot="1" x14ac:dyDescent="0.25">
      <c r="A11" s="2961" t="str">
        <f>OF!A41</f>
        <v>OF8</v>
      </c>
      <c r="B11" s="2993" t="str">
        <f>OF!B41</f>
        <v>Local Vegetated Cover Percentage</v>
      </c>
      <c r="C11" s="2123" t="str">
        <f>OF!C41</f>
        <v>Draw a 5-km radius circle measured from the center of the AA.  Ignoring all permanent water in the circle, the percent of the remaining area that is wooded or unmanaged herbaceous vegetation (NOT lawn, row crops, bare or heavily grazed land, clearcuts, or conifer plantations) is:</v>
      </c>
      <c r="D11" s="1071"/>
      <c r="E11" s="93"/>
      <c r="F11" s="92"/>
      <c r="G11" s="711">
        <f>MAX(F12:F16)/MAX(E12:E16)</f>
        <v>0.5</v>
      </c>
      <c r="H11" s="2819" t="s">
        <v>1752</v>
      </c>
      <c r="I11" s="2323" t="s">
        <v>2872</v>
      </c>
    </row>
    <row r="12" spans="1:9" s="13" customFormat="1" ht="15" customHeight="1" x14ac:dyDescent="0.2">
      <c r="A12" s="2961"/>
      <c r="B12" s="2993"/>
      <c r="C12" s="1390" t="str">
        <f>OF!C42</f>
        <v xml:space="preserve">&lt;5% of the land. </v>
      </c>
      <c r="D12" s="916">
        <f>OF!D42</f>
        <v>0</v>
      </c>
      <c r="E12" s="93">
        <v>0</v>
      </c>
      <c r="F12" s="91">
        <f>D12*E12</f>
        <v>0</v>
      </c>
      <c r="G12" s="93"/>
      <c r="H12" s="2819"/>
      <c r="I12" s="2324"/>
    </row>
    <row r="13" spans="1:9" s="13" customFormat="1" ht="15" customHeight="1" x14ac:dyDescent="0.2">
      <c r="A13" s="2961"/>
      <c r="B13" s="2993"/>
      <c r="C13" s="1391" t="str">
        <f>OF!C43</f>
        <v>5 to 20% of the land.</v>
      </c>
      <c r="D13" s="916">
        <f>OF!D43</f>
        <v>0</v>
      </c>
      <c r="E13" s="93">
        <v>1</v>
      </c>
      <c r="F13" s="91">
        <f>D13*E13</f>
        <v>0</v>
      </c>
      <c r="G13" s="93"/>
      <c r="H13" s="2819"/>
      <c r="I13" s="2324"/>
    </row>
    <row r="14" spans="1:9" s="13" customFormat="1" ht="15" customHeight="1" x14ac:dyDescent="0.2">
      <c r="A14" s="2961"/>
      <c r="B14" s="2993"/>
      <c r="C14" s="1391" t="str">
        <f>OF!C44</f>
        <v>20 to 60% of the land.</v>
      </c>
      <c r="D14" s="916">
        <f>OF!D44</f>
        <v>1</v>
      </c>
      <c r="E14" s="93">
        <v>2</v>
      </c>
      <c r="F14" s="91">
        <f>D14*E14</f>
        <v>2</v>
      </c>
      <c r="G14" s="93"/>
      <c r="H14" s="2819"/>
      <c r="I14" s="2324"/>
    </row>
    <row r="15" spans="1:9" s="13" customFormat="1" ht="15" customHeight="1" x14ac:dyDescent="0.2">
      <c r="A15" s="2961"/>
      <c r="B15" s="2993"/>
      <c r="C15" s="1391" t="str">
        <f>OF!C45</f>
        <v>60 to 90% of the land.</v>
      </c>
      <c r="D15" s="916">
        <f>OF!D45</f>
        <v>0</v>
      </c>
      <c r="E15" s="93">
        <v>3</v>
      </c>
      <c r="F15" s="91">
        <f>D15*E15</f>
        <v>0</v>
      </c>
      <c r="G15" s="93"/>
      <c r="H15" s="2819"/>
      <c r="I15" s="2324"/>
    </row>
    <row r="16" spans="1:9" s="13" customFormat="1" ht="15" customHeight="1" thickBot="1" x14ac:dyDescent="0.25">
      <c r="A16" s="2961"/>
      <c r="B16" s="2993"/>
      <c r="C16" s="1454" t="str">
        <f>OF!C46</f>
        <v>&gt;90% of the land. SKIP to OF10.</v>
      </c>
      <c r="D16" s="1455">
        <f>OF!D46</f>
        <v>0</v>
      </c>
      <c r="E16" s="1066">
        <v>4</v>
      </c>
      <c r="F16" s="175">
        <f>D16*E16</f>
        <v>0</v>
      </c>
      <c r="G16" s="1066"/>
      <c r="H16" s="2819"/>
      <c r="I16" s="2325"/>
    </row>
    <row r="17" spans="1:9" s="13" customFormat="1" ht="60" customHeight="1" thickBot="1" x14ac:dyDescent="0.25">
      <c r="A17" s="2992" t="str">
        <f>F!A17</f>
        <v>F3</v>
      </c>
      <c r="B17" s="2960" t="str">
        <f>F!B17</f>
        <v>Woody Height &amp; Form Diversity</v>
      </c>
      <c r="C17" s="154" t="str">
        <f>F!C17</f>
        <v>Following EACH row below, indicate with a number code the percentage of the living vegetation in the AA which is occupied by that feature (6 if &gt;95%, 5 if 75-95%, 4 if 50-75%, 3 if 25-50%, 2 if 5-25%, 1 if &lt;5%, 0 if none). If the vegetated part of the AA is largely herbaceous (non-woody) vegetation, these percentages should not sum to 100%.</v>
      </c>
      <c r="D17" s="726"/>
      <c r="E17" s="209"/>
      <c r="F17" s="210"/>
      <c r="G17" s="794">
        <f>IF((G18=F18),E18/5, IF((G18=F19),E19/5, IF((G18=F20),E20/5, IF((G18=F21),E21/5,IF((G18=F22),E22/5,E23/5)))))</f>
        <v>1</v>
      </c>
      <c r="H17" s="2963" t="s">
        <v>2222</v>
      </c>
      <c r="I17" s="2323" t="s">
        <v>2871</v>
      </c>
    </row>
    <row r="18" spans="1:9" s="13" customFormat="1" ht="15" customHeight="1" x14ac:dyDescent="0.2">
      <c r="A18" s="2993"/>
      <c r="B18" s="2961"/>
      <c r="C18" s="2124" t="str">
        <f>F!C18</f>
        <v>coniferous trees (may include tamarack) taller than 3 m.</v>
      </c>
      <c r="D18" s="1911">
        <f>F!D18</f>
        <v>0</v>
      </c>
      <c r="E18" s="87">
        <v>0</v>
      </c>
      <c r="F18" s="91">
        <f t="shared" ref="F18:F23" si="1">D18*E18</f>
        <v>0</v>
      </c>
      <c r="G18" s="1456">
        <f>MAX(F18:F23)</f>
        <v>5</v>
      </c>
      <c r="H18" s="2964"/>
      <c r="I18" s="2324"/>
    </row>
    <row r="19" spans="1:9" s="13" customFormat="1" ht="15" customHeight="1" x14ac:dyDescent="0.2">
      <c r="A19" s="2993"/>
      <c r="B19" s="2961"/>
      <c r="C19" s="1983" t="str">
        <f>F!C19</f>
        <v>deciduous trees taller than 3 m.</v>
      </c>
      <c r="D19" s="1912">
        <f>F!D19</f>
        <v>1</v>
      </c>
      <c r="E19" s="87">
        <v>1</v>
      </c>
      <c r="F19" s="91">
        <f t="shared" si="1"/>
        <v>1</v>
      </c>
      <c r="G19" s="87"/>
      <c r="H19" s="2964"/>
      <c r="I19" s="2324"/>
    </row>
    <row r="20" spans="1:9" s="13" customFormat="1" ht="15" customHeight="1" x14ac:dyDescent="0.2">
      <c r="A20" s="2993"/>
      <c r="B20" s="2961"/>
      <c r="C20" s="1983" t="str">
        <f>F!C20</f>
        <v>coniferous or ericaceous shrubs or trees 1-3 m tall not directly below the canopy of trees.</v>
      </c>
      <c r="D20" s="1912">
        <f>F!D20</f>
        <v>0</v>
      </c>
      <c r="E20" s="87">
        <v>3</v>
      </c>
      <c r="F20" s="91">
        <f t="shared" si="1"/>
        <v>0</v>
      </c>
      <c r="G20" s="87"/>
      <c r="H20" s="2964"/>
      <c r="I20" s="2324"/>
    </row>
    <row r="21" spans="1:9" s="13" customFormat="1" ht="15" customHeight="1" x14ac:dyDescent="0.2">
      <c r="A21" s="2993"/>
      <c r="B21" s="2961"/>
      <c r="C21" s="1983" t="str">
        <f>F!C21</f>
        <v>deciduous shrubs or trees 1-3 m tall not directly below the canopy of trees.</v>
      </c>
      <c r="D21" s="1912">
        <f>F!D21</f>
        <v>1</v>
      </c>
      <c r="E21" s="87">
        <v>4</v>
      </c>
      <c r="F21" s="91">
        <f t="shared" si="1"/>
        <v>4</v>
      </c>
      <c r="G21" s="87"/>
      <c r="H21" s="2964"/>
      <c r="I21" s="2324"/>
    </row>
    <row r="22" spans="1:9" s="13" customFormat="1" ht="15" customHeight="1" x14ac:dyDescent="0.2">
      <c r="A22" s="2993"/>
      <c r="B22" s="2961"/>
      <c r="C22" s="1983" t="str">
        <f>F!C22</f>
        <v>coniferous or ericaceous shrubs &lt;1 m tall not directly below the canopy of taller vegetation.</v>
      </c>
      <c r="D22" s="1912">
        <f>F!D22</f>
        <v>0</v>
      </c>
      <c r="E22" s="87">
        <v>5</v>
      </c>
      <c r="F22" s="91">
        <f t="shared" si="1"/>
        <v>0</v>
      </c>
      <c r="G22" s="87"/>
      <c r="H22" s="2964"/>
      <c r="I22" s="2324"/>
    </row>
    <row r="23" spans="1:9" s="13" customFormat="1" ht="27" customHeight="1" thickBot="1" x14ac:dyDescent="0.25">
      <c r="A23" s="2994"/>
      <c r="B23" s="2962"/>
      <c r="C23" s="2125" t="str">
        <f>F!C23</f>
        <v>deciduous shrubs or trees &lt;1 m tall (e.g., deciduous seedlings) not directly below the canopy of taller vegetation.</v>
      </c>
      <c r="D23" s="1913">
        <f>F!D23</f>
        <v>1</v>
      </c>
      <c r="E23" s="174">
        <v>5</v>
      </c>
      <c r="F23" s="180">
        <f t="shared" si="1"/>
        <v>5</v>
      </c>
      <c r="G23" s="174"/>
      <c r="H23" s="2965"/>
      <c r="I23" s="2325"/>
    </row>
    <row r="24" spans="1:9" ht="30" customHeight="1" thickBot="1" x14ac:dyDescent="0.25">
      <c r="A24" s="2971" t="str">
        <f>F!A25</f>
        <v>F4</v>
      </c>
      <c r="B24" s="2974" t="str">
        <f>F!B25</f>
        <v xml:space="preserve">Dominance of Most Abundant Shrub Species </v>
      </c>
      <c r="C24" s="164" t="str">
        <f>F!C25</f>
        <v>Determine which two woody plant species comprise the greatest portion of the low (&lt;3 m) woody cover . Then choose one:</v>
      </c>
      <c r="D24" s="726"/>
      <c r="E24" s="209"/>
      <c r="F24" s="210"/>
      <c r="G24" s="794" t="str">
        <f>IF((MAX(F!D18:'F'!D21)&lt;2),"", IF((D26=1),1,""))</f>
        <v/>
      </c>
      <c r="H24" s="2552" t="s">
        <v>1598</v>
      </c>
      <c r="I24" s="2326" t="s">
        <v>1596</v>
      </c>
    </row>
    <row r="25" spans="1:9" ht="15" customHeight="1" x14ac:dyDescent="0.2">
      <c r="A25" s="2972"/>
      <c r="B25" s="2975"/>
      <c r="C25" s="150" t="str">
        <f>F!C26</f>
        <v>those species together comprise &gt; 50% of such cover.</v>
      </c>
      <c r="D25" s="45">
        <f>F!D26</f>
        <v>0</v>
      </c>
      <c r="E25" s="90">
        <v>1</v>
      </c>
      <c r="F25" s="91">
        <f>D25*E25</f>
        <v>0</v>
      </c>
      <c r="G25" s="805"/>
      <c r="H25" s="2985"/>
      <c r="I25" s="2327"/>
    </row>
    <row r="26" spans="1:9" ht="15" customHeight="1" thickBot="1" x14ac:dyDescent="0.25">
      <c r="A26" s="2973"/>
      <c r="B26" s="2976"/>
      <c r="C26" s="684" t="str">
        <f>F!C27</f>
        <v>those species together do not comprise &gt; 50% of such cover.</v>
      </c>
      <c r="D26" s="178">
        <f>F!D27</f>
        <v>0</v>
      </c>
      <c r="E26" s="179">
        <v>0</v>
      </c>
      <c r="F26" s="180">
        <f>D26*E26</f>
        <v>0</v>
      </c>
      <c r="G26" s="1023"/>
      <c r="H26" s="2986"/>
      <c r="I26" s="2328"/>
    </row>
    <row r="27" spans="1:9" ht="45" customHeight="1" thickBot="1" x14ac:dyDescent="0.25">
      <c r="A27" s="2875" t="str">
        <f>F!A28</f>
        <v>F5</v>
      </c>
      <c r="B27" s="2869" t="str">
        <f>F!B28</f>
        <v>Woody Diameter Classes</v>
      </c>
      <c r="C27" s="790" t="str">
        <f>F!C28</f>
        <v>Mark ALL the types that comprise &gt;5% of the woody canopy cover in the AA or &gt;5% of the wooded areas (if any) along its upland edge (perimeter).  The edge should include only the trees whose canopies extend into the AA.</v>
      </c>
      <c r="D27" s="93"/>
      <c r="E27" s="93"/>
      <c r="F27" s="92"/>
      <c r="G27" s="711" t="str">
        <f>IF((MAX(F!D18:'F'!D21)&lt;2),"",((SUM(D28:D35)/8+MAX(F28:F35)/MAX(E28:E35))/2))</f>
        <v/>
      </c>
      <c r="H27" s="2396" t="s">
        <v>1865</v>
      </c>
      <c r="I27" s="2326" t="s">
        <v>511</v>
      </c>
    </row>
    <row r="28" spans="1:9" ht="15" customHeight="1" x14ac:dyDescent="0.2">
      <c r="A28" s="2875"/>
      <c r="B28" s="2869"/>
      <c r="C28" s="150" t="str">
        <f>F!C29</f>
        <v>coniferous, 1-9 cm diameter and &gt;1 m tall.</v>
      </c>
      <c r="D28" s="96">
        <f>F!D29</f>
        <v>0</v>
      </c>
      <c r="E28" s="88">
        <v>0</v>
      </c>
      <c r="F28" s="91">
        <f t="shared" ref="F28:F35" si="2">D28*E28</f>
        <v>0</v>
      </c>
      <c r="G28" s="801"/>
      <c r="H28" s="2869"/>
      <c r="I28" s="2327"/>
    </row>
    <row r="29" spans="1:9" ht="15" customHeight="1" x14ac:dyDescent="0.2">
      <c r="A29" s="2875"/>
      <c r="B29" s="2869"/>
      <c r="C29" s="683" t="str">
        <f>F!C30</f>
        <v>broad-leaved deciduous 1-9 cm diameter and &gt;1 m tall.</v>
      </c>
      <c r="D29" s="45">
        <f>F!D30</f>
        <v>0</v>
      </c>
      <c r="E29" s="88">
        <v>1</v>
      </c>
      <c r="F29" s="91">
        <f t="shared" si="2"/>
        <v>0</v>
      </c>
      <c r="G29" s="797"/>
      <c r="H29" s="2869"/>
      <c r="I29" s="2327"/>
    </row>
    <row r="30" spans="1:9" ht="15" customHeight="1" x14ac:dyDescent="0.2">
      <c r="A30" s="2875"/>
      <c r="B30" s="2869"/>
      <c r="C30" s="683" t="str">
        <f>F!C31</f>
        <v>coniferous, 10-19 cm diameter.</v>
      </c>
      <c r="D30" s="45">
        <f>F!D31</f>
        <v>0</v>
      </c>
      <c r="E30" s="88">
        <v>2</v>
      </c>
      <c r="F30" s="91">
        <f t="shared" si="2"/>
        <v>0</v>
      </c>
      <c r="G30" s="797"/>
      <c r="H30" s="2869"/>
      <c r="I30" s="2327"/>
    </row>
    <row r="31" spans="1:9" ht="15" customHeight="1" x14ac:dyDescent="0.2">
      <c r="A31" s="2875"/>
      <c r="B31" s="2869"/>
      <c r="C31" s="683" t="str">
        <f>F!C32</f>
        <v>broad-leaved deciduous 10-19 cm diameter.</v>
      </c>
      <c r="D31" s="45">
        <f>F!D32</f>
        <v>0</v>
      </c>
      <c r="E31" s="88">
        <v>3</v>
      </c>
      <c r="F31" s="91">
        <f t="shared" si="2"/>
        <v>0</v>
      </c>
      <c r="G31" s="797"/>
      <c r="H31" s="2869"/>
      <c r="I31" s="2327"/>
    </row>
    <row r="32" spans="1:9" ht="15" customHeight="1" x14ac:dyDescent="0.2">
      <c r="A32" s="2875"/>
      <c r="B32" s="2869"/>
      <c r="C32" s="683" t="str">
        <f>F!C33</f>
        <v>coniferous, 20-40 cm diameter.</v>
      </c>
      <c r="D32" s="45">
        <f>F!D33</f>
        <v>0</v>
      </c>
      <c r="E32" s="88">
        <v>4</v>
      </c>
      <c r="F32" s="91">
        <f t="shared" si="2"/>
        <v>0</v>
      </c>
      <c r="G32" s="797"/>
      <c r="H32" s="2869"/>
      <c r="I32" s="2327"/>
    </row>
    <row r="33" spans="1:9" ht="15" customHeight="1" x14ac:dyDescent="0.2">
      <c r="A33" s="2875"/>
      <c r="B33" s="2869"/>
      <c r="C33" s="683" t="str">
        <f>F!C34</f>
        <v>broad-leaved deciduous 20-40 cm diameter.</v>
      </c>
      <c r="D33" s="45">
        <f>F!D34</f>
        <v>0</v>
      </c>
      <c r="E33" s="88">
        <v>6</v>
      </c>
      <c r="F33" s="91">
        <f t="shared" si="2"/>
        <v>0</v>
      </c>
      <c r="G33" s="797"/>
      <c r="H33" s="2869"/>
      <c r="I33" s="2327"/>
    </row>
    <row r="34" spans="1:9" ht="15" customHeight="1" x14ac:dyDescent="0.2">
      <c r="A34" s="2875"/>
      <c r="B34" s="2869"/>
      <c r="C34" s="683" t="str">
        <f>F!C35</f>
        <v>coniferous, &gt;40 cm diameter.</v>
      </c>
      <c r="D34" s="45">
        <f>F!D35</f>
        <v>0</v>
      </c>
      <c r="E34" s="88">
        <v>5</v>
      </c>
      <c r="F34" s="91">
        <f t="shared" si="2"/>
        <v>0</v>
      </c>
      <c r="G34" s="797"/>
      <c r="H34" s="2869"/>
      <c r="I34" s="2327"/>
    </row>
    <row r="35" spans="1:9" ht="15" customHeight="1" thickBot="1" x14ac:dyDescent="0.25">
      <c r="A35" s="2876"/>
      <c r="B35" s="2870"/>
      <c r="C35" s="684" t="str">
        <f>F!C36</f>
        <v>broad-leaved deciduous &gt;40 cm diameter.</v>
      </c>
      <c r="D35" s="178">
        <f>F!D36</f>
        <v>0</v>
      </c>
      <c r="E35" s="183">
        <v>8</v>
      </c>
      <c r="F35" s="180">
        <f t="shared" si="2"/>
        <v>0</v>
      </c>
      <c r="G35" s="798"/>
      <c r="H35" s="2870"/>
      <c r="I35" s="2328"/>
    </row>
    <row r="36" spans="1:9" ht="30" customHeight="1" thickBot="1" x14ac:dyDescent="0.25">
      <c r="A36" s="2981" t="str">
        <f>F!A44</f>
        <v>F7</v>
      </c>
      <c r="B36" s="2975" t="str">
        <f>F!B44</f>
        <v>Large Snags (Dead Standing Trees)</v>
      </c>
      <c r="C36" s="790" t="str">
        <f>F!C44</f>
        <v>The number of large snags (diameter &gt;20 cm) in the AA plus adjacent upland area within 10 m of the wetland edge is:</v>
      </c>
      <c r="D36" s="176"/>
      <c r="E36" s="92"/>
      <c r="F36" s="92"/>
      <c r="G36" s="711" t="str">
        <f>IF((MAX(F!D18:D21)&lt;2),"",MAX(F37:F39)/MAX(E37:E39))</f>
        <v/>
      </c>
      <c r="H36" s="2327" t="s">
        <v>1866</v>
      </c>
      <c r="I36" s="2326" t="s">
        <v>512</v>
      </c>
    </row>
    <row r="37" spans="1:9" ht="15" customHeight="1" x14ac:dyDescent="0.2">
      <c r="A37" s="2981"/>
      <c r="B37" s="2975"/>
      <c r="C37" s="150" t="str">
        <f>F!C45</f>
        <v>None, or fewer than 8/ hectare which exceed this diameter.</v>
      </c>
      <c r="D37" s="96">
        <f>F!D45</f>
        <v>0</v>
      </c>
      <c r="E37" s="90">
        <v>0</v>
      </c>
      <c r="F37" s="91">
        <f>D37*E37</f>
        <v>0</v>
      </c>
      <c r="G37" s="803"/>
      <c r="H37" s="2975"/>
      <c r="I37" s="2327"/>
    </row>
    <row r="38" spans="1:9" ht="15" customHeight="1" x14ac:dyDescent="0.2">
      <c r="A38" s="2981"/>
      <c r="B38" s="2975"/>
      <c r="C38" s="683" t="str">
        <f>F!C46</f>
        <v>Several ( &gt;8/hectare) and a pond, lake, or slow-flowing water wider than 10 m is within 1 km.</v>
      </c>
      <c r="D38" s="45">
        <f>F!D46</f>
        <v>0</v>
      </c>
      <c r="E38" s="90">
        <v>1</v>
      </c>
      <c r="F38" s="91">
        <f>D38*E38</f>
        <v>0</v>
      </c>
      <c r="G38" s="800"/>
      <c r="H38" s="2975"/>
      <c r="I38" s="2327"/>
    </row>
    <row r="39" spans="1:9" ht="15" customHeight="1" thickBot="1" x14ac:dyDescent="0.25">
      <c r="A39" s="2981"/>
      <c r="B39" s="2975"/>
      <c r="C39" s="791" t="str">
        <f>F!C47</f>
        <v>Several ( &gt;8/hectare) but above not true.</v>
      </c>
      <c r="D39" s="89">
        <f>F!D47</f>
        <v>0</v>
      </c>
      <c r="E39" s="94">
        <v>1</v>
      </c>
      <c r="F39" s="175">
        <f>D39*E39</f>
        <v>0</v>
      </c>
      <c r="G39" s="802"/>
      <c r="H39" s="2975"/>
      <c r="I39" s="2328"/>
    </row>
    <row r="40" spans="1:9" ht="30" customHeight="1" thickBot="1" x14ac:dyDescent="0.25">
      <c r="A40" s="2980" t="str">
        <f>F!A48</f>
        <v>F8</v>
      </c>
      <c r="B40" s="2979" t="str">
        <f>F!B48</f>
        <v>Downed Wood</v>
      </c>
      <c r="C40" s="682" t="str">
        <f>F!C48</f>
        <v>The number of downed wood pieces longer than 2 m and with diameter &gt;10 cm, and not persistently submerged, is:</v>
      </c>
      <c r="D40" s="176"/>
      <c r="E40" s="176"/>
      <c r="F40" s="177"/>
      <c r="G40" s="725" t="str">
        <f>IF((MAX(F!D18:D21)&lt;2),"", MAX(F41:F42))</f>
        <v/>
      </c>
      <c r="H40" s="2394" t="s">
        <v>1867</v>
      </c>
      <c r="I40" s="2326" t="s">
        <v>513</v>
      </c>
    </row>
    <row r="41" spans="1:9" ht="15" customHeight="1" x14ac:dyDescent="0.2">
      <c r="A41" s="2875"/>
      <c r="B41" s="2869"/>
      <c r="C41" s="150" t="str">
        <f>F!C49</f>
        <v>Few or none that meet these criteria.</v>
      </c>
      <c r="D41" s="96">
        <f>F!D49</f>
        <v>0</v>
      </c>
      <c r="E41" s="90">
        <v>0</v>
      </c>
      <c r="F41" s="91">
        <f>D41*E41</f>
        <v>0</v>
      </c>
      <c r="G41" s="801"/>
      <c r="H41" s="2869"/>
      <c r="I41" s="2327"/>
    </row>
    <row r="42" spans="1:9" ht="15" customHeight="1" thickBot="1" x14ac:dyDescent="0.25">
      <c r="A42" s="2876"/>
      <c r="B42" s="2870"/>
      <c r="C42" s="684" t="str">
        <f>F!C50</f>
        <v>Several (&gt;5 if AA is &gt;5 hectares, less for smaller AAs) meet these criteria.</v>
      </c>
      <c r="D42" s="178">
        <f>F!D50</f>
        <v>0</v>
      </c>
      <c r="E42" s="179">
        <v>1</v>
      </c>
      <c r="F42" s="180">
        <f>D42*E42</f>
        <v>0</v>
      </c>
      <c r="G42" s="798"/>
      <c r="H42" s="2870"/>
      <c r="I42" s="2328"/>
    </row>
    <row r="43" spans="1:9" ht="30" customHeight="1" thickBot="1" x14ac:dyDescent="0.25">
      <c r="A43" s="2890" t="str">
        <f>F!A63</f>
        <v>F11</v>
      </c>
      <c r="B43" s="2869" t="str">
        <f>F!B63</f>
        <v>% Bare Ground &amp; Thatch</v>
      </c>
      <c r="C43" s="790" t="str">
        <f>F!C63</f>
        <v>Consider the parts of the AA that lack surface water at the driest time of the growing season. Viewed from directly above the ground layer, the predominant condition in those areas at that time is:</v>
      </c>
      <c r="D43" s="93"/>
      <c r="E43" s="93"/>
      <c r="F43" s="92"/>
      <c r="G43" s="711">
        <f>MAX(F44:F47)/MAX(E44:E47)</f>
        <v>0.66666666666666663</v>
      </c>
      <c r="H43" s="2396" t="s">
        <v>1591</v>
      </c>
      <c r="I43" s="2326" t="s">
        <v>514</v>
      </c>
    </row>
    <row r="44" spans="1:9" ht="42" customHeight="1" x14ac:dyDescent="0.2">
      <c r="A44" s="2890"/>
      <c r="B44" s="2869"/>
      <c r="C44" s="150" t="str">
        <f>F!C64</f>
        <v>Little or no (&lt;5%) bare ground is visible between erect stems or under canopy anywhere in the vegetated AA. Ground is extensively blanketed by dense thatch, moss, lichens, graminoids with great stem densities, or plants with ground-hugging foliage. </v>
      </c>
      <c r="D44" s="96">
        <f>F!D64</f>
        <v>0</v>
      </c>
      <c r="E44" s="90">
        <v>1</v>
      </c>
      <c r="F44" s="91">
        <f>D44*E44</f>
        <v>0</v>
      </c>
      <c r="G44" s="801"/>
      <c r="H44" s="2869"/>
      <c r="I44" s="2327"/>
    </row>
    <row r="45" spans="1:9" ht="27" customHeight="1" x14ac:dyDescent="0.2">
      <c r="A45" s="2890"/>
      <c r="B45" s="2869"/>
      <c r="C45" s="683" t="str">
        <f>F!C65</f>
        <v>Slightly bare ground (5-20% bare between plants) is visible in places, but those areas comprise less than 5% of the unflooded parts of the AA.</v>
      </c>
      <c r="D45" s="45">
        <f>F!D65</f>
        <v>1</v>
      </c>
      <c r="E45" s="90">
        <v>2</v>
      </c>
      <c r="F45" s="91">
        <f>D45*E45</f>
        <v>2</v>
      </c>
      <c r="G45" s="797"/>
      <c r="H45" s="2869"/>
      <c r="I45" s="2327"/>
    </row>
    <row r="46" spans="1:9" ht="27" customHeight="1" x14ac:dyDescent="0.2">
      <c r="A46" s="2890"/>
      <c r="B46" s="2869"/>
      <c r="C46" s="683" t="str">
        <f>F!C66</f>
        <v>Much bare ground (20-50% bare between plants) is visible in places, and those areas comprise more than 5% of the unflooded parts of the AA. </v>
      </c>
      <c r="D46" s="45">
        <f>F!D66</f>
        <v>0</v>
      </c>
      <c r="E46" s="90">
        <v>3</v>
      </c>
      <c r="F46" s="91">
        <f>D46*E46</f>
        <v>0</v>
      </c>
      <c r="G46" s="797"/>
      <c r="H46" s="2869"/>
      <c r="I46" s="2327"/>
    </row>
    <row r="47" spans="1:9" ht="15" customHeight="1" thickBot="1" x14ac:dyDescent="0.25">
      <c r="A47" s="2890"/>
      <c r="B47" s="2869"/>
      <c r="C47" s="791" t="str">
        <f>F!C67</f>
        <v>Other conditions.</v>
      </c>
      <c r="D47" s="89">
        <f>F!D67</f>
        <v>0</v>
      </c>
      <c r="E47" s="94">
        <v>0</v>
      </c>
      <c r="F47" s="175">
        <f>D47*E47</f>
        <v>0</v>
      </c>
      <c r="G47" s="802"/>
      <c r="H47" s="2869"/>
      <c r="I47" s="2328"/>
    </row>
    <row r="48" spans="1:9" ht="60" customHeight="1" thickBot="1" x14ac:dyDescent="0.25">
      <c r="A48" s="2980" t="str">
        <f>F!A69</f>
        <v>F12</v>
      </c>
      <c r="B48" s="2979" t="str">
        <f>F!B69</f>
        <v xml:space="preserve">Ground Irregularity </v>
      </c>
      <c r="C48" s="682"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48" s="176"/>
      <c r="E48" s="176"/>
      <c r="F48" s="177"/>
      <c r="G48" s="725">
        <f>MAX(F49:F51)/MAX(E49:E51)</f>
        <v>0.5</v>
      </c>
      <c r="H48" s="2979" t="s">
        <v>10</v>
      </c>
      <c r="I48" s="2326" t="s">
        <v>515</v>
      </c>
    </row>
    <row r="49" spans="1:9" ht="27" customHeight="1" x14ac:dyDescent="0.2">
      <c r="A49" s="2875"/>
      <c r="B49" s="2869"/>
      <c r="C49" s="150" t="str">
        <f>F!C70</f>
        <v>Few or none (minimal microtopography; &lt;1% of the land has such features, or entire AA is always water-covered).</v>
      </c>
      <c r="D49" s="96">
        <f>F!D70</f>
        <v>0</v>
      </c>
      <c r="E49" s="90">
        <v>0</v>
      </c>
      <c r="F49" s="91">
        <f>D49*E49</f>
        <v>0</v>
      </c>
      <c r="G49" s="801"/>
      <c r="H49" s="2869"/>
      <c r="I49" s="2327"/>
    </row>
    <row r="50" spans="1:9" ht="15" customHeight="1" x14ac:dyDescent="0.2">
      <c r="A50" s="2875"/>
      <c r="B50" s="2869"/>
      <c r="C50" s="683" t="str">
        <f>F!C71</f>
        <v>Intermediate.</v>
      </c>
      <c r="D50" s="45">
        <f>F!D71</f>
        <v>1</v>
      </c>
      <c r="E50" s="90">
        <v>1</v>
      </c>
      <c r="F50" s="91">
        <f>D50*E50</f>
        <v>1</v>
      </c>
      <c r="G50" s="797"/>
      <c r="H50" s="2869"/>
      <c r="I50" s="2327"/>
    </row>
    <row r="51" spans="1:9" ht="15" customHeight="1" thickBot="1" x14ac:dyDescent="0.25">
      <c r="A51" s="2876"/>
      <c r="B51" s="2870"/>
      <c r="C51" s="684" t="str">
        <f>F!C72</f>
        <v>Several (extensive micro-topography).</v>
      </c>
      <c r="D51" s="178">
        <f>F!D72</f>
        <v>0</v>
      </c>
      <c r="E51" s="179">
        <v>2</v>
      </c>
      <c r="F51" s="180">
        <f>D51*E51</f>
        <v>0</v>
      </c>
      <c r="G51" s="798"/>
      <c r="H51" s="2870"/>
      <c r="I51" s="2328"/>
    </row>
    <row r="52" spans="1:9" ht="30" customHeight="1" thickBot="1" x14ac:dyDescent="0.25">
      <c r="A52" s="2971" t="str">
        <f>F!A94</f>
        <v>F17</v>
      </c>
      <c r="B52" s="2974" t="str">
        <f>F!B94</f>
        <v xml:space="preserve">Forb Cover </v>
      </c>
      <c r="C52" s="682" t="str">
        <f>F!C94</f>
        <v>Within parts of the AA having herbaceous cover (excluding SAV), the areal cover of forbs reaches an annual maximum of:</v>
      </c>
      <c r="D52" s="176"/>
      <c r="E52" s="176"/>
      <c r="F52" s="177"/>
      <c r="G52" s="725">
        <f>IF((NoHerbCov=1),"", MAX(F53:F57)/MAX(E53:E57))</f>
        <v>0.5</v>
      </c>
      <c r="H52" s="2394" t="s">
        <v>603</v>
      </c>
      <c r="I52" s="2326" t="s">
        <v>2224</v>
      </c>
    </row>
    <row r="53" spans="1:9" ht="15" customHeight="1" x14ac:dyDescent="0.2">
      <c r="A53" s="2972"/>
      <c r="B53" s="2975"/>
      <c r="C53" s="150" t="str">
        <f>F!C95</f>
        <v xml:space="preserve">&lt;5% of the herbaceous part of the AA. </v>
      </c>
      <c r="D53" s="96">
        <f>F!D95</f>
        <v>0</v>
      </c>
      <c r="E53" s="90">
        <v>0</v>
      </c>
      <c r="F53" s="91">
        <f>D53*E53</f>
        <v>0</v>
      </c>
      <c r="G53" s="801"/>
      <c r="H53" s="2869"/>
      <c r="I53" s="2327"/>
    </row>
    <row r="54" spans="1:9" ht="15" customHeight="1" x14ac:dyDescent="0.2">
      <c r="A54" s="2972"/>
      <c r="B54" s="2975"/>
      <c r="C54" s="683" t="str">
        <f>F!C96</f>
        <v>5-25% of the herbaceous part of the AA.</v>
      </c>
      <c r="D54" s="45">
        <f>F!D96</f>
        <v>0</v>
      </c>
      <c r="E54" s="90">
        <v>1</v>
      </c>
      <c r="F54" s="91">
        <f>D54*E54</f>
        <v>0</v>
      </c>
      <c r="G54" s="801"/>
      <c r="H54" s="2869"/>
      <c r="I54" s="2327"/>
    </row>
    <row r="55" spans="1:9" ht="15" customHeight="1" x14ac:dyDescent="0.2">
      <c r="A55" s="2972"/>
      <c r="B55" s="2975"/>
      <c r="C55" s="683" t="str">
        <f>F!C97</f>
        <v>25-50% of the herbaceous part of the AA.</v>
      </c>
      <c r="D55" s="45">
        <f>F!D97</f>
        <v>1</v>
      </c>
      <c r="E55" s="90">
        <v>2</v>
      </c>
      <c r="F55" s="91">
        <f>D55*E55</f>
        <v>2</v>
      </c>
      <c r="G55" s="801"/>
      <c r="H55" s="2869"/>
      <c r="I55" s="2327"/>
    </row>
    <row r="56" spans="1:9" ht="15" customHeight="1" x14ac:dyDescent="0.2">
      <c r="A56" s="2972"/>
      <c r="B56" s="2975"/>
      <c r="C56" s="683" t="str">
        <f>F!C98</f>
        <v>50-95% of the herbaceous part of the AA.</v>
      </c>
      <c r="D56" s="45">
        <f>F!D98</f>
        <v>0</v>
      </c>
      <c r="E56" s="90">
        <v>3</v>
      </c>
      <c r="F56" s="91">
        <f>D56*E56</f>
        <v>0</v>
      </c>
      <c r="G56" s="797"/>
      <c r="H56" s="2869"/>
      <c r="I56" s="2327"/>
    </row>
    <row r="57" spans="1:9" ht="15" customHeight="1" thickBot="1" x14ac:dyDescent="0.25">
      <c r="A57" s="2973"/>
      <c r="B57" s="2976"/>
      <c r="C57" s="684" t="str">
        <f>F!C99</f>
        <v>&gt;95% of the herbaceous part of the AA.</v>
      </c>
      <c r="D57" s="178">
        <f>F!D99</f>
        <v>0</v>
      </c>
      <c r="E57" s="179">
        <v>4</v>
      </c>
      <c r="F57" s="180">
        <f>D57*E57</f>
        <v>0</v>
      </c>
      <c r="G57" s="798"/>
      <c r="H57" s="2870"/>
      <c r="I57" s="2328"/>
    </row>
    <row r="58" spans="1:9" ht="30" customHeight="1" thickBot="1" x14ac:dyDescent="0.25">
      <c r="A58" s="2981" t="str">
        <f>F!A105</f>
        <v>F19</v>
      </c>
      <c r="B58" s="2975" t="str">
        <f>F!B105</f>
        <v xml:space="preserve">Dominance of Most Abundant Herbaceous Species </v>
      </c>
      <c r="C58" s="790" t="str">
        <f>F!C105</f>
        <v>Determine which two herbaceous species comprise the greatest portion of the herbaceous cover (excluding mosses and floating-leaved aquatic plants). Then choose one of the following:</v>
      </c>
      <c r="D58" s="176"/>
      <c r="E58" s="93"/>
      <c r="F58" s="92"/>
      <c r="G58" s="711">
        <f>IF((NoHerbCov=1),"",MAX(F59:F60))</f>
        <v>1</v>
      </c>
      <c r="H58" s="2396" t="s">
        <v>1597</v>
      </c>
      <c r="I58" s="2326" t="s">
        <v>517</v>
      </c>
    </row>
    <row r="59" spans="1:9" ht="15" customHeight="1" x14ac:dyDescent="0.2">
      <c r="A59" s="2981"/>
      <c r="B59" s="2975"/>
      <c r="C59" s="150" t="str">
        <f>F!C106</f>
        <v>those species together comprise &gt; 50% of the areal cover of herbaceous plants at any time during the year.</v>
      </c>
      <c r="D59" s="96">
        <f>F!D106</f>
        <v>0</v>
      </c>
      <c r="E59" s="90">
        <v>0</v>
      </c>
      <c r="F59" s="91">
        <f>D59*E59</f>
        <v>0</v>
      </c>
      <c r="G59" s="797"/>
      <c r="H59" s="2869"/>
      <c r="I59" s="2327"/>
    </row>
    <row r="60" spans="1:9" ht="27" customHeight="1" thickBot="1" x14ac:dyDescent="0.25">
      <c r="A60" s="2981"/>
      <c r="B60" s="2975"/>
      <c r="C60" s="791" t="str">
        <f>F!C107</f>
        <v>those species together do not comprise &gt; 50% of the areal cover of herbaceous plants at any time during the year.</v>
      </c>
      <c r="D60" s="89">
        <f>F!D107</f>
        <v>1</v>
      </c>
      <c r="E60" s="94">
        <v>1</v>
      </c>
      <c r="F60" s="175">
        <f>D60*E60</f>
        <v>1</v>
      </c>
      <c r="G60" s="802"/>
      <c r="H60" s="2869"/>
      <c r="I60" s="2328"/>
    </row>
    <row r="61" spans="1:9" ht="30" customHeight="1" thickBot="1" x14ac:dyDescent="0.25">
      <c r="A61" s="2980" t="str">
        <f>F!A108</f>
        <v>F20</v>
      </c>
      <c r="B61" s="2979" t="str">
        <f>F!B108</f>
        <v>Invasive Plant Cover</v>
      </c>
      <c r="C61" s="682" t="str">
        <f>F!C108</f>
        <v>How extensive is the cover of invasive plant species in the AA?  For species, see Plants_invasive worksheet in the accompanying SuppInfo file.</v>
      </c>
      <c r="D61" s="176"/>
      <c r="E61" s="176"/>
      <c r="F61" s="177"/>
      <c r="G61" s="725">
        <f>MAX(F62:F66)/MAX(E62:E66)</f>
        <v>0.5</v>
      </c>
      <c r="H61" s="2982" t="s">
        <v>1607</v>
      </c>
      <c r="I61" s="2326" t="s">
        <v>516</v>
      </c>
    </row>
    <row r="62" spans="1:9" ht="27" customHeight="1" x14ac:dyDescent="0.2">
      <c r="A62" s="2875"/>
      <c r="B62" s="2869"/>
      <c r="C62" s="150" t="str">
        <f>F!C109</f>
        <v>invasive species appear to be absent in the AA, or are present only in trace amount (a few individuals).</v>
      </c>
      <c r="D62" s="96">
        <f>F!D109</f>
        <v>0</v>
      </c>
      <c r="E62" s="90">
        <v>4</v>
      </c>
      <c r="F62" s="91">
        <f>D62*E62</f>
        <v>0</v>
      </c>
      <c r="G62" s="801"/>
      <c r="H62" s="2983"/>
      <c r="I62" s="2327"/>
    </row>
    <row r="63" spans="1:9" ht="27" customHeight="1" x14ac:dyDescent="0.2">
      <c r="A63" s="2875"/>
      <c r="B63" s="2869"/>
      <c r="C63" s="150" t="str">
        <f>F!C110</f>
        <v>invasive species are present in more than trace amounts, but comprise &lt;5% of herbaceous cover (or woody cover, if the invasives are woody).</v>
      </c>
      <c r="D63" s="96">
        <f>F!D110</f>
        <v>0</v>
      </c>
      <c r="E63" s="90">
        <v>3</v>
      </c>
      <c r="F63" s="91">
        <f>D63*E63</f>
        <v>0</v>
      </c>
      <c r="G63" s="801"/>
      <c r="H63" s="2983"/>
      <c r="I63" s="2327"/>
    </row>
    <row r="64" spans="1:9" ht="27" customHeight="1" x14ac:dyDescent="0.2">
      <c r="A64" s="2875"/>
      <c r="B64" s="2869"/>
      <c r="C64" s="150" t="str">
        <f>F!C111</f>
        <v>invasive species comprise 5-20% of the herb cover (or woody cover, if the invasives are woody).</v>
      </c>
      <c r="D64" s="96">
        <f>F!D111</f>
        <v>1</v>
      </c>
      <c r="E64" s="90">
        <v>2</v>
      </c>
      <c r="F64" s="91">
        <f>D64*E64</f>
        <v>2</v>
      </c>
      <c r="G64" s="797"/>
      <c r="H64" s="2983"/>
      <c r="I64" s="2327"/>
    </row>
    <row r="65" spans="1:9" ht="27" customHeight="1" x14ac:dyDescent="0.2">
      <c r="A65" s="2875"/>
      <c r="B65" s="2869"/>
      <c r="C65" s="150" t="str">
        <f>F!C112</f>
        <v>invasive species comprise 20-50% of the herb cover  (or woody cover, if the invasives are woody).</v>
      </c>
      <c r="D65" s="96">
        <f>F!D112</f>
        <v>0</v>
      </c>
      <c r="E65" s="90">
        <v>1</v>
      </c>
      <c r="F65" s="91">
        <f>D65*E65</f>
        <v>0</v>
      </c>
      <c r="G65" s="797"/>
      <c r="H65" s="2983"/>
      <c r="I65" s="2327"/>
    </row>
    <row r="66" spans="1:9" ht="26.25" customHeight="1" thickBot="1" x14ac:dyDescent="0.25">
      <c r="A66" s="2876"/>
      <c r="B66" s="2870"/>
      <c r="C66" s="150" t="str">
        <f>F!C113</f>
        <v>invasive species comprise &gt;50% of the herb cover  (or woody cover, if the invasives are woody).</v>
      </c>
      <c r="D66" s="96">
        <f>F!D113</f>
        <v>0</v>
      </c>
      <c r="E66" s="179">
        <v>0</v>
      </c>
      <c r="F66" s="180">
        <f>D66*E66</f>
        <v>0</v>
      </c>
      <c r="G66" s="798"/>
      <c r="H66" s="2984"/>
      <c r="I66" s="2328"/>
    </row>
    <row r="67" spans="1:9" ht="45" customHeight="1" thickBot="1" x14ac:dyDescent="0.25">
      <c r="A67" s="2971" t="str">
        <f>F!A128</f>
        <v>F25</v>
      </c>
      <c r="B67" s="2974" t="str">
        <f>F!B128</f>
        <v>% of AA with Persistent Surface Water</v>
      </c>
      <c r="C67" s="682"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67" s="176"/>
      <c r="E67" s="176"/>
      <c r="F67" s="177"/>
      <c r="G67" s="725">
        <f>IF((AllSat1&gt;0),"", MAX(F68:F72)/MAX(E68:E72))</f>
        <v>0.6</v>
      </c>
      <c r="H67" s="2394" t="s">
        <v>1868</v>
      </c>
      <c r="I67" s="2326" t="s">
        <v>510</v>
      </c>
    </row>
    <row r="68" spans="1:9" ht="27" customHeight="1" x14ac:dyDescent="0.2">
      <c r="A68" s="2972"/>
      <c r="B68" s="2975"/>
      <c r="C68" s="791" t="str">
        <f>F!C129</f>
        <v>None. The AA dries up completely (no water in channels either) or never has surface water during most years.  SKIP to F27.</v>
      </c>
      <c r="D68" s="89">
        <f>F!D129</f>
        <v>0</v>
      </c>
      <c r="E68" s="93">
        <v>5</v>
      </c>
      <c r="F68" s="91">
        <f t="shared" ref="F68:F81" si="3">D68*E68</f>
        <v>0</v>
      </c>
      <c r="G68" s="797"/>
      <c r="H68" s="2396"/>
      <c r="I68" s="2327"/>
    </row>
    <row r="69" spans="1:9" ht="15" customHeight="1" x14ac:dyDescent="0.2">
      <c r="A69" s="2972"/>
      <c r="B69" s="2975"/>
      <c r="C69" s="791" t="str">
        <f>F!C130</f>
        <v>1-20% of the AA.</v>
      </c>
      <c r="D69" s="89">
        <f>F!D130</f>
        <v>0</v>
      </c>
      <c r="E69" s="90">
        <v>4</v>
      </c>
      <c r="F69" s="91">
        <f t="shared" si="3"/>
        <v>0</v>
      </c>
      <c r="G69" s="797"/>
      <c r="H69" s="2869"/>
      <c r="I69" s="2327"/>
    </row>
    <row r="70" spans="1:9" ht="15" customHeight="1" x14ac:dyDescent="0.2">
      <c r="A70" s="2972"/>
      <c r="B70" s="2975"/>
      <c r="C70" s="791" t="str">
        <f>F!C131</f>
        <v>20-50% of the AA.</v>
      </c>
      <c r="D70" s="89">
        <f>F!D131</f>
        <v>1</v>
      </c>
      <c r="E70" s="90">
        <v>3</v>
      </c>
      <c r="F70" s="91">
        <f t="shared" si="3"/>
        <v>3</v>
      </c>
      <c r="G70" s="797"/>
      <c r="H70" s="2869"/>
      <c r="I70" s="2327"/>
    </row>
    <row r="71" spans="1:9" ht="15" customHeight="1" x14ac:dyDescent="0.2">
      <c r="A71" s="2972"/>
      <c r="B71" s="2975"/>
      <c r="C71" s="791" t="str">
        <f>F!C132</f>
        <v>50-95% of the AA.</v>
      </c>
      <c r="D71" s="89">
        <f>F!D132</f>
        <v>0</v>
      </c>
      <c r="E71" s="90">
        <v>2</v>
      </c>
      <c r="F71" s="91">
        <f t="shared" si="3"/>
        <v>0</v>
      </c>
      <c r="G71" s="797"/>
      <c r="H71" s="2869"/>
      <c r="I71" s="2327"/>
    </row>
    <row r="72" spans="1:9" ht="15" customHeight="1" thickBot="1" x14ac:dyDescent="0.25">
      <c r="A72" s="2973"/>
      <c r="B72" s="2975"/>
      <c r="C72" s="791" t="str">
        <f>F!C133</f>
        <v>&gt;95% of the AA. True for many fringe wetlands.</v>
      </c>
      <c r="D72" s="89">
        <f>F!D133</f>
        <v>0</v>
      </c>
      <c r="E72" s="181">
        <v>1</v>
      </c>
      <c r="F72" s="175">
        <f t="shared" si="3"/>
        <v>0</v>
      </c>
      <c r="G72" s="802"/>
      <c r="H72" s="2869"/>
      <c r="I72" s="2328"/>
    </row>
    <row r="73" spans="1:9" ht="45" customHeight="1" thickBot="1" x14ac:dyDescent="0.25">
      <c r="A73" s="2971" t="str">
        <f>F!A247</f>
        <v>F52</v>
      </c>
      <c r="B73" s="2974" t="str">
        <f>F!B247</f>
        <v>Vegetated Buffer as % of Perimeter</v>
      </c>
      <c r="C73" s="1037" t="str">
        <f>F!C247</f>
        <v>Within a zone extending 30 m laterally from the AA's edge with upland and/or other wetlands, the percentage that contains perennial vegetation cover (except lawns, row crops, heavily grazed land, conifer plantations) is:</v>
      </c>
      <c r="D73" s="726"/>
      <c r="E73" s="209"/>
      <c r="F73" s="210"/>
      <c r="G73" s="725">
        <f>IF((AllSat1&gt;0),"", MAX(F74:F78)/MAX(E74:E78))</f>
        <v>0</v>
      </c>
      <c r="H73" s="2326" t="s">
        <v>1602</v>
      </c>
      <c r="I73" s="2326" t="s">
        <v>1592</v>
      </c>
    </row>
    <row r="74" spans="1:9" ht="15" customHeight="1" x14ac:dyDescent="0.2">
      <c r="A74" s="2972"/>
      <c r="B74" s="2975"/>
      <c r="C74" s="1022" t="str">
        <f>F!C248</f>
        <v>&lt;5%.</v>
      </c>
      <c r="D74" s="45">
        <f>F!D248</f>
        <v>1</v>
      </c>
      <c r="E74" s="87">
        <v>0</v>
      </c>
      <c r="F74" s="91">
        <f t="shared" si="3"/>
        <v>0</v>
      </c>
      <c r="G74" s="800"/>
      <c r="H74" s="2975"/>
      <c r="I74" s="2327"/>
    </row>
    <row r="75" spans="1:9" ht="15" customHeight="1" x14ac:dyDescent="0.2">
      <c r="A75" s="2972"/>
      <c r="B75" s="2975"/>
      <c r="C75" s="918" t="str">
        <f>F!C249</f>
        <v>5 to 30%.</v>
      </c>
      <c r="D75" s="45">
        <f>F!D249</f>
        <v>0</v>
      </c>
      <c r="E75" s="87">
        <v>2</v>
      </c>
      <c r="F75" s="91">
        <f t="shared" si="3"/>
        <v>0</v>
      </c>
      <c r="G75" s="800"/>
      <c r="H75" s="2975"/>
      <c r="I75" s="2327"/>
    </row>
    <row r="76" spans="1:9" ht="15" customHeight="1" x14ac:dyDescent="0.2">
      <c r="A76" s="2972"/>
      <c r="B76" s="2975"/>
      <c r="C76" s="918" t="str">
        <f>F!C250</f>
        <v>30 to 60%.</v>
      </c>
      <c r="D76" s="45">
        <f>F!D250</f>
        <v>0</v>
      </c>
      <c r="E76" s="87">
        <v>3</v>
      </c>
      <c r="F76" s="91">
        <f t="shared" si="3"/>
        <v>0</v>
      </c>
      <c r="G76" s="800"/>
      <c r="H76" s="2975"/>
      <c r="I76" s="2327"/>
    </row>
    <row r="77" spans="1:9" ht="15" customHeight="1" x14ac:dyDescent="0.2">
      <c r="A77" s="2972"/>
      <c r="B77" s="2975"/>
      <c r="C77" s="918" t="str">
        <f>F!C251</f>
        <v>60 to 90%.</v>
      </c>
      <c r="D77" s="45">
        <f>F!D251</f>
        <v>0</v>
      </c>
      <c r="E77" s="87">
        <v>3</v>
      </c>
      <c r="F77" s="91">
        <f t="shared" si="3"/>
        <v>0</v>
      </c>
      <c r="G77" s="800"/>
      <c r="H77" s="2975"/>
      <c r="I77" s="2327"/>
    </row>
    <row r="78" spans="1:9" ht="15" customHeight="1" thickBot="1" x14ac:dyDescent="0.25">
      <c r="A78" s="2973"/>
      <c r="B78" s="2976"/>
      <c r="C78" s="919" t="str">
        <f>F!C252</f>
        <v>&gt;90%, or all the area within 30 m of the AA edge is other wetlands. SKIP to F55.</v>
      </c>
      <c r="D78" s="178">
        <f>F!D252</f>
        <v>0</v>
      </c>
      <c r="E78" s="174">
        <v>3</v>
      </c>
      <c r="F78" s="91">
        <f t="shared" si="3"/>
        <v>0</v>
      </c>
      <c r="G78" s="722"/>
      <c r="H78" s="2976"/>
      <c r="I78" s="2328"/>
    </row>
    <row r="79" spans="1:9" ht="30" customHeight="1" thickBot="1" x14ac:dyDescent="0.25">
      <c r="A79" s="2971" t="str">
        <f>F!A253</f>
        <v>F53</v>
      </c>
      <c r="B79" s="2974" t="str">
        <f>F!B253</f>
        <v>Type of Cover in Buffer</v>
      </c>
      <c r="C79" s="1037" t="str">
        <f>F!C253</f>
        <v>Within 30 m upslope of where the wetland transitions to upland, the upland land cover that is NOT perennial vegetation is mostly (mark ONE):</v>
      </c>
      <c r="D79" s="726"/>
      <c r="E79" s="209"/>
      <c r="F79" s="177"/>
      <c r="G79" s="1389">
        <f>IF((D80=0),0,"")</f>
        <v>0</v>
      </c>
      <c r="H79" s="2326" t="s">
        <v>1594</v>
      </c>
      <c r="I79" s="2326" t="s">
        <v>1593</v>
      </c>
    </row>
    <row r="80" spans="1:9" ht="15" customHeight="1" x14ac:dyDescent="0.2">
      <c r="A80" s="2972"/>
      <c r="B80" s="2975"/>
      <c r="C80" s="1022" t="str">
        <f>F!C254</f>
        <v>Impervious surface, e.g., paved road, parking lot, building, exposed rock.</v>
      </c>
      <c r="D80" s="1069">
        <f>F!D254</f>
        <v>0</v>
      </c>
      <c r="E80" s="87">
        <v>0</v>
      </c>
      <c r="F80" s="91">
        <f t="shared" si="3"/>
        <v>0</v>
      </c>
      <c r="G80" s="799"/>
      <c r="H80" s="2975"/>
      <c r="I80" s="2327"/>
    </row>
    <row r="81" spans="1:9" ht="27" customHeight="1" thickBot="1" x14ac:dyDescent="0.25">
      <c r="A81" s="2973"/>
      <c r="B81" s="2976"/>
      <c r="C81" s="919" t="str">
        <f>F!C255</f>
        <v>Bare or nearly bare pervious surface or managed vegetation, e.g., lawn, row crops, unpaved road, dike, landslide.</v>
      </c>
      <c r="D81" s="1070">
        <f>F!D255</f>
        <v>0</v>
      </c>
      <c r="E81" s="174">
        <v>1</v>
      </c>
      <c r="F81" s="180">
        <f t="shared" si="3"/>
        <v>0</v>
      </c>
      <c r="G81" s="722"/>
      <c r="H81" s="2976"/>
      <c r="I81" s="2328"/>
    </row>
    <row r="82" spans="1:9" ht="45" customHeight="1" thickBot="1" x14ac:dyDescent="0.25">
      <c r="A82" s="1309" t="str">
        <f>F!A261</f>
        <v>F55</v>
      </c>
      <c r="B82" s="1308" t="str">
        <f>F!B261</f>
        <v xml:space="preserve">Cliffs or Steep Banks </v>
      </c>
      <c r="C82" s="43" t="str">
        <f>F!C261</f>
        <v>In the AA or within 100 m, there are elevated terrestrial features such as cliffs, talus slopes, stream banks, or excavated pits (but not riprap) that extend at least 2 m nearly vertically, are unvegetated, and potentially contain crevices or other substrate suitable for nesting or den areas. Enter 1 (yes) or 0 (no).</v>
      </c>
      <c r="D82" s="1015">
        <f>F!D261</f>
        <v>0</v>
      </c>
      <c r="E82" s="728">
        <v>1</v>
      </c>
      <c r="F82" s="826">
        <f>D82*E82</f>
        <v>0</v>
      </c>
      <c r="G82" s="828" t="str">
        <f>IF((D82=0),"",1)</f>
        <v/>
      </c>
      <c r="H82" s="1038" t="s">
        <v>1590</v>
      </c>
      <c r="I82" s="103" t="s">
        <v>518</v>
      </c>
    </row>
    <row r="83" spans="1:9" ht="45" customHeight="1" thickBot="1" x14ac:dyDescent="0.25">
      <c r="A83" s="999" t="str">
        <f>S!A25</f>
        <v>S2</v>
      </c>
      <c r="B83" s="164" t="str">
        <f>S!B25</f>
        <v>Accelerated Inputs of Contaminants and/or Salts</v>
      </c>
      <c r="C83" s="1392" t="str">
        <f>S!E37</f>
        <v>Stressor subscore=</v>
      </c>
      <c r="D83" s="1067">
        <f>S!F37</f>
        <v>0.33333333333333331</v>
      </c>
      <c r="E83" s="728"/>
      <c r="F83" s="948"/>
      <c r="G83" s="794">
        <f>1-D83</f>
        <v>0.66666666666666674</v>
      </c>
      <c r="H83" s="103" t="s">
        <v>1753</v>
      </c>
      <c r="I83" s="103" t="s">
        <v>1601</v>
      </c>
    </row>
    <row r="84" spans="1:9" s="151" customFormat="1" ht="36" customHeight="1" thickBot="1" x14ac:dyDescent="0.25">
      <c r="A84" s="1184" t="s">
        <v>88</v>
      </c>
      <c r="B84" s="1206" t="s">
        <v>1899</v>
      </c>
      <c r="C84" s="1207" t="s">
        <v>1165</v>
      </c>
      <c r="D84" s="1208" t="s">
        <v>45</v>
      </c>
      <c r="E84" s="1209" t="s">
        <v>1189</v>
      </c>
      <c r="F84" s="1210" t="s">
        <v>1190</v>
      </c>
      <c r="G84" s="1211" t="s">
        <v>2555</v>
      </c>
      <c r="H84" s="1206" t="s">
        <v>1118</v>
      </c>
      <c r="I84" s="1184" t="s">
        <v>2424</v>
      </c>
    </row>
    <row r="85" spans="1:9" ht="114" customHeight="1" thickBot="1" x14ac:dyDescent="0.25">
      <c r="A85" s="188" t="str">
        <f>OF!A39</f>
        <v>OF6</v>
      </c>
      <c r="B85" s="165" t="str">
        <f>OF!B39</f>
        <v>Herbaceous Uniqueness</v>
      </c>
      <c r="C85" s="189" t="str">
        <f>OF!C39</f>
        <v xml:space="preserve">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 NOTE: Exclude lawns, row crops, heavily grazed lands, forest, shrublands. Include moss as well as grasslike plants in this use of "herbaceous vegetation"]
</v>
      </c>
      <c r="D85" s="892">
        <f>OF!D39</f>
        <v>3</v>
      </c>
      <c r="E85" s="728"/>
      <c r="F85" s="822"/>
      <c r="G85" s="806">
        <f>D85/3</f>
        <v>1</v>
      </c>
      <c r="H85" s="1449" t="s">
        <v>2226</v>
      </c>
      <c r="I85" s="124" t="s">
        <v>1599</v>
      </c>
    </row>
    <row r="86" spans="1:9" ht="102" customHeight="1" thickBot="1" x14ac:dyDescent="0.25">
      <c r="A86" s="810" t="str">
        <f>OF!A40</f>
        <v>OF7</v>
      </c>
      <c r="B86" s="1312" t="str">
        <f>OF!B40</f>
        <v>Woody Uniqueness</v>
      </c>
      <c r="C86" s="793" t="str">
        <f>OF!C40</f>
        <v xml:space="preserve">The AA's vegetation cover is &gt;10% woody* but uplands within 5 km have &lt;10% woody cover. If so, enter "3" and continue to OF8.  If not, consider: 
The AA's vegetation is &gt;10% woody* but uplands within 1 km have &lt;10% woody cover. If so enter "2" and continue to OF8.  If not, consider: 
The AA's vegetation is &gt;10%  woody* but uplands within 100 m of the wetland edge have &lt;10% woody cover.  If so, enter "1"  
 [* NOTE: woody cover = trees &amp; shrubs taller than 1 m.]
</v>
      </c>
      <c r="D86" s="912">
        <f>OF!D40</f>
        <v>0</v>
      </c>
      <c r="E86" s="816"/>
      <c r="F86" s="913"/>
      <c r="G86" s="806">
        <f>D86/3</f>
        <v>0</v>
      </c>
      <c r="H86" s="1448" t="s">
        <v>2227</v>
      </c>
      <c r="I86" s="103" t="s">
        <v>1600</v>
      </c>
    </row>
    <row r="87" spans="1:9" ht="45" customHeight="1" thickBot="1" x14ac:dyDescent="0.25">
      <c r="A87" s="999" t="str">
        <f>OF!A139</f>
        <v>OF29</v>
      </c>
      <c r="B87" s="164" t="str">
        <f>OF!B139</f>
        <v>Species of Conservation Concern</v>
      </c>
      <c r="C87" s="703" t="str">
        <f>OF!C140</f>
        <v xml:space="preserve">Presence of one or more of the plant species listed in the Plants_Rare worksheet of the accompanying SuppInfo file, or the AA is within a mapped Atlantic Coastal Plain Flora Buffer </v>
      </c>
      <c r="D87" s="915">
        <f>OF!D140</f>
        <v>1</v>
      </c>
      <c r="E87" s="171"/>
      <c r="F87" s="171"/>
      <c r="G87" s="806">
        <f>D87</f>
        <v>1</v>
      </c>
      <c r="H87" s="103" t="s">
        <v>1606</v>
      </c>
      <c r="I87" s="103" t="s">
        <v>1048</v>
      </c>
    </row>
    <row r="88" spans="1:9" s="47" customFormat="1" ht="21" customHeight="1" thickBot="1" x14ac:dyDescent="0.25">
      <c r="A88" s="2977"/>
      <c r="B88" s="2977"/>
      <c r="C88" s="2977"/>
      <c r="D88" s="2977"/>
      <c r="E88" s="2977"/>
      <c r="F88" s="2977"/>
      <c r="G88" s="2977"/>
      <c r="H88" s="2977"/>
      <c r="I88" s="996"/>
    </row>
    <row r="89" spans="1:9" ht="21" customHeight="1" x14ac:dyDescent="0.2">
      <c r="A89" s="2978"/>
      <c r="B89" s="2978"/>
      <c r="C89" s="2978"/>
      <c r="D89" s="2677" t="s">
        <v>615</v>
      </c>
      <c r="E89" s="2678"/>
      <c r="F89" s="2678"/>
      <c r="G89" s="1397">
        <f>AVERAGE(MAX(WoodyHtForm0,Forbs0), AVERAGE(gcover0, herbsens0, herbdiv0, ShrubDiv0))</f>
        <v>0.86111111111111116</v>
      </c>
      <c r="H89" s="1422" t="s">
        <v>2225</v>
      </c>
      <c r="I89" s="1423" t="s">
        <v>2163</v>
      </c>
    </row>
    <row r="90" spans="1:9" ht="21" customHeight="1" x14ac:dyDescent="0.2">
      <c r="A90" s="2978"/>
      <c r="B90" s="2978"/>
      <c r="C90" s="2978"/>
      <c r="D90" s="2679" t="s">
        <v>519</v>
      </c>
      <c r="E90" s="2680"/>
      <c r="F90" s="2680"/>
      <c r="G90" s="1398">
        <f>AVERAGE(persist0,AVERAGE(woodydbh0, Snags0, downwood0, girreg0, cliff0,gcover0))</f>
        <v>0.59166666666666656</v>
      </c>
      <c r="H90" s="1452" t="s">
        <v>2223</v>
      </c>
      <c r="I90" s="1424" t="s">
        <v>519</v>
      </c>
    </row>
    <row r="91" spans="1:9" ht="21" customHeight="1" thickBot="1" x14ac:dyDescent="0.25">
      <c r="A91" s="2978"/>
      <c r="B91" s="2978"/>
      <c r="C91" s="2978"/>
      <c r="D91" s="2681" t="s">
        <v>1142</v>
      </c>
      <c r="E91" s="2682"/>
      <c r="F91" s="2682"/>
      <c r="G91" s="1399">
        <f>AVERAGE(Toxic0,CovPctScape0, BuffPerim0,BuffLUtype0, DistNat0)</f>
        <v>0.26666666666666672</v>
      </c>
      <c r="H91" s="1425" t="s">
        <v>2053</v>
      </c>
      <c r="I91" s="1426" t="s">
        <v>2164</v>
      </c>
    </row>
    <row r="92" spans="1:9" ht="21" customHeight="1" thickBot="1" x14ac:dyDescent="0.25">
      <c r="A92" s="2978"/>
      <c r="B92" s="2978"/>
      <c r="C92" s="2978"/>
      <c r="D92" s="2978"/>
      <c r="E92" s="2978"/>
      <c r="F92" s="2978"/>
      <c r="G92" s="2978"/>
      <c r="H92" s="2978"/>
      <c r="I92" s="43"/>
    </row>
    <row r="93" spans="1:9" ht="30" customHeight="1" thickBot="1" x14ac:dyDescent="0.25">
      <c r="A93" s="2987"/>
      <c r="B93" s="2987"/>
      <c r="C93" s="2990" t="s">
        <v>55</v>
      </c>
      <c r="D93" s="2991"/>
      <c r="E93" s="2991"/>
      <c r="F93" s="1268" t="s">
        <v>52</v>
      </c>
      <c r="G93" s="1400">
        <f>10*(IF((AllWet=1),0, AVERAGE(PollenOn,NestSites, Stress0)))</f>
        <v>5.7314814814814818</v>
      </c>
      <c r="H93" s="2721" t="s">
        <v>2094</v>
      </c>
      <c r="I93" s="2722"/>
    </row>
    <row r="94" spans="1:9" ht="30" customHeight="1" thickBot="1" x14ac:dyDescent="0.25">
      <c r="A94" s="2987"/>
      <c r="B94" s="2987"/>
      <c r="C94" s="2988" t="s">
        <v>1915</v>
      </c>
      <c r="D94" s="2989"/>
      <c r="E94" s="2989"/>
      <c r="F94" s="1268" t="s">
        <v>2219</v>
      </c>
      <c r="G94" s="1401">
        <f>10*(MAX(HerbUniq0,WoodyUniq0,rareherb))</f>
        <v>10</v>
      </c>
      <c r="H94" s="2721" t="s">
        <v>2211</v>
      </c>
      <c r="I94" s="2722"/>
    </row>
    <row r="95" spans="1:9" ht="21" customHeight="1" thickBot="1" x14ac:dyDescent="0.25">
      <c r="D95" s="42"/>
      <c r="E95" s="42"/>
      <c r="F95" s="42"/>
      <c r="G95" s="42"/>
      <c r="H95" s="46"/>
    </row>
    <row r="96" spans="1:9" ht="21" customHeight="1" thickBot="1" x14ac:dyDescent="0.25">
      <c r="D96" s="42"/>
      <c r="E96" s="42"/>
      <c r="F96" s="42"/>
      <c r="G96" s="42"/>
      <c r="H96" s="2966" t="s">
        <v>669</v>
      </c>
      <c r="I96" s="2967"/>
    </row>
    <row r="97" spans="4:9" ht="42" customHeight="1" x14ac:dyDescent="0.2">
      <c r="D97" s="42"/>
      <c r="E97" s="42"/>
      <c r="F97" s="42"/>
      <c r="G97" s="42"/>
      <c r="H97" s="2968" t="s">
        <v>1754</v>
      </c>
      <c r="I97" s="2969"/>
    </row>
    <row r="98" spans="4:9" ht="42" customHeight="1" x14ac:dyDescent="0.2">
      <c r="H98" s="2531" t="s">
        <v>1755</v>
      </c>
      <c r="I98" s="2532"/>
    </row>
    <row r="99" spans="4:9" ht="69.599999999999994" customHeight="1" x14ac:dyDescent="0.2">
      <c r="H99" s="2701" t="s">
        <v>1756</v>
      </c>
      <c r="I99" s="2702"/>
    </row>
    <row r="100" spans="4:9" ht="42" customHeight="1" x14ac:dyDescent="0.2">
      <c r="H100" s="2701" t="s">
        <v>1757</v>
      </c>
      <c r="I100" s="2702"/>
    </row>
    <row r="101" spans="4:9" ht="42" customHeight="1" x14ac:dyDescent="0.2">
      <c r="H101" s="2531" t="s">
        <v>1758</v>
      </c>
      <c r="I101" s="2532"/>
    </row>
    <row r="102" spans="4:9" ht="42" customHeight="1" x14ac:dyDescent="0.2">
      <c r="H102" s="2531" t="s">
        <v>1759</v>
      </c>
      <c r="I102" s="2532"/>
    </row>
    <row r="103" spans="4:9" ht="42" customHeight="1" x14ac:dyDescent="0.2">
      <c r="H103" s="2531" t="s">
        <v>1765</v>
      </c>
      <c r="I103" s="2532"/>
    </row>
    <row r="104" spans="4:9" ht="42" customHeight="1" x14ac:dyDescent="0.2">
      <c r="H104" s="2531" t="s">
        <v>1760</v>
      </c>
      <c r="I104" s="2532"/>
    </row>
    <row r="105" spans="4:9" ht="27" customHeight="1" x14ac:dyDescent="0.2">
      <c r="H105" s="2701" t="s">
        <v>1761</v>
      </c>
      <c r="I105" s="2702"/>
    </row>
    <row r="106" spans="4:9" ht="42" customHeight="1" x14ac:dyDescent="0.2">
      <c r="H106" s="2701" t="s">
        <v>1762</v>
      </c>
      <c r="I106" s="2702"/>
    </row>
    <row r="107" spans="4:9" ht="27" customHeight="1" x14ac:dyDescent="0.2">
      <c r="H107" s="2531" t="s">
        <v>908</v>
      </c>
      <c r="I107" s="2532"/>
    </row>
    <row r="108" spans="4:9" ht="42" customHeight="1" x14ac:dyDescent="0.2">
      <c r="H108" s="2531" t="s">
        <v>1763</v>
      </c>
      <c r="I108" s="2532"/>
    </row>
    <row r="109" spans="4:9" ht="27" customHeight="1" thickBot="1" x14ac:dyDescent="0.25">
      <c r="H109" s="2843" t="s">
        <v>1764</v>
      </c>
      <c r="I109" s="2844"/>
    </row>
    <row r="110" spans="4:9" x14ac:dyDescent="0.2">
      <c r="H110" s="6"/>
    </row>
    <row r="111" spans="4:9" x14ac:dyDescent="0.2">
      <c r="H111" s="6"/>
    </row>
    <row r="112" spans="4:9" x14ac:dyDescent="0.2">
      <c r="H112" s="6"/>
    </row>
  </sheetData>
  <sheetProtection algorithmName="SHA-512" hashValue="N5Ym4WdaZUEWT5M89oY3MOsa17arKJJgtVQL0a5YeIOQ1Vr78ZHlHTumdsPD0V5C1mNy1Iea94W0Rd/P1A5ucQ==" saltValue="sMZFbh3VHuBgvE0e9UDHuQ==" spinCount="100000" sheet="1" formatCells="0" formatColumns="0" formatRows="0"/>
  <customSheetViews>
    <customSheetView guid="{B8E02330-2419-4DE6-AD01-7ACC7A5D18DD}" scale="70">
      <selection activeCell="C9" sqref="C9"/>
      <pageMargins left="0.75" right="0.75" top="1" bottom="1" header="0.5" footer="0.5"/>
      <pageSetup orientation="portrait" r:id="rId1"/>
      <headerFooter alignWithMargins="0"/>
    </customSheetView>
  </customSheetViews>
  <mergeCells count="87">
    <mergeCell ref="A17:A23"/>
    <mergeCell ref="B3:B10"/>
    <mergeCell ref="A3:A10"/>
    <mergeCell ref="H79:H81"/>
    <mergeCell ref="B79:B81"/>
    <mergeCell ref="A79:A81"/>
    <mergeCell ref="H73:H78"/>
    <mergeCell ref="B73:B78"/>
    <mergeCell ref="A73:A78"/>
    <mergeCell ref="B11:B16"/>
    <mergeCell ref="H11:H16"/>
    <mergeCell ref="A11:A16"/>
    <mergeCell ref="B27:B35"/>
    <mergeCell ref="H43:H47"/>
    <mergeCell ref="B43:B47"/>
    <mergeCell ref="H48:H51"/>
    <mergeCell ref="A93:B94"/>
    <mergeCell ref="B58:B60"/>
    <mergeCell ref="C94:E94"/>
    <mergeCell ref="D90:F90"/>
    <mergeCell ref="C93:E93"/>
    <mergeCell ref="A1:B1"/>
    <mergeCell ref="H58:H60"/>
    <mergeCell ref="H52:H57"/>
    <mergeCell ref="H40:H42"/>
    <mergeCell ref="B48:B51"/>
    <mergeCell ref="H36:H39"/>
    <mergeCell ref="A27:A35"/>
    <mergeCell ref="H24:H26"/>
    <mergeCell ref="A24:A26"/>
    <mergeCell ref="A43:A47"/>
    <mergeCell ref="A48:A51"/>
    <mergeCell ref="B36:B39"/>
    <mergeCell ref="B40:B42"/>
    <mergeCell ref="A40:A42"/>
    <mergeCell ref="A36:A39"/>
    <mergeCell ref="B24:B26"/>
    <mergeCell ref="A52:A57"/>
    <mergeCell ref="B52:B57"/>
    <mergeCell ref="D89:F89"/>
    <mergeCell ref="A88:C92"/>
    <mergeCell ref="D88:H88"/>
    <mergeCell ref="D92:H92"/>
    <mergeCell ref="A67:A72"/>
    <mergeCell ref="B67:B72"/>
    <mergeCell ref="B61:B66"/>
    <mergeCell ref="A61:A66"/>
    <mergeCell ref="A58:A60"/>
    <mergeCell ref="D91:F91"/>
    <mergeCell ref="H61:H66"/>
    <mergeCell ref="E1:I1"/>
    <mergeCell ref="I3:I10"/>
    <mergeCell ref="I11:I16"/>
    <mergeCell ref="I27:I35"/>
    <mergeCell ref="I36:I39"/>
    <mergeCell ref="H27:H35"/>
    <mergeCell ref="H3:H10"/>
    <mergeCell ref="H96:I96"/>
    <mergeCell ref="H97:I97"/>
    <mergeCell ref="H98:I98"/>
    <mergeCell ref="I40:I42"/>
    <mergeCell ref="I24:I26"/>
    <mergeCell ref="I43:I47"/>
    <mergeCell ref="I48:I51"/>
    <mergeCell ref="I52:I57"/>
    <mergeCell ref="H67:H72"/>
    <mergeCell ref="H93:I93"/>
    <mergeCell ref="H94:I94"/>
    <mergeCell ref="I58:I60"/>
    <mergeCell ref="I61:I66"/>
    <mergeCell ref="I67:I72"/>
    <mergeCell ref="B17:B23"/>
    <mergeCell ref="H17:H23"/>
    <mergeCell ref="I17:I23"/>
    <mergeCell ref="H109:I109"/>
    <mergeCell ref="H101:I101"/>
    <mergeCell ref="H102:I102"/>
    <mergeCell ref="H103:I103"/>
    <mergeCell ref="H104:I104"/>
    <mergeCell ref="H105:I105"/>
    <mergeCell ref="H99:I99"/>
    <mergeCell ref="H100:I100"/>
    <mergeCell ref="H106:I106"/>
    <mergeCell ref="H108:I108"/>
    <mergeCell ref="H107:I107"/>
    <mergeCell ref="I73:I78"/>
    <mergeCell ref="I79:I81"/>
  </mergeCells>
  <phoneticPr fontId="3" type="noConversion"/>
  <pageMargins left="0.75" right="0.75" top="1" bottom="1" header="0.5" footer="0.5"/>
  <pageSetup orientation="portrait" r:id="rId2"/>
  <headerFooter alignWithMargins="0"/>
  <ignoredErrors>
    <ignoredError sqref="G61" formulaRange="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dimension ref="A1:J270"/>
  <sheetViews>
    <sheetView topLeftCell="A136" zoomScaleNormal="100" workbookViewId="0">
      <selection activeCell="G140" sqref="G140"/>
    </sheetView>
  </sheetViews>
  <sheetFormatPr defaultColWidth="9.33203125" defaultRowHeight="16.5" x14ac:dyDescent="0.2"/>
  <cols>
    <col min="1" max="1" width="5.83203125" style="85" customWidth="1"/>
    <col min="2" max="2" width="18.83203125" style="42" customWidth="1"/>
    <col min="3" max="3" width="75.83203125" style="42" customWidth="1"/>
    <col min="4" max="4" width="7.83203125" style="874" customWidth="1"/>
    <col min="5" max="5" width="7.83203125" style="95" customWidth="1"/>
    <col min="6" max="6" width="7.83203125" style="46" customWidth="1"/>
    <col min="7" max="7" width="9.1640625" style="807" customWidth="1"/>
    <col min="8" max="8" width="64.83203125" style="6" customWidth="1"/>
    <col min="9" max="9" width="9.83203125" style="7" customWidth="1"/>
    <col min="10" max="10" width="9.33203125" style="111"/>
    <col min="11" max="16384" width="9.33203125" style="39"/>
  </cols>
  <sheetData>
    <row r="1" spans="1:10" s="2077" customFormat="1" ht="54" customHeight="1" thickBot="1" x14ac:dyDescent="0.25">
      <c r="A1" s="3014" t="s">
        <v>1318</v>
      </c>
      <c r="B1" s="3015"/>
      <c r="C1" s="2058" t="s">
        <v>1086</v>
      </c>
      <c r="D1" s="2126" t="s">
        <v>1075</v>
      </c>
      <c r="E1" s="2634"/>
      <c r="F1" s="2635"/>
      <c r="G1" s="2635"/>
      <c r="H1" s="2635"/>
      <c r="I1" s="2635"/>
      <c r="J1" s="377"/>
    </row>
    <row r="2" spans="1:10" s="111" customFormat="1" ht="36" customHeight="1" thickBot="1" x14ac:dyDescent="0.25">
      <c r="A2" s="1195" t="s">
        <v>88</v>
      </c>
      <c r="B2" s="1158" t="s">
        <v>1425</v>
      </c>
      <c r="C2" s="1196" t="s">
        <v>1165</v>
      </c>
      <c r="D2" s="1158" t="s">
        <v>45</v>
      </c>
      <c r="E2" s="1249" t="s">
        <v>1189</v>
      </c>
      <c r="F2" s="1250" t="s">
        <v>1190</v>
      </c>
      <c r="G2" s="1251" t="s">
        <v>2555</v>
      </c>
      <c r="H2" s="1158" t="s">
        <v>1118</v>
      </c>
      <c r="I2" s="1232" t="s">
        <v>2424</v>
      </c>
    </row>
    <row r="3" spans="1:10" ht="30" customHeight="1" thickBot="1" x14ac:dyDescent="0.25">
      <c r="A3" s="2971" t="str">
        <f>OF!A9</f>
        <v>OF2</v>
      </c>
      <c r="B3" s="2974" t="str">
        <f>OF!B9</f>
        <v xml:space="preserve">Ponded Area Within 1 km.  </v>
      </c>
      <c r="C3" s="164" t="str">
        <f>OF!C9</f>
        <v>The area of surface water ponded during most of the growing season that is both (1) in or adjacent to the AA and (2) within 1 km is:</v>
      </c>
      <c r="D3" s="726"/>
      <c r="E3" s="209"/>
      <c r="F3" s="176"/>
      <c r="G3" s="794">
        <f>MAX(F4:F9)/MAX(E4:E9)</f>
        <v>0</v>
      </c>
      <c r="H3" s="2326" t="s">
        <v>1627</v>
      </c>
      <c r="I3" s="2323" t="s">
        <v>308</v>
      </c>
    </row>
    <row r="4" spans="1:10" ht="15" customHeight="1" x14ac:dyDescent="0.2">
      <c r="A4" s="2972"/>
      <c r="B4" s="2975"/>
      <c r="C4" s="150" t="str">
        <f>OF!C10</f>
        <v>&lt;0.01 hectare (about 10 m x 10 m).</v>
      </c>
      <c r="D4" s="45">
        <f>OF!D10</f>
        <v>1</v>
      </c>
      <c r="E4" s="710">
        <v>0</v>
      </c>
      <c r="F4" s="87">
        <f t="shared" ref="F4:F9" si="0">D4*E4</f>
        <v>0</v>
      </c>
      <c r="G4" s="804"/>
      <c r="H4" s="2327"/>
      <c r="I4" s="2324"/>
    </row>
    <row r="5" spans="1:10" ht="15" customHeight="1" x14ac:dyDescent="0.2">
      <c r="A5" s="2972"/>
      <c r="B5" s="2975"/>
      <c r="C5" s="683" t="str">
        <f>OF!C11</f>
        <v>0.01 - 0.1 hectare.</v>
      </c>
      <c r="D5" s="45">
        <f>OF!D11</f>
        <v>0</v>
      </c>
      <c r="E5" s="710">
        <v>1</v>
      </c>
      <c r="F5" s="87">
        <f t="shared" si="0"/>
        <v>0</v>
      </c>
      <c r="G5" s="805"/>
      <c r="H5" s="2327"/>
      <c r="I5" s="2324"/>
    </row>
    <row r="6" spans="1:10" ht="15" customHeight="1" x14ac:dyDescent="0.2">
      <c r="A6" s="2972"/>
      <c r="B6" s="2975"/>
      <c r="C6" s="683" t="str">
        <f>OF!C12</f>
        <v>0.1 - 1 hectare.</v>
      </c>
      <c r="D6" s="45">
        <f>OF!D12</f>
        <v>0</v>
      </c>
      <c r="E6" s="710">
        <v>2</v>
      </c>
      <c r="F6" s="87">
        <f t="shared" si="0"/>
        <v>0</v>
      </c>
      <c r="G6" s="805"/>
      <c r="H6" s="2327"/>
      <c r="I6" s="2324"/>
    </row>
    <row r="7" spans="1:10" ht="15" customHeight="1" x14ac:dyDescent="0.2">
      <c r="A7" s="2972"/>
      <c r="B7" s="2975"/>
      <c r="C7" s="683" t="str">
        <f>OF!C13</f>
        <v>1 to 10 hectares.</v>
      </c>
      <c r="D7" s="45">
        <f>OF!D13</f>
        <v>0</v>
      </c>
      <c r="E7" s="710">
        <v>3</v>
      </c>
      <c r="F7" s="87">
        <f t="shared" si="0"/>
        <v>0</v>
      </c>
      <c r="G7" s="805"/>
      <c r="H7" s="2327"/>
      <c r="I7" s="2324"/>
    </row>
    <row r="8" spans="1:10" ht="15" customHeight="1" x14ac:dyDescent="0.2">
      <c r="A8" s="2972"/>
      <c r="B8" s="2975"/>
      <c r="C8" s="683" t="str">
        <f>OF!C14</f>
        <v>10 to 100 hectares.</v>
      </c>
      <c r="D8" s="45">
        <f>OF!D14</f>
        <v>0</v>
      </c>
      <c r="E8" s="710">
        <v>5</v>
      </c>
      <c r="F8" s="87">
        <f t="shared" si="0"/>
        <v>0</v>
      </c>
      <c r="G8" s="805"/>
      <c r="H8" s="2327"/>
      <c r="I8" s="2324"/>
    </row>
    <row r="9" spans="1:10" ht="15.6" customHeight="1" thickBot="1" x14ac:dyDescent="0.25">
      <c r="A9" s="2973"/>
      <c r="B9" s="2976"/>
      <c r="C9" s="684" t="str">
        <f>OF!C15</f>
        <v>&gt;100 hectares.</v>
      </c>
      <c r="D9" s="178">
        <f>OF!D15</f>
        <v>0</v>
      </c>
      <c r="E9" s="816">
        <v>7</v>
      </c>
      <c r="F9" s="174">
        <f t="shared" si="0"/>
        <v>0</v>
      </c>
      <c r="G9" s="1023"/>
      <c r="H9" s="2328"/>
      <c r="I9" s="2325"/>
    </row>
    <row r="10" spans="1:10" ht="36" customHeight="1" thickBot="1" x14ac:dyDescent="0.25">
      <c r="A10" s="2975" t="str">
        <f>OF!A23</f>
        <v>OF4</v>
      </c>
      <c r="B10" s="2975" t="str">
        <f>OF!B23</f>
        <v xml:space="preserve">Size of Largest Nearby Vegetated Tract or Corridor </v>
      </c>
      <c r="C10" s="1037" t="str">
        <f>OF!C23</f>
        <v>The largest vegetated patch or corridor that includes the AA's vegetation plus all adjacent upland vegetation that is not lawn, row crops, heavily grazed lands, conifer plantation is:</v>
      </c>
      <c r="D10" s="723"/>
      <c r="E10" s="710"/>
      <c r="F10" s="93"/>
      <c r="G10" s="969">
        <f>MAX(F11:F17)/MAX(E11:E17)</f>
        <v>0.625</v>
      </c>
      <c r="H10" s="2643" t="s">
        <v>2377</v>
      </c>
      <c r="I10" s="2323" t="s">
        <v>2874</v>
      </c>
    </row>
    <row r="11" spans="1:10" ht="15" customHeight="1" x14ac:dyDescent="0.2">
      <c r="A11" s="2975"/>
      <c r="B11" s="2975"/>
      <c r="C11" s="1022" t="str">
        <f>OF!C24</f>
        <v>&lt;0.01 hectare (about 10 m x 10 m).</v>
      </c>
      <c r="D11" s="1074">
        <f>OF!D24</f>
        <v>0</v>
      </c>
      <c r="E11" s="710">
        <v>0</v>
      </c>
      <c r="F11" s="87">
        <f t="shared" ref="F11:F17" si="1">D11*E11</f>
        <v>0</v>
      </c>
      <c r="G11" s="804"/>
      <c r="H11" s="2643"/>
      <c r="I11" s="2324"/>
    </row>
    <row r="12" spans="1:10" ht="15" customHeight="1" x14ac:dyDescent="0.2">
      <c r="A12" s="2975"/>
      <c r="B12" s="2975"/>
      <c r="C12" s="918" t="str">
        <f>OF!C25</f>
        <v>0.01 - 0.1 hectare.</v>
      </c>
      <c r="D12" s="1069">
        <f>OF!D25</f>
        <v>0</v>
      </c>
      <c r="E12" s="710">
        <v>1</v>
      </c>
      <c r="F12" s="87">
        <f t="shared" si="1"/>
        <v>0</v>
      </c>
      <c r="G12" s="805"/>
      <c r="H12" s="2643"/>
      <c r="I12" s="2324"/>
    </row>
    <row r="13" spans="1:10" ht="15" customHeight="1" x14ac:dyDescent="0.2">
      <c r="A13" s="2975"/>
      <c r="B13" s="2975"/>
      <c r="C13" s="918" t="str">
        <f>OF!C26</f>
        <v>0.1 - 1 hectare.</v>
      </c>
      <c r="D13" s="1069">
        <f>OF!D26</f>
        <v>0</v>
      </c>
      <c r="E13" s="710">
        <v>2</v>
      </c>
      <c r="F13" s="87">
        <f t="shared" si="1"/>
        <v>0</v>
      </c>
      <c r="G13" s="805"/>
      <c r="H13" s="2643"/>
      <c r="I13" s="2324"/>
    </row>
    <row r="14" spans="1:10" ht="15" customHeight="1" x14ac:dyDescent="0.2">
      <c r="A14" s="2975"/>
      <c r="B14" s="2975"/>
      <c r="C14" s="918" t="str">
        <f>OF!C27</f>
        <v>1 to 10 hectares.</v>
      </c>
      <c r="D14" s="1069">
        <f>OF!D27</f>
        <v>0</v>
      </c>
      <c r="E14" s="710">
        <v>3</v>
      </c>
      <c r="F14" s="87">
        <f t="shared" si="1"/>
        <v>0</v>
      </c>
      <c r="G14" s="805"/>
      <c r="H14" s="2643"/>
      <c r="I14" s="2324"/>
    </row>
    <row r="15" spans="1:10" ht="15" customHeight="1" x14ac:dyDescent="0.2">
      <c r="A15" s="2975"/>
      <c r="B15" s="2975"/>
      <c r="C15" s="918" t="str">
        <f>OF!C28</f>
        <v>10 to 100 hectares.</v>
      </c>
      <c r="D15" s="1069">
        <f>OF!D28</f>
        <v>1</v>
      </c>
      <c r="E15" s="710">
        <v>5</v>
      </c>
      <c r="F15" s="87">
        <f t="shared" si="1"/>
        <v>5</v>
      </c>
      <c r="G15" s="805"/>
      <c r="H15" s="2643"/>
      <c r="I15" s="2324"/>
    </row>
    <row r="16" spans="1:10" ht="15" customHeight="1" x14ac:dyDescent="0.2">
      <c r="A16" s="2975"/>
      <c r="B16" s="2975"/>
      <c r="C16" s="918" t="str">
        <f>OF!C29</f>
        <v>100 to 1000 hectares.</v>
      </c>
      <c r="D16" s="1069">
        <f>OF!D29</f>
        <v>0</v>
      </c>
      <c r="E16" s="172">
        <v>6</v>
      </c>
      <c r="F16" s="712">
        <f t="shared" si="1"/>
        <v>0</v>
      </c>
      <c r="G16" s="917"/>
      <c r="H16" s="2643"/>
      <c r="I16" s="2324"/>
    </row>
    <row r="17" spans="1:10" ht="15" customHeight="1" thickBot="1" x14ac:dyDescent="0.25">
      <c r="A17" s="2976"/>
      <c r="B17" s="2976"/>
      <c r="C17" s="919" t="str">
        <f>OF!C30</f>
        <v>&gt;1000 hectares. [This is nearly always the answer in relatively undeveloped landscapes.]</v>
      </c>
      <c r="D17" s="1070">
        <f>OF!D30</f>
        <v>0</v>
      </c>
      <c r="E17" s="174">
        <v>8</v>
      </c>
      <c r="F17" s="174">
        <f t="shared" si="1"/>
        <v>0</v>
      </c>
      <c r="G17" s="721"/>
      <c r="H17" s="2689"/>
      <c r="I17" s="2325"/>
    </row>
    <row r="18" spans="1:10" ht="30" customHeight="1" thickBot="1" x14ac:dyDescent="0.25">
      <c r="A18" s="2974" t="str">
        <f>OF!A31</f>
        <v>OF5</v>
      </c>
      <c r="B18" s="2974" t="str">
        <f>OF!B31</f>
        <v>Distance to Large Vegetated Tract</v>
      </c>
      <c r="C18" s="1037" t="str">
        <f>OF!C31</f>
        <v>The minimum distance from the edge of the AA to the edge of the closest vegetated land (but excluding row crops, lawn, conifer plantation) larger than 375 hectares (about 2 km on a side), is:</v>
      </c>
      <c r="D18" s="726"/>
      <c r="E18" s="209"/>
      <c r="F18" s="176"/>
      <c r="G18" s="794">
        <f>MAX(F19:F25)/MAX(E19:E25)</f>
        <v>0.16666666666666666</v>
      </c>
      <c r="H18" s="2552" t="s">
        <v>1319</v>
      </c>
      <c r="I18" s="2323" t="s">
        <v>1320</v>
      </c>
    </row>
    <row r="19" spans="1:10" ht="42" customHeight="1" x14ac:dyDescent="0.2">
      <c r="A19" s="2975"/>
      <c r="B19" s="2975"/>
      <c r="C19" s="1022" t="str">
        <f>OF!C32</f>
        <v>&lt;50 m, and not separated from the 375-ha vegetated area by any width of paved roads, stretches of open water, row crops, bare ground, lawn, or impervious surface. Or the AA itself contains &gt;375 ha of vegetation. [This is often the answer in relatively undeveloped landscapes.]</v>
      </c>
      <c r="D19" s="1074">
        <f>OF!D32</f>
        <v>0</v>
      </c>
      <c r="E19" s="710">
        <v>6</v>
      </c>
      <c r="F19" s="87">
        <f t="shared" ref="F19:F25" si="2">D19*E19</f>
        <v>0</v>
      </c>
      <c r="G19" s="804"/>
      <c r="H19" s="2643"/>
      <c r="I19" s="2324"/>
    </row>
    <row r="20" spans="1:10" ht="27" customHeight="1" x14ac:dyDescent="0.2">
      <c r="A20" s="2975"/>
      <c r="B20" s="2975"/>
      <c r="C20" s="918" t="str">
        <f>OF!C33</f>
        <v>&lt;50 m, but completely separated from the 375-ha vegetated area by those features, and AA does not contain &gt;375 ha of vegetation.</v>
      </c>
      <c r="D20" s="1069">
        <f>OF!D33</f>
        <v>0</v>
      </c>
      <c r="E20" s="710">
        <v>5</v>
      </c>
      <c r="F20" s="87">
        <f t="shared" si="2"/>
        <v>0</v>
      </c>
      <c r="G20" s="805"/>
      <c r="H20" s="2643"/>
      <c r="I20" s="2324"/>
    </row>
    <row r="21" spans="1:10" ht="15" customHeight="1" x14ac:dyDescent="0.2">
      <c r="A21" s="2975"/>
      <c r="B21" s="2975"/>
      <c r="C21" s="918" t="str">
        <f>OF!C34</f>
        <v>50-500 m, and not separated.</v>
      </c>
      <c r="D21" s="1069">
        <f>OF!D34</f>
        <v>0</v>
      </c>
      <c r="E21" s="710">
        <v>4</v>
      </c>
      <c r="F21" s="87">
        <f t="shared" si="2"/>
        <v>0</v>
      </c>
      <c r="G21" s="805"/>
      <c r="H21" s="2643"/>
      <c r="I21" s="2324"/>
    </row>
    <row r="22" spans="1:10" ht="15" customHeight="1" x14ac:dyDescent="0.2">
      <c r="A22" s="2975"/>
      <c r="B22" s="2975"/>
      <c r="C22" s="918" t="str">
        <f>OF!C35</f>
        <v>50-500 m, but separated by those features.</v>
      </c>
      <c r="D22" s="1069">
        <f>OF!D35</f>
        <v>0</v>
      </c>
      <c r="E22" s="710">
        <v>3</v>
      </c>
      <c r="F22" s="87">
        <f t="shared" si="2"/>
        <v>0</v>
      </c>
      <c r="G22" s="805"/>
      <c r="H22" s="2643"/>
      <c r="I22" s="2324"/>
    </row>
    <row r="23" spans="1:10" ht="15" customHeight="1" x14ac:dyDescent="0.2">
      <c r="A23" s="2975"/>
      <c r="B23" s="2975"/>
      <c r="C23" s="918" t="str">
        <f>OF!C36</f>
        <v>0.5 - 5 km, and not separated.</v>
      </c>
      <c r="D23" s="1069">
        <f>OF!D36</f>
        <v>0</v>
      </c>
      <c r="E23" s="710">
        <v>2</v>
      </c>
      <c r="F23" s="87">
        <f t="shared" si="2"/>
        <v>0</v>
      </c>
      <c r="G23" s="805"/>
      <c r="H23" s="2643"/>
      <c r="I23" s="2324"/>
    </row>
    <row r="24" spans="1:10" ht="15" customHeight="1" x14ac:dyDescent="0.2">
      <c r="A24" s="2975"/>
      <c r="B24" s="2975"/>
      <c r="C24" s="918" t="str">
        <f>OF!C37</f>
        <v>0.5 - 5 km, but separated by those features.</v>
      </c>
      <c r="D24" s="1069">
        <f>OF!D37</f>
        <v>1</v>
      </c>
      <c r="E24" s="87">
        <v>1</v>
      </c>
      <c r="F24" s="87">
        <f t="shared" si="2"/>
        <v>1</v>
      </c>
      <c r="G24" s="796"/>
      <c r="H24" s="2643"/>
      <c r="I24" s="2324"/>
    </row>
    <row r="25" spans="1:10" ht="15" customHeight="1" thickBot="1" x14ac:dyDescent="0.25">
      <c r="A25" s="2976"/>
      <c r="B25" s="2976"/>
      <c r="C25" s="919" t="str">
        <f>OF!C38</f>
        <v>None of the above (the closest patches or corridors which are that large are &gt;5 km away).</v>
      </c>
      <c r="D25" s="1070">
        <f>OF!D38</f>
        <v>0</v>
      </c>
      <c r="E25" s="174">
        <v>0</v>
      </c>
      <c r="F25" s="174">
        <f t="shared" si="2"/>
        <v>0</v>
      </c>
      <c r="G25" s="721"/>
      <c r="H25" s="2689"/>
      <c r="I25" s="2325"/>
    </row>
    <row r="26" spans="1:10" ht="45" customHeight="1" thickBot="1" x14ac:dyDescent="0.25">
      <c r="A26" s="2996" t="str">
        <f>OF!A41</f>
        <v>OF8</v>
      </c>
      <c r="B26" s="2995" t="str">
        <f>OF!B41</f>
        <v>Local Vegetated Cover Percentage</v>
      </c>
      <c r="C26" s="165" t="str">
        <f>OF!C41</f>
        <v>Draw a 5-km radius circle measured from the center of the AA.  Ignoring all permanent water in the circle, the percent of the remaining area that is wooded or unmanaged herbaceous vegetation (NOT lawn, row crops, bare or heavily grazed land, clearcuts, or conifer plantations) is:</v>
      </c>
      <c r="D26" s="723"/>
      <c r="E26" s="710"/>
      <c r="F26" s="93"/>
      <c r="G26" s="711">
        <f>MAX(F27:F31)/MAX(E27:E31)</f>
        <v>0.5</v>
      </c>
      <c r="H26" s="2396" t="s">
        <v>1614</v>
      </c>
      <c r="I26" s="2324" t="s">
        <v>1681</v>
      </c>
    </row>
    <row r="27" spans="1:10" s="815" customFormat="1" ht="15" customHeight="1" x14ac:dyDescent="0.2">
      <c r="A27" s="2869"/>
      <c r="B27" s="2869"/>
      <c r="C27" s="793" t="str">
        <f>OF!C42</f>
        <v xml:space="preserve">&lt;5% of the land. </v>
      </c>
      <c r="D27" s="44">
        <f>OF!D42</f>
        <v>0</v>
      </c>
      <c r="E27" s="820">
        <v>0</v>
      </c>
      <c r="F27" s="87">
        <f>D27*E27</f>
        <v>0</v>
      </c>
      <c r="G27" s="799"/>
      <c r="H27" s="2396"/>
      <c r="I27" s="2324"/>
      <c r="J27" s="814"/>
    </row>
    <row r="28" spans="1:10" s="815" customFormat="1" ht="15" customHeight="1" x14ac:dyDescent="0.2">
      <c r="A28" s="2869"/>
      <c r="B28" s="2869"/>
      <c r="C28" s="788" t="str">
        <f>OF!C43</f>
        <v>5 to 20% of the land.</v>
      </c>
      <c r="D28" s="44">
        <f>OF!D43</f>
        <v>0</v>
      </c>
      <c r="E28" s="820">
        <v>1</v>
      </c>
      <c r="F28" s="87">
        <f>D28*E28</f>
        <v>0</v>
      </c>
      <c r="G28" s="800"/>
      <c r="H28" s="2396"/>
      <c r="I28" s="2324"/>
      <c r="J28" s="814"/>
    </row>
    <row r="29" spans="1:10" s="815" customFormat="1" ht="15" customHeight="1" x14ac:dyDescent="0.2">
      <c r="A29" s="2869"/>
      <c r="B29" s="2869"/>
      <c r="C29" s="788" t="str">
        <f>OF!C44</f>
        <v>20 to 60% of the land.</v>
      </c>
      <c r="D29" s="1118">
        <f>OF!D44</f>
        <v>1</v>
      </c>
      <c r="E29" s="820">
        <v>2</v>
      </c>
      <c r="F29" s="87">
        <f>D29*E29</f>
        <v>2</v>
      </c>
      <c r="G29" s="800"/>
      <c r="H29" s="2396"/>
      <c r="I29" s="2324"/>
      <c r="J29" s="814"/>
    </row>
    <row r="30" spans="1:10" s="815" customFormat="1" ht="15" customHeight="1" x14ac:dyDescent="0.2">
      <c r="A30" s="2869"/>
      <c r="B30" s="2869"/>
      <c r="C30" s="788" t="str">
        <f>OF!C45</f>
        <v>60 to 90% of the land.</v>
      </c>
      <c r="D30" s="271">
        <f>OF!D45</f>
        <v>0</v>
      </c>
      <c r="E30" s="820">
        <v>3</v>
      </c>
      <c r="F30" s="87">
        <f>D30*E30</f>
        <v>0</v>
      </c>
      <c r="G30" s="800"/>
      <c r="H30" s="2396"/>
      <c r="I30" s="2324"/>
      <c r="J30" s="814"/>
    </row>
    <row r="31" spans="1:10" s="815" customFormat="1" ht="15" customHeight="1" thickBot="1" x14ac:dyDescent="0.25">
      <c r="A31" s="2869"/>
      <c r="B31" s="2870"/>
      <c r="C31" s="1021" t="str">
        <f>OF!C46</f>
        <v>&gt;90% of the land. SKIP to OF10.</v>
      </c>
      <c r="D31" s="173">
        <f>OF!D46</f>
        <v>0</v>
      </c>
      <c r="E31" s="820">
        <v>4</v>
      </c>
      <c r="F31" s="87">
        <f>D31*E31</f>
        <v>0</v>
      </c>
      <c r="G31" s="800"/>
      <c r="H31" s="2396"/>
      <c r="I31" s="2325"/>
      <c r="J31" s="814"/>
    </row>
    <row r="32" spans="1:10" ht="21" customHeight="1" thickBot="1" x14ac:dyDescent="0.25">
      <c r="A32" s="2980" t="str">
        <f>OF!A50</f>
        <v>OF10</v>
      </c>
      <c r="B32" s="2974" t="str">
        <f>OF!B50</f>
        <v>Distance by Road to Nearest Population Center</v>
      </c>
      <c r="C32" s="682" t="str">
        <f>OF!C50</f>
        <v>Measured along the maintained road nearest the AA, the distance to the nearest population center is:</v>
      </c>
      <c r="D32" s="209"/>
      <c r="E32" s="209"/>
      <c r="F32" s="176"/>
      <c r="G32" s="725">
        <f>MAX(F33:F37)/MAX(E33:E37)</f>
        <v>0.33333333333333331</v>
      </c>
      <c r="H32" s="2326" t="s">
        <v>1108</v>
      </c>
      <c r="I32" s="2323" t="s">
        <v>301</v>
      </c>
    </row>
    <row r="33" spans="1:9" ht="15" customHeight="1" x14ac:dyDescent="0.2">
      <c r="A33" s="2875"/>
      <c r="B33" s="2975"/>
      <c r="C33" s="150" t="str">
        <f>OF!C51</f>
        <v>&lt;100 m.</v>
      </c>
      <c r="D33" s="96">
        <f>OF!D51</f>
        <v>0</v>
      </c>
      <c r="E33" s="87">
        <v>0</v>
      </c>
      <c r="F33" s="712">
        <f>D33*E33</f>
        <v>0</v>
      </c>
      <c r="G33" s="799"/>
      <c r="H33" s="2327"/>
      <c r="I33" s="2324"/>
    </row>
    <row r="34" spans="1:9" ht="15" customHeight="1" x14ac:dyDescent="0.2">
      <c r="A34" s="2875"/>
      <c r="B34" s="2975"/>
      <c r="C34" s="683" t="str">
        <f>OF!C52</f>
        <v>100 - 500 m.</v>
      </c>
      <c r="D34" s="45">
        <f>OF!D52</f>
        <v>1</v>
      </c>
      <c r="E34" s="87">
        <v>2</v>
      </c>
      <c r="F34" s="712">
        <f>D34*E34</f>
        <v>2</v>
      </c>
      <c r="G34" s="800"/>
      <c r="H34" s="2327"/>
      <c r="I34" s="2324"/>
    </row>
    <row r="35" spans="1:9" ht="15" customHeight="1" x14ac:dyDescent="0.2">
      <c r="A35" s="2875"/>
      <c r="B35" s="2975"/>
      <c r="C35" s="683" t="str">
        <f>OF!C53</f>
        <v>0.5- 1 km.</v>
      </c>
      <c r="D35" s="45">
        <f>OF!D53</f>
        <v>0</v>
      </c>
      <c r="E35" s="87">
        <v>3</v>
      </c>
      <c r="F35" s="712">
        <f>D35*E35</f>
        <v>0</v>
      </c>
      <c r="G35" s="800"/>
      <c r="H35" s="2327"/>
      <c r="I35" s="2324"/>
    </row>
    <row r="36" spans="1:9" ht="15" customHeight="1" x14ac:dyDescent="0.2">
      <c r="A36" s="2875"/>
      <c r="B36" s="2975"/>
      <c r="C36" s="683" t="str">
        <f>OF!C54</f>
        <v>1 - 5 km.</v>
      </c>
      <c r="D36" s="45">
        <f>OF!D54</f>
        <v>0</v>
      </c>
      <c r="E36" s="87">
        <v>4</v>
      </c>
      <c r="F36" s="712">
        <f>D36*E36</f>
        <v>0</v>
      </c>
      <c r="G36" s="800"/>
      <c r="H36" s="2327"/>
      <c r="I36" s="2324"/>
    </row>
    <row r="37" spans="1:9" ht="15" customHeight="1" thickBot="1" x14ac:dyDescent="0.25">
      <c r="A37" s="2876"/>
      <c r="B37" s="2976"/>
      <c r="C37" s="684" t="str">
        <f>OF!C55</f>
        <v>&gt;5 km.</v>
      </c>
      <c r="D37" s="178">
        <f>OF!D55</f>
        <v>0</v>
      </c>
      <c r="E37" s="174">
        <v>6</v>
      </c>
      <c r="F37" s="174">
        <f>D37*E37</f>
        <v>0</v>
      </c>
      <c r="G37" s="722"/>
      <c r="H37" s="2328"/>
      <c r="I37" s="2325"/>
    </row>
    <row r="38" spans="1:9" ht="21" customHeight="1" thickBot="1" x14ac:dyDescent="0.25">
      <c r="A38" s="3016" t="str">
        <f>OF!A56</f>
        <v>OF11</v>
      </c>
      <c r="B38" s="3020" t="str">
        <f>OF!B56</f>
        <v>Distance to Nearest Maintained Road</v>
      </c>
      <c r="C38" s="165" t="str">
        <f>OF!C56</f>
        <v>From the center of the AA, the distance to the nearest maintained public road (dirt or paved) is:</v>
      </c>
      <c r="D38" s="209"/>
      <c r="E38" s="710"/>
      <c r="F38" s="93"/>
      <c r="G38" s="711">
        <f>MAX(F39:F44)/MAX(E39:E44)</f>
        <v>1</v>
      </c>
      <c r="H38" s="2690" t="s">
        <v>468</v>
      </c>
      <c r="I38" s="2323" t="s">
        <v>302</v>
      </c>
    </row>
    <row r="39" spans="1:9" ht="15" customHeight="1" x14ac:dyDescent="0.2">
      <c r="A39" s="3017"/>
      <c r="B39" s="2983"/>
      <c r="C39" s="793" t="str">
        <f>OF!C57</f>
        <v>&lt;10 m.</v>
      </c>
      <c r="D39" s="270">
        <f>OF!D57</f>
        <v>0</v>
      </c>
      <c r="E39" s="87">
        <v>0</v>
      </c>
      <c r="F39" s="87">
        <f t="shared" ref="F39:F44" si="3">D39*E39</f>
        <v>0</v>
      </c>
      <c r="G39" s="799"/>
      <c r="H39" s="2691"/>
      <c r="I39" s="2324"/>
    </row>
    <row r="40" spans="1:9" ht="15" customHeight="1" x14ac:dyDescent="0.2">
      <c r="A40" s="3017"/>
      <c r="B40" s="2983"/>
      <c r="C40" s="788" t="str">
        <f>OF!C58</f>
        <v>10 - 25 m.</v>
      </c>
      <c r="D40" s="44">
        <f>OF!D58</f>
        <v>0</v>
      </c>
      <c r="E40" s="87">
        <v>4</v>
      </c>
      <c r="F40" s="87">
        <f t="shared" si="3"/>
        <v>0</v>
      </c>
      <c r="G40" s="800"/>
      <c r="H40" s="2691"/>
      <c r="I40" s="2324"/>
    </row>
    <row r="41" spans="1:9" ht="15" customHeight="1" x14ac:dyDescent="0.2">
      <c r="A41" s="3017"/>
      <c r="B41" s="2983"/>
      <c r="C41" s="788" t="str">
        <f>OF!C59</f>
        <v>25 - 50 m.</v>
      </c>
      <c r="D41" s="44">
        <f>OF!D59</f>
        <v>0</v>
      </c>
      <c r="E41" s="87">
        <v>5</v>
      </c>
      <c r="F41" s="87">
        <f t="shared" si="3"/>
        <v>0</v>
      </c>
      <c r="G41" s="800"/>
      <c r="H41" s="2691"/>
      <c r="I41" s="2324"/>
    </row>
    <row r="42" spans="1:9" ht="15" customHeight="1" x14ac:dyDescent="0.2">
      <c r="A42" s="3017"/>
      <c r="B42" s="2983"/>
      <c r="C42" s="788" t="str">
        <f>OF!C60</f>
        <v>50 - 100 m.</v>
      </c>
      <c r="D42" s="44">
        <f>OF!D60</f>
        <v>0</v>
      </c>
      <c r="E42" s="87">
        <v>5</v>
      </c>
      <c r="F42" s="87">
        <f t="shared" si="3"/>
        <v>0</v>
      </c>
      <c r="G42" s="800"/>
      <c r="H42" s="2691"/>
      <c r="I42" s="2324"/>
    </row>
    <row r="43" spans="1:9" ht="15" customHeight="1" x14ac:dyDescent="0.2">
      <c r="A43" s="3017"/>
      <c r="B43" s="2983"/>
      <c r="C43" s="788" t="str">
        <f>OF!C61</f>
        <v>100 - 500 m.</v>
      </c>
      <c r="D43" s="44">
        <f>OF!D61</f>
        <v>0</v>
      </c>
      <c r="E43" s="87">
        <v>5</v>
      </c>
      <c r="F43" s="87">
        <f t="shared" si="3"/>
        <v>0</v>
      </c>
      <c r="G43" s="800"/>
      <c r="H43" s="2691"/>
      <c r="I43" s="2324"/>
    </row>
    <row r="44" spans="1:9" ht="15" customHeight="1" thickBot="1" x14ac:dyDescent="0.25">
      <c r="A44" s="3018"/>
      <c r="B44" s="3021"/>
      <c r="C44" s="690" t="str">
        <f>OF!C62</f>
        <v>&gt;500 m.</v>
      </c>
      <c r="D44" s="271">
        <f>OF!D62</f>
        <v>1</v>
      </c>
      <c r="E44" s="712">
        <v>6</v>
      </c>
      <c r="F44" s="712">
        <f t="shared" si="3"/>
        <v>6</v>
      </c>
      <c r="G44" s="724"/>
      <c r="H44" s="2692"/>
      <c r="I44" s="2325"/>
    </row>
    <row r="45" spans="1:9" ht="30" customHeight="1" thickBot="1" x14ac:dyDescent="0.25">
      <c r="A45" s="3019" t="str">
        <f>OF!A64</f>
        <v>OF13</v>
      </c>
      <c r="B45" s="2995" t="str">
        <f>OF!B64</f>
        <v>Distance to Ponded Water</v>
      </c>
      <c r="C45" s="792" t="str">
        <f>OF!C64</f>
        <v>The distance from the AA center to the closest (but separate) ponded water body visible in GoogleEarth imagery is:</v>
      </c>
      <c r="D45" s="209"/>
      <c r="E45" s="209"/>
      <c r="F45" s="176"/>
      <c r="G45" s="725">
        <f>MAX(F46:F52)/MAX(E46:E52)</f>
        <v>0.16666666666666666</v>
      </c>
      <c r="H45" s="2394" t="s">
        <v>448</v>
      </c>
      <c r="I45" s="2323" t="s">
        <v>303</v>
      </c>
    </row>
    <row r="46" spans="1:9" ht="27" customHeight="1" x14ac:dyDescent="0.2">
      <c r="A46" s="2875"/>
      <c r="B46" s="2869"/>
      <c r="C46" s="793" t="str">
        <f>OF!C65</f>
        <v xml:space="preserve">&lt;50 m, and not separated by any width of paved roads, stretches of open water, row crops, lawn, bare ground, or impervious surface. </v>
      </c>
      <c r="D46" s="270">
        <f>OF!D65</f>
        <v>0</v>
      </c>
      <c r="E46" s="87">
        <v>6</v>
      </c>
      <c r="F46" s="87">
        <f t="shared" ref="F46:F52" si="4">D46*E46</f>
        <v>0</v>
      </c>
      <c r="G46" s="799"/>
      <c r="H46" s="2396"/>
      <c r="I46" s="2324"/>
    </row>
    <row r="47" spans="1:9" ht="15" customHeight="1" x14ac:dyDescent="0.2">
      <c r="A47" s="2875"/>
      <c r="B47" s="2869"/>
      <c r="C47" s="793" t="str">
        <f>OF!C66</f>
        <v>&lt;50 m, but completely separated by those features.</v>
      </c>
      <c r="D47" s="270">
        <f>OF!D66</f>
        <v>0</v>
      </c>
      <c r="E47" s="87">
        <v>5</v>
      </c>
      <c r="F47" s="87">
        <f t="shared" si="4"/>
        <v>0</v>
      </c>
      <c r="G47" s="800"/>
      <c r="H47" s="2396"/>
      <c r="I47" s="2324"/>
    </row>
    <row r="48" spans="1:9" ht="15" customHeight="1" x14ac:dyDescent="0.2">
      <c r="A48" s="2875"/>
      <c r="B48" s="2869"/>
      <c r="C48" s="793" t="str">
        <f>OF!C67</f>
        <v>50-500 m, and not separated.</v>
      </c>
      <c r="D48" s="270">
        <f>OF!D67</f>
        <v>0</v>
      </c>
      <c r="E48" s="87">
        <v>4</v>
      </c>
      <c r="F48" s="87">
        <f t="shared" si="4"/>
        <v>0</v>
      </c>
      <c r="G48" s="800"/>
      <c r="H48" s="2396"/>
      <c r="I48" s="2324"/>
    </row>
    <row r="49" spans="1:10" ht="15" customHeight="1" x14ac:dyDescent="0.2">
      <c r="A49" s="2875"/>
      <c r="B49" s="2869"/>
      <c r="C49" s="793" t="str">
        <f>OF!C68</f>
        <v>50-500 m, but separated by those features.</v>
      </c>
      <c r="D49" s="270">
        <f>OF!D68</f>
        <v>0</v>
      </c>
      <c r="E49" s="87">
        <v>3</v>
      </c>
      <c r="F49" s="87">
        <f t="shared" si="4"/>
        <v>0</v>
      </c>
      <c r="G49" s="800"/>
      <c r="H49" s="2396"/>
      <c r="I49" s="2324"/>
    </row>
    <row r="50" spans="1:10" ht="15" customHeight="1" x14ac:dyDescent="0.2">
      <c r="A50" s="2875"/>
      <c r="B50" s="2869"/>
      <c r="C50" s="793" t="str">
        <f>OF!C69</f>
        <v>0.5 - 1 km, and not separated.</v>
      </c>
      <c r="D50" s="270">
        <f>OF!D69</f>
        <v>0</v>
      </c>
      <c r="E50" s="87">
        <v>2</v>
      </c>
      <c r="F50" s="87">
        <f t="shared" si="4"/>
        <v>0</v>
      </c>
      <c r="G50" s="800"/>
      <c r="H50" s="2396"/>
      <c r="I50" s="2324"/>
    </row>
    <row r="51" spans="1:10" ht="15" customHeight="1" x14ac:dyDescent="0.2">
      <c r="A51" s="2875"/>
      <c r="B51" s="2869"/>
      <c r="C51" s="793" t="str">
        <f>OF!C70</f>
        <v>0.5 - 1 km, but separated by those features.</v>
      </c>
      <c r="D51" s="270">
        <f>OF!D70</f>
        <v>1</v>
      </c>
      <c r="E51" s="712">
        <v>1</v>
      </c>
      <c r="F51" s="712">
        <f t="shared" si="4"/>
        <v>1</v>
      </c>
      <c r="G51" s="724"/>
      <c r="H51" s="2396"/>
      <c r="I51" s="2324"/>
    </row>
    <row r="52" spans="1:10" ht="15" customHeight="1" thickBot="1" x14ac:dyDescent="0.25">
      <c r="A52" s="2875"/>
      <c r="B52" s="2869"/>
      <c r="C52" s="185" t="str">
        <f>OF!C71</f>
        <v>None of the above (the closest patches or corridors that large are &gt;1 km away).</v>
      </c>
      <c r="D52" s="1118">
        <f>OF!D71</f>
        <v>0</v>
      </c>
      <c r="E52" s="712">
        <v>0</v>
      </c>
      <c r="F52" s="712">
        <f t="shared" si="4"/>
        <v>0</v>
      </c>
      <c r="G52" s="724"/>
      <c r="H52" s="2396"/>
      <c r="I52" s="2324"/>
    </row>
    <row r="53" spans="1:10" ht="45" customHeight="1" thickBot="1" x14ac:dyDescent="0.25">
      <c r="A53" s="1573" t="str">
        <f>OF!A133</f>
        <v>OF27</v>
      </c>
      <c r="B53" s="1575" t="str">
        <f>OF!B133</f>
        <v>Growing Degree Days</v>
      </c>
      <c r="C53" s="2130" t="str">
        <f>OF!C133</f>
        <v>In Google Earth, open the KMZ file that accompanies this calculator, called NB-PEI_GrowingDegreeDays. Place your cursor over the AA and left-click. From the pop-up, enter the GRIDCODE in the next column.</v>
      </c>
      <c r="D53" s="1979">
        <f>OF!D133</f>
        <v>2135</v>
      </c>
      <c r="E53" s="1585"/>
      <c r="F53" s="507"/>
      <c r="G53" s="502">
        <f>IF((GrowD&lt;1),"",(GrowD-1305)/1328)</f>
        <v>0.625</v>
      </c>
      <c r="H53" s="1567" t="s">
        <v>1384</v>
      </c>
      <c r="I53" s="1962" t="s">
        <v>312</v>
      </c>
    </row>
    <row r="54" spans="1:10" s="40" customFormat="1" ht="75" customHeight="1" thickBot="1" x14ac:dyDescent="0.25">
      <c r="A54" s="188" t="str">
        <f>OF!A152</f>
        <v>OF37</v>
      </c>
      <c r="B54" s="165" t="str">
        <f>OF!B152</f>
        <v>Calcareous Region</v>
      </c>
      <c r="C54" s="188" t="str">
        <f>OF!C152</f>
        <v xml:space="preserve">The AA is in an area that is at least partly underlain by soil, sediment, or bedrock that is highly calcareous (enter 3 in next column), moderately calcareous (enter 2), or slightly calcareous (enter 1), none= 0. Limestone is typically a major component (karst geology) and water is not acidic (pH is usually &gt;8).See Figure A-6 in Appendix A of the Manual.  If no map coverage, change to blank.
</v>
      </c>
      <c r="D54" s="947">
        <f>OF!D152</f>
        <v>0</v>
      </c>
      <c r="E54" s="728"/>
      <c r="F54" s="817"/>
      <c r="G54" s="725">
        <f>IF((D54=""),"",D54/3)</f>
        <v>0</v>
      </c>
      <c r="H54" s="4" t="s">
        <v>2912</v>
      </c>
      <c r="I54" s="4" t="s">
        <v>417</v>
      </c>
      <c r="J54" s="186"/>
    </row>
    <row r="55" spans="1:10" ht="60" customHeight="1" thickBot="1" x14ac:dyDescent="0.25">
      <c r="A55" s="165" t="str">
        <f>F!A17</f>
        <v>F3</v>
      </c>
      <c r="B55" s="165" t="str">
        <f>F!B17</f>
        <v>Woody Height &amp; Form Diversity</v>
      </c>
      <c r="C55" s="914" t="str">
        <f>F!C17</f>
        <v>Following EACH row below, indicate with a number code the percentage of the living vegetation in the AA which is occupied by that feature (6 if &gt;95%, 5 if 75-95%, 4 if 50-75%, 3 if 25-50%, 2 if 5-25%, 1 if &lt;5%, 0 if none). If the vegetated part of the AA is largely herbaceous (non-woody) vegetation, these percentages should not sum to 100%.</v>
      </c>
      <c r="D55" s="728"/>
      <c r="E55" s="728"/>
      <c r="F55" s="948"/>
      <c r="G55" s="794">
        <f>COUNTIF(F!D18:D23,"&gt;1")/6</f>
        <v>0</v>
      </c>
      <c r="H55" s="73" t="s">
        <v>1611</v>
      </c>
      <c r="I55" s="4" t="s">
        <v>2873</v>
      </c>
    </row>
    <row r="56" spans="1:10" ht="66.75" customHeight="1" thickBot="1" x14ac:dyDescent="0.25">
      <c r="A56" s="4" t="s">
        <v>1343</v>
      </c>
      <c r="B56" s="894" t="s">
        <v>1336</v>
      </c>
      <c r="C56" s="41"/>
      <c r="D56" s="947">
        <f>MAX(F!D19, F!D21)</f>
        <v>1</v>
      </c>
      <c r="E56" s="710"/>
      <c r="F56" s="92"/>
      <c r="G56" s="794">
        <f>IF((SUM(F!D18:'F'!D21)=0),"",D56/6)</f>
        <v>0.16666666666666666</v>
      </c>
      <c r="H56" s="1082" t="s">
        <v>1695</v>
      </c>
      <c r="I56" s="4" t="s">
        <v>1337</v>
      </c>
    </row>
    <row r="57" spans="1:10" ht="30" customHeight="1" thickBot="1" x14ac:dyDescent="0.25">
      <c r="A57" s="3010" t="str">
        <f>F!A25</f>
        <v>F4</v>
      </c>
      <c r="B57" s="2995" t="str">
        <f>F!B25</f>
        <v xml:space="preserve">Dominance of Most Abundant Shrub Species </v>
      </c>
      <c r="C57" s="792" t="str">
        <f>F!C25</f>
        <v>Determine which two woody plant species comprise the greatest portion of the low (&lt;3 m) woody cover . Then choose one:</v>
      </c>
      <c r="D57" s="209"/>
      <c r="E57" s="209"/>
      <c r="F57" s="177"/>
      <c r="G57" s="725" t="str">
        <f>IF((MAX(F!D20:'F'!D21)&lt;2),"",MAX(F58:F59))</f>
        <v/>
      </c>
      <c r="H57" s="2394" t="s">
        <v>1872</v>
      </c>
      <c r="I57" s="2323" t="s">
        <v>2875</v>
      </c>
    </row>
    <row r="58" spans="1:10" ht="15" customHeight="1" x14ac:dyDescent="0.2">
      <c r="A58" s="2875"/>
      <c r="B58" s="2869"/>
      <c r="C58" s="793" t="str">
        <f>F!C26</f>
        <v>those species together comprise &gt; 50% of such cover.</v>
      </c>
      <c r="D58" s="270">
        <f>F!D26</f>
        <v>0</v>
      </c>
      <c r="E58" s="669">
        <v>0</v>
      </c>
      <c r="F58" s="91">
        <f>D58*E58</f>
        <v>0</v>
      </c>
      <c r="G58" s="799"/>
      <c r="H58" s="2396"/>
      <c r="I58" s="2324"/>
    </row>
    <row r="59" spans="1:10" ht="24.75" customHeight="1" thickBot="1" x14ac:dyDescent="0.25">
      <c r="A59" s="2876"/>
      <c r="B59" s="2870"/>
      <c r="C59" s="789" t="str">
        <f>F!C27</f>
        <v>those species together do not comprise &gt; 50% of such cover.</v>
      </c>
      <c r="D59" s="173">
        <f>F!D27</f>
        <v>0</v>
      </c>
      <c r="E59" s="670">
        <v>1</v>
      </c>
      <c r="F59" s="180">
        <f>D59*E59</f>
        <v>0</v>
      </c>
      <c r="G59" s="722"/>
      <c r="H59" s="2408"/>
      <c r="I59" s="2325"/>
    </row>
    <row r="60" spans="1:10" ht="21" customHeight="1" thickBot="1" x14ac:dyDescent="0.25">
      <c r="A60" s="2871" t="str">
        <f>F!A37</f>
        <v>F6</v>
      </c>
      <c r="B60" s="2871" t="str">
        <f>F!B37</f>
        <v>Height Class Interspersion</v>
      </c>
      <c r="C60" s="1563" t="str">
        <f>F!C37</f>
        <v>Follow the key below and mark the ONE row that best describes MOST of the AA:</v>
      </c>
      <c r="D60" s="946"/>
      <c r="E60" s="209"/>
      <c r="F60" s="210"/>
      <c r="G60" s="794" t="str">
        <f>IF((MAX(F!D18:'F'!D21)&lt;2),"",MAX(F62:F66)/MAX(E62:E66))</f>
        <v/>
      </c>
      <c r="H60" s="2697" t="s">
        <v>1612</v>
      </c>
      <c r="I60" s="2323" t="s">
        <v>2876</v>
      </c>
    </row>
    <row r="61" spans="1:10" ht="39" thickBot="1" x14ac:dyDescent="0.25">
      <c r="A61" s="2872"/>
      <c r="B61" s="2872"/>
      <c r="C61" s="1563" t="str">
        <f>F!C38</f>
        <v xml:space="preserve">A. Neither the vegetation taller than 1 m nor the vegetation shorter than that comprise &gt;70% of the vegetated part of the AA.  They each comprise 30-70%.  Choose between A1 and A2 and mark the choice with a 1 in the adjoining column.  Otherwise go to B below. </v>
      </c>
      <c r="D61" s="820"/>
      <c r="E61" s="723"/>
      <c r="F61" s="182"/>
      <c r="G61" s="805"/>
      <c r="H61" s="2723"/>
      <c r="I61" s="2324"/>
    </row>
    <row r="62" spans="1:10" ht="15" customHeight="1" x14ac:dyDescent="0.2">
      <c r="A62" s="2872"/>
      <c r="B62" s="2872"/>
      <c r="C62" s="1403" t="str">
        <f>F!C39</f>
        <v>A1. The two height classes are mostly scattered and intermixed throughout the AA.</v>
      </c>
      <c r="D62" s="270">
        <f>F!D39</f>
        <v>0</v>
      </c>
      <c r="E62" s="944">
        <v>3</v>
      </c>
      <c r="F62" s="91">
        <f>D62*E62</f>
        <v>0</v>
      </c>
      <c r="G62" s="805"/>
      <c r="H62" s="2723"/>
      <c r="I62" s="2324"/>
    </row>
    <row r="63" spans="1:10" ht="27" customHeight="1" thickBot="1" x14ac:dyDescent="0.25">
      <c r="A63" s="2872"/>
      <c r="B63" s="2872"/>
      <c r="C63" s="2127" t="str">
        <f>F!C40</f>
        <v>A2. Not A1.  The two height classes are mostly in separate zones or bands, or in proportionately large clumps.</v>
      </c>
      <c r="D63" s="44">
        <f>F!D40</f>
        <v>0</v>
      </c>
      <c r="E63" s="944">
        <v>2</v>
      </c>
      <c r="F63" s="91">
        <f>D63*E63</f>
        <v>0</v>
      </c>
      <c r="G63" s="805"/>
      <c r="H63" s="2723"/>
      <c r="I63" s="2324"/>
    </row>
    <row r="64" spans="1:10" ht="39" thickBot="1" x14ac:dyDescent="0.25">
      <c r="A64" s="2872"/>
      <c r="B64" s="2872"/>
      <c r="C64" s="1563" t="str">
        <f>F!C41</f>
        <v>B. Either the vegetation shorter than 1 m comprises &gt;70% of the vegetated part of the AA, or the vegetation taller than that does.  One size class might even be totally absent.  Choose between B1 and B2 and mark the choice with a 1 in the adjoining column:</v>
      </c>
      <c r="D64" s="944"/>
      <c r="E64" s="944"/>
      <c r="F64" s="91"/>
      <c r="G64" s="805"/>
      <c r="H64" s="2723"/>
      <c r="I64" s="2324"/>
    </row>
    <row r="65" spans="1:9" ht="15" customHeight="1" x14ac:dyDescent="0.2">
      <c r="A65" s="2872"/>
      <c r="B65" s="2872"/>
      <c r="C65" s="1403" t="str">
        <f>F!C42</f>
        <v>B1. The less prevalent height class is mostly scattered and intermixed within the prevalent one.</v>
      </c>
      <c r="D65" s="44">
        <f>F!D42</f>
        <v>0</v>
      </c>
      <c r="E65" s="944">
        <v>1</v>
      </c>
      <c r="F65" s="91">
        <f>D65*E65</f>
        <v>0</v>
      </c>
      <c r="G65" s="805"/>
      <c r="H65" s="2723"/>
      <c r="I65" s="2324"/>
    </row>
    <row r="66" spans="1:9" ht="27" customHeight="1" thickBot="1" x14ac:dyDescent="0.25">
      <c r="A66" s="2873"/>
      <c r="B66" s="2873"/>
      <c r="C66" s="1505" t="str">
        <f>F!C43</f>
        <v>B2. Not B1.  The less prevalent height class is mostly located apart from the prevalent one, in separate zones or clumps, or is completely absent.</v>
      </c>
      <c r="D66" s="173">
        <f>F!D43</f>
        <v>0</v>
      </c>
      <c r="E66" s="945">
        <v>0</v>
      </c>
      <c r="F66" s="180">
        <f>D66*E66</f>
        <v>0</v>
      </c>
      <c r="G66" s="1023"/>
      <c r="H66" s="2795"/>
      <c r="I66" s="2325"/>
    </row>
    <row r="67" spans="1:9" ht="30" customHeight="1" thickBot="1" x14ac:dyDescent="0.25">
      <c r="A67" s="3007" t="str">
        <f>F!A51</f>
        <v>F9</v>
      </c>
      <c r="B67" s="2871" t="str">
        <f>F!B51</f>
        <v>N Fixers</v>
      </c>
      <c r="C67" s="792" t="str">
        <f>F!C51</f>
        <v>The percentage of the AA's vegetated cover that contains nitrogen-fixing plants (e.g., alder, sweetgale, clover, lupine, alfalfa, other legumes) is:</v>
      </c>
      <c r="D67" s="209"/>
      <c r="E67" s="177"/>
      <c r="F67" s="177"/>
      <c r="G67" s="725">
        <f>MAX(F68:F72)/MAX(E68:E72)</f>
        <v>0</v>
      </c>
      <c r="H67" s="2323" t="s">
        <v>1622</v>
      </c>
      <c r="I67" s="2323" t="s">
        <v>306</v>
      </c>
    </row>
    <row r="68" spans="1:9" ht="15" customHeight="1" x14ac:dyDescent="0.2">
      <c r="A68" s="3008"/>
      <c r="B68" s="2872"/>
      <c r="C68" s="793" t="str">
        <f>F!C52</f>
        <v>&lt;1% or none.</v>
      </c>
      <c r="D68" s="270">
        <f>F!D52</f>
        <v>1</v>
      </c>
      <c r="E68" s="669">
        <v>0</v>
      </c>
      <c r="F68" s="91">
        <f>D68*E68</f>
        <v>0</v>
      </c>
      <c r="G68" s="799"/>
      <c r="H68" s="2324"/>
      <c r="I68" s="2324"/>
    </row>
    <row r="69" spans="1:9" ht="15" customHeight="1" x14ac:dyDescent="0.2">
      <c r="A69" s="3008"/>
      <c r="B69" s="2872"/>
      <c r="C69" s="788" t="str">
        <f>F!C53</f>
        <v>1-25% of the vegetated cover, in the AA or along its water edge (whichever has more).</v>
      </c>
      <c r="D69" s="44">
        <f>F!D53</f>
        <v>0</v>
      </c>
      <c r="E69" s="669">
        <v>2</v>
      </c>
      <c r="F69" s="91">
        <f>D69*E69</f>
        <v>0</v>
      </c>
      <c r="G69" s="800"/>
      <c r="H69" s="2324"/>
      <c r="I69" s="2324"/>
    </row>
    <row r="70" spans="1:9" ht="15" customHeight="1" x14ac:dyDescent="0.2">
      <c r="A70" s="3008"/>
      <c r="B70" s="2872"/>
      <c r="C70" s="788" t="str">
        <f>F!C54</f>
        <v>25-50% of the vegetated cover, in the AA or along its water edge (whichever has more).</v>
      </c>
      <c r="D70" s="44">
        <f>F!D54</f>
        <v>0</v>
      </c>
      <c r="E70" s="669">
        <v>3</v>
      </c>
      <c r="F70" s="91">
        <f>D70*E70</f>
        <v>0</v>
      </c>
      <c r="G70" s="800"/>
      <c r="H70" s="2324"/>
      <c r="I70" s="2324"/>
    </row>
    <row r="71" spans="1:9" ht="15" customHeight="1" x14ac:dyDescent="0.2">
      <c r="A71" s="3008"/>
      <c r="B71" s="2872"/>
      <c r="C71" s="788" t="str">
        <f>F!C55</f>
        <v>50-75% of the vegetated cover, in the AA or along its water edge (whichever has more).</v>
      </c>
      <c r="D71" s="44">
        <f>F!D55</f>
        <v>0</v>
      </c>
      <c r="E71" s="669">
        <v>2</v>
      </c>
      <c r="F71" s="91">
        <f>D71*E71</f>
        <v>0</v>
      </c>
      <c r="G71" s="800"/>
      <c r="H71" s="2324"/>
      <c r="I71" s="2324"/>
    </row>
    <row r="72" spans="1:9" ht="15" customHeight="1" thickBot="1" x14ac:dyDescent="0.25">
      <c r="A72" s="3009"/>
      <c r="B72" s="2873"/>
      <c r="C72" s="789" t="str">
        <f>F!C56</f>
        <v>&gt;75% of the vegetated cover, in the AA or along its water edge (whichever has more).</v>
      </c>
      <c r="D72" s="173">
        <f>F!D56</f>
        <v>0</v>
      </c>
      <c r="E72" s="670">
        <v>1</v>
      </c>
      <c r="F72" s="180">
        <f>D72*E72</f>
        <v>0</v>
      </c>
      <c r="G72" s="722"/>
      <c r="H72" s="2325"/>
      <c r="I72" s="2325"/>
    </row>
    <row r="73" spans="1:9" ht="60" customHeight="1" thickBot="1" x14ac:dyDescent="0.25">
      <c r="A73" s="3010" t="str">
        <f>F!A69</f>
        <v>F12</v>
      </c>
      <c r="B73" s="2995" t="str">
        <f>F!B69</f>
        <v xml:space="preserve">Ground Irregularity </v>
      </c>
      <c r="C73" s="792"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73" s="209"/>
      <c r="E73" s="209"/>
      <c r="F73" s="177"/>
      <c r="G73" s="725">
        <f>MAX(F74:F76)/MAX(E74:E76)</f>
        <v>0.5</v>
      </c>
      <c r="H73" s="2394" t="s">
        <v>1354</v>
      </c>
      <c r="I73" s="2323" t="s">
        <v>293</v>
      </c>
    </row>
    <row r="74" spans="1:9" ht="27.6" customHeight="1" x14ac:dyDescent="0.2">
      <c r="A74" s="3011"/>
      <c r="B74" s="2996"/>
      <c r="C74" s="793" t="str">
        <f>F!C70</f>
        <v>Few or none (minimal microtopography; &lt;1% of the land has such features, or entire AA is always water-covered).</v>
      </c>
      <c r="D74" s="270">
        <f>F!D70</f>
        <v>0</v>
      </c>
      <c r="E74" s="87">
        <v>0</v>
      </c>
      <c r="F74" s="91">
        <f>D74*E74</f>
        <v>0</v>
      </c>
      <c r="G74" s="799"/>
      <c r="H74" s="2396"/>
      <c r="I74" s="2324"/>
    </row>
    <row r="75" spans="1:9" ht="15" customHeight="1" x14ac:dyDescent="0.2">
      <c r="A75" s="3011"/>
      <c r="B75" s="2996"/>
      <c r="C75" s="788" t="str">
        <f>F!C71</f>
        <v>Intermediate.</v>
      </c>
      <c r="D75" s="44">
        <f>F!D71</f>
        <v>1</v>
      </c>
      <c r="E75" s="87">
        <v>1</v>
      </c>
      <c r="F75" s="91">
        <f>D75*E75</f>
        <v>1</v>
      </c>
      <c r="G75" s="800"/>
      <c r="H75" s="2396"/>
      <c r="I75" s="2324"/>
    </row>
    <row r="76" spans="1:9" ht="15" customHeight="1" thickBot="1" x14ac:dyDescent="0.25">
      <c r="A76" s="3012"/>
      <c r="B76" s="2997"/>
      <c r="C76" s="789" t="str">
        <f>F!C72</f>
        <v>Several (extensive micro-topography).</v>
      </c>
      <c r="D76" s="173">
        <f>F!D72</f>
        <v>0</v>
      </c>
      <c r="E76" s="174">
        <v>2</v>
      </c>
      <c r="F76" s="180">
        <f>D76*E76</f>
        <v>0</v>
      </c>
      <c r="G76" s="722"/>
      <c r="H76" s="2408"/>
      <c r="I76" s="2325"/>
    </row>
    <row r="77" spans="1:9" ht="45" customHeight="1" thickBot="1" x14ac:dyDescent="0.25">
      <c r="A77" s="3013" t="str">
        <f>F!A77</f>
        <v>F14</v>
      </c>
      <c r="B77" s="2996" t="str">
        <f>F!B77</f>
        <v>Soil Texture</v>
      </c>
      <c r="C77" s="792" t="str">
        <f>F!C77</f>
        <v xml:space="preserve">In parts of the AA that lack persistent water, the texture of soil in the uppermost layer is mostly:  [To determine this, use a trowel to check in at least 3 widely spaced locations, and use the soil texture key (in Appendix A of the Manual).] </v>
      </c>
      <c r="D77" s="209"/>
      <c r="E77" s="710"/>
      <c r="F77" s="92"/>
      <c r="G77" s="711">
        <f>MAX(F78:F82)/MAX(E78:E82)</f>
        <v>0.5</v>
      </c>
      <c r="H77" s="2396" t="s">
        <v>1403</v>
      </c>
      <c r="I77" s="2323" t="s">
        <v>294</v>
      </c>
    </row>
    <row r="78" spans="1:9" ht="27" customHeight="1" x14ac:dyDescent="0.2">
      <c r="A78" s="3013"/>
      <c r="B78" s="2996"/>
      <c r="C78" s="793" t="str">
        <f>F!C78</f>
        <v>Loamy: soils that may contain a little fine grit and do not make a "ribbon" longer than 2 cm when moistened, rolled, squeezed, and extended between thumb and forefinger.</v>
      </c>
      <c r="D78" s="270">
        <f>F!D78</f>
        <v>0</v>
      </c>
      <c r="E78" s="87">
        <v>1</v>
      </c>
      <c r="F78" s="91">
        <f>D78*E78</f>
        <v>0</v>
      </c>
      <c r="G78" s="799"/>
      <c r="H78" s="2396"/>
      <c r="I78" s="2324"/>
    </row>
    <row r="79" spans="1:9" ht="27" customHeight="1" x14ac:dyDescent="0.2">
      <c r="A79" s="3013"/>
      <c r="B79" s="2996"/>
      <c r="C79" s="788" t="str">
        <f>F!C79</f>
        <v>Fines: includes silt, clay, silt, soils that make a ribbon longer than 2 cm when moistened, rolled, squeezed, and extended between thumb and forefinger.</v>
      </c>
      <c r="D79" s="44">
        <f>F!D79</f>
        <v>1</v>
      </c>
      <c r="E79" s="87">
        <v>1</v>
      </c>
      <c r="F79" s="91">
        <f>D79*E79</f>
        <v>1</v>
      </c>
      <c r="G79" s="800"/>
      <c r="H79" s="2396"/>
      <c r="I79" s="2324"/>
    </row>
    <row r="80" spans="1:9" ht="15" customHeight="1" x14ac:dyDescent="0.2">
      <c r="A80" s="3013"/>
      <c r="B80" s="2996"/>
      <c r="C80" s="788" t="str">
        <f>F!C80</f>
        <v>Deep Peat, to 40 cm depth or greater.</v>
      </c>
      <c r="D80" s="44">
        <f>F!D80</f>
        <v>0</v>
      </c>
      <c r="E80" s="87">
        <v>2</v>
      </c>
      <c r="F80" s="91">
        <f>D80*E80</f>
        <v>0</v>
      </c>
      <c r="G80" s="800"/>
      <c r="H80" s="2396"/>
      <c r="I80" s="2324"/>
    </row>
    <row r="81" spans="1:9" ht="15" customHeight="1" x14ac:dyDescent="0.2">
      <c r="A81" s="3013"/>
      <c r="B81" s="2996"/>
      <c r="C81" s="788" t="str">
        <f>F!C81</f>
        <v xml:space="preserve">Shallow Peat or organic &lt;40 cm deep. </v>
      </c>
      <c r="D81" s="44">
        <f>F!D81</f>
        <v>0</v>
      </c>
      <c r="E81" s="87">
        <v>2</v>
      </c>
      <c r="F81" s="91">
        <f>D81*E81</f>
        <v>0</v>
      </c>
      <c r="G81" s="724"/>
      <c r="H81" s="2396"/>
      <c r="I81" s="2324"/>
    </row>
    <row r="82" spans="1:9" ht="27" customHeight="1" thickBot="1" x14ac:dyDescent="0.25">
      <c r="A82" s="3013"/>
      <c r="B82" s="2996"/>
      <c r="C82" s="690" t="str">
        <f>F!C82</f>
        <v>Coarse: includes sand, loamy sand, gravel, cobble, soils that do not make a ribbon when moistened, rolled, squeezed, and extended between thumb and forefinger.</v>
      </c>
      <c r="D82" s="271">
        <f>F!D82</f>
        <v>0</v>
      </c>
      <c r="E82" s="712">
        <v>0</v>
      </c>
      <c r="F82" s="175">
        <f>D82*E82</f>
        <v>0</v>
      </c>
      <c r="G82" s="724"/>
      <c r="H82" s="2396"/>
      <c r="I82" s="2325"/>
    </row>
    <row r="83" spans="1:9" ht="30" customHeight="1" thickBot="1" x14ac:dyDescent="0.25">
      <c r="A83" s="3010" t="str">
        <f>F!A105</f>
        <v>F19</v>
      </c>
      <c r="B83" s="2995" t="str">
        <f>F!B105</f>
        <v xml:space="preserve">Dominance of Most Abundant Herbaceous Species </v>
      </c>
      <c r="C83" s="792" t="str">
        <f>F!C105</f>
        <v>Determine which two herbaceous species comprise the greatest portion of the herbaceous cover (excluding mosses and floating-leaved aquatic plants). Then choose one of the following:</v>
      </c>
      <c r="D83" s="209"/>
      <c r="E83" s="825"/>
      <c r="F83" s="210"/>
      <c r="G83" s="725">
        <f>IF((NoHerbCov=1),"", MAX(F84:F85))</f>
        <v>1</v>
      </c>
      <c r="H83" s="2982" t="s">
        <v>1618</v>
      </c>
      <c r="I83" s="2323" t="s">
        <v>295</v>
      </c>
    </row>
    <row r="84" spans="1:9" ht="15" customHeight="1" x14ac:dyDescent="0.2">
      <c r="A84" s="2875"/>
      <c r="B84" s="2869"/>
      <c r="C84" s="793" t="str">
        <f>F!C106</f>
        <v>those species together comprise &gt; 50% of the areal cover of herbaceous plants at any time during the year.</v>
      </c>
      <c r="D84" s="270">
        <f>F!D106</f>
        <v>0</v>
      </c>
      <c r="E84" s="669">
        <v>0</v>
      </c>
      <c r="F84" s="91">
        <f>D84*E84</f>
        <v>0</v>
      </c>
      <c r="G84" s="800"/>
      <c r="H84" s="2691"/>
      <c r="I84" s="2324"/>
    </row>
    <row r="85" spans="1:9" ht="27" customHeight="1" thickBot="1" x14ac:dyDescent="0.25">
      <c r="A85" s="2876"/>
      <c r="B85" s="2870"/>
      <c r="C85" s="789" t="str">
        <f>F!C107</f>
        <v>those species together do not comprise &gt; 50% of the areal cover of herbaceous plants at any time during the year.</v>
      </c>
      <c r="D85" s="173">
        <f>F!D107</f>
        <v>1</v>
      </c>
      <c r="E85" s="670">
        <v>1</v>
      </c>
      <c r="F85" s="180">
        <f>D85*E85</f>
        <v>1</v>
      </c>
      <c r="G85" s="722"/>
      <c r="H85" s="3027"/>
      <c r="I85" s="2325"/>
    </row>
    <row r="86" spans="1:9" ht="30" customHeight="1" thickBot="1" x14ac:dyDescent="0.25">
      <c r="A86" s="3013" t="str">
        <f>F!A108</f>
        <v>F20</v>
      </c>
      <c r="B86" s="2996" t="str">
        <f>F!B108</f>
        <v>Invasive Plant Cover</v>
      </c>
      <c r="C86" s="792" t="str">
        <f>F!C108</f>
        <v>How extensive is the cover of invasive plant species in the AA?  For species, see Plants_invasive worksheet in the accompanying SuppInfo file.</v>
      </c>
      <c r="D86" s="209"/>
      <c r="E86" s="710"/>
      <c r="F86" s="826"/>
      <c r="G86" s="711">
        <f>MAX(F87:F91)/MAX(E87:E91)</f>
        <v>0.5</v>
      </c>
      <c r="H86" s="2396" t="s">
        <v>1696</v>
      </c>
      <c r="I86" s="2323" t="s">
        <v>1342</v>
      </c>
    </row>
    <row r="87" spans="1:9" ht="15" customHeight="1" x14ac:dyDescent="0.2">
      <c r="A87" s="2890"/>
      <c r="B87" s="2869"/>
      <c r="C87" s="793" t="str">
        <f>F!C109</f>
        <v>invasive species appear to be absent in the AA, or are present only in trace amount (a few individuals).</v>
      </c>
      <c r="D87" s="270">
        <f>F!D109</f>
        <v>0</v>
      </c>
      <c r="E87" s="87">
        <v>4</v>
      </c>
      <c r="F87" s="91">
        <f>D87*E87</f>
        <v>0</v>
      </c>
      <c r="G87" s="548" t="s">
        <v>912</v>
      </c>
      <c r="H87" s="2396"/>
      <c r="I87" s="2324"/>
    </row>
    <row r="88" spans="1:9" ht="27" customHeight="1" x14ac:dyDescent="0.2">
      <c r="A88" s="2890"/>
      <c r="B88" s="2869"/>
      <c r="C88" s="788" t="str">
        <f>F!C110</f>
        <v>invasive species are present in more than trace amounts, but comprise &lt;5% of herbaceous cover (or woody cover, if the invasives are woody).</v>
      </c>
      <c r="D88" s="44">
        <f>F!D110</f>
        <v>0</v>
      </c>
      <c r="E88" s="87">
        <v>3</v>
      </c>
      <c r="F88" s="91">
        <f>D88*E88</f>
        <v>0</v>
      </c>
      <c r="G88" s="548"/>
      <c r="H88" s="2396"/>
      <c r="I88" s="2324"/>
    </row>
    <row r="89" spans="1:9" ht="15" customHeight="1" x14ac:dyDescent="0.2">
      <c r="A89" s="2890"/>
      <c r="B89" s="2869"/>
      <c r="C89" s="788" t="str">
        <f>F!C111</f>
        <v>invasive species comprise 5-20% of the herb cover (or woody cover, if the invasives are woody).</v>
      </c>
      <c r="D89" s="44">
        <f>F!D111</f>
        <v>1</v>
      </c>
      <c r="E89" s="669">
        <v>2</v>
      </c>
      <c r="F89" s="91">
        <f>D89*E89</f>
        <v>2</v>
      </c>
      <c r="G89" s="800"/>
      <c r="H89" s="2396"/>
      <c r="I89" s="2324"/>
    </row>
    <row r="90" spans="1:9" ht="15" customHeight="1" thickBot="1" x14ac:dyDescent="0.25">
      <c r="A90" s="2890"/>
      <c r="B90" s="2869"/>
      <c r="C90" s="788" t="str">
        <f>F!C112</f>
        <v>invasive species comprise 20-50% of the herb cover  (or woody cover, if the invasives are woody).</v>
      </c>
      <c r="D90" s="44">
        <f>F!D112</f>
        <v>0</v>
      </c>
      <c r="E90" s="669">
        <v>1</v>
      </c>
      <c r="F90" s="91">
        <f>D90*E90</f>
        <v>0</v>
      </c>
      <c r="G90" s="800"/>
      <c r="H90" s="2396"/>
      <c r="I90" s="2324"/>
    </row>
    <row r="91" spans="1:9" ht="15" customHeight="1" thickBot="1" x14ac:dyDescent="0.25">
      <c r="A91" s="2890"/>
      <c r="B91" s="2869"/>
      <c r="C91" s="690" t="str">
        <f>F!C113</f>
        <v>invasive species comprise &gt;50% of the herb cover  (or woody cover, if the invasives are woody).</v>
      </c>
      <c r="D91" s="271">
        <f>F!D113</f>
        <v>0</v>
      </c>
      <c r="E91" s="824">
        <v>0</v>
      </c>
      <c r="F91" s="827">
        <f>D91*E91</f>
        <v>0</v>
      </c>
      <c r="G91" s="823"/>
      <c r="H91" s="2396"/>
      <c r="I91" s="4" t="s">
        <v>2401</v>
      </c>
    </row>
    <row r="92" spans="1:9" ht="30.6" customHeight="1" thickBot="1" x14ac:dyDescent="0.25">
      <c r="A92" s="3010" t="str">
        <f>F!A114</f>
        <v>F21</v>
      </c>
      <c r="B92" s="2995" t="str">
        <f>F!B114</f>
        <v>Invasive Cover Along Upland Edge</v>
      </c>
      <c r="C92" s="792" t="str">
        <f>F!C114</f>
        <v>Along the wetland-upland boundary, the percent of the upland edge (within 3 m upslope from the wetland) that is occupied by invasive plant species is:</v>
      </c>
      <c r="D92" s="209"/>
      <c r="E92" s="209"/>
      <c r="F92" s="176"/>
      <c r="G92" s="725">
        <f>MAX(F93:F96)/MAX(E93:E96)</f>
        <v>1</v>
      </c>
      <c r="H92" s="2729" t="s">
        <v>604</v>
      </c>
      <c r="I92" s="2323" t="s">
        <v>296</v>
      </c>
    </row>
    <row r="93" spans="1:9" ht="15" customHeight="1" x14ac:dyDescent="0.2">
      <c r="A93" s="3011"/>
      <c r="B93" s="2996"/>
      <c r="C93" s="793" t="str">
        <f>F!C115</f>
        <v>none of the upland edge (invasives apparently absent), or AA has no upland edge.</v>
      </c>
      <c r="D93" s="270">
        <f>F!D115</f>
        <v>1</v>
      </c>
      <c r="E93" s="87">
        <v>4</v>
      </c>
      <c r="F93" s="87">
        <f>D93*E93</f>
        <v>4</v>
      </c>
      <c r="G93" s="799"/>
      <c r="H93" s="2730"/>
      <c r="I93" s="2324"/>
    </row>
    <row r="94" spans="1:9" ht="15" customHeight="1" x14ac:dyDescent="0.2">
      <c r="A94" s="3011"/>
      <c r="B94" s="2996"/>
      <c r="C94" s="788" t="str">
        <f>F!C116</f>
        <v>some (but &lt;5%) of the upland edge.</v>
      </c>
      <c r="D94" s="44">
        <f>F!D116</f>
        <v>0</v>
      </c>
      <c r="E94" s="87">
        <v>3</v>
      </c>
      <c r="F94" s="87">
        <f>D94*E94</f>
        <v>0</v>
      </c>
      <c r="G94" s="800"/>
      <c r="H94" s="2730"/>
      <c r="I94" s="2324"/>
    </row>
    <row r="95" spans="1:9" ht="15" customHeight="1" x14ac:dyDescent="0.2">
      <c r="A95" s="3011"/>
      <c r="B95" s="2996"/>
      <c r="C95" s="788" t="str">
        <f>F!C117</f>
        <v>5-50% of the upland edge.</v>
      </c>
      <c r="D95" s="44">
        <f>F!D117</f>
        <v>0</v>
      </c>
      <c r="E95" s="87">
        <v>2</v>
      </c>
      <c r="F95" s="87">
        <f>D95*E95</f>
        <v>0</v>
      </c>
      <c r="G95" s="800"/>
      <c r="H95" s="2730"/>
      <c r="I95" s="2324"/>
    </row>
    <row r="96" spans="1:9" ht="15" customHeight="1" thickBot="1" x14ac:dyDescent="0.25">
      <c r="A96" s="3012"/>
      <c r="B96" s="2996"/>
      <c r="C96" s="789" t="str">
        <f>F!C118</f>
        <v>most (&gt;50%) of the upland edge.</v>
      </c>
      <c r="D96" s="271">
        <f>F!D118</f>
        <v>0</v>
      </c>
      <c r="E96" s="712">
        <v>0</v>
      </c>
      <c r="F96" s="712">
        <f>D96*E96</f>
        <v>0</v>
      </c>
      <c r="G96" s="724"/>
      <c r="H96" s="2733"/>
      <c r="I96" s="2325"/>
    </row>
    <row r="97" spans="1:10" s="40" customFormat="1" ht="30" customHeight="1" thickBot="1" x14ac:dyDescent="0.25">
      <c r="A97" s="3007" t="str">
        <f>F!A121</f>
        <v>F24</v>
      </c>
      <c r="B97" s="2871" t="str">
        <f>F!B121</f>
        <v>% of AA Without Surface Water</v>
      </c>
      <c r="C97" s="792" t="str">
        <f>F!C121</f>
        <v>The percentage of the AA that never contains surface water during an average year (that is, except perhaps for a few hours after snowmelt or rainstorms), but which is still a wetland, is:</v>
      </c>
      <c r="D97" s="209"/>
      <c r="E97" s="726"/>
      <c r="F97" s="818"/>
      <c r="G97" s="725">
        <f>MAX(F98:F103)/MAX(E98:E103)</f>
        <v>0.25</v>
      </c>
      <c r="H97" s="2405" t="s">
        <v>1478</v>
      </c>
      <c r="I97" s="2323" t="s">
        <v>661</v>
      </c>
      <c r="J97" s="186"/>
    </row>
    <row r="98" spans="1:10" s="40" customFormat="1" ht="15" customHeight="1" x14ac:dyDescent="0.2">
      <c r="A98" s="3008"/>
      <c r="B98" s="2872"/>
      <c r="C98" s="810" t="str">
        <f>F!C122</f>
        <v xml:space="preserve">&lt;1% . In other words, all or nearly all of the AA is covered by water permanently or at least seasonally.  </v>
      </c>
      <c r="D98" s="274">
        <f>F!D122</f>
        <v>1</v>
      </c>
      <c r="E98" s="87">
        <v>1</v>
      </c>
      <c r="F98" s="91">
        <f t="shared" ref="F98:F103" si="5">D98*E98</f>
        <v>1</v>
      </c>
      <c r="G98" s="800"/>
      <c r="H98" s="2406"/>
      <c r="I98" s="2324"/>
      <c r="J98" s="186"/>
    </row>
    <row r="99" spans="1:10" s="40" customFormat="1" ht="15" customHeight="1" x14ac:dyDescent="0.2">
      <c r="A99" s="3008"/>
      <c r="B99" s="2872"/>
      <c r="C99" s="810" t="str">
        <f>F!C123</f>
        <v>1-25% of the AA,  or &lt;1% but &gt;0.01 ha never contains surface water.</v>
      </c>
      <c r="D99" s="274">
        <f>F!D123</f>
        <v>0</v>
      </c>
      <c r="E99" s="87">
        <v>2</v>
      </c>
      <c r="F99" s="91">
        <f t="shared" si="5"/>
        <v>0</v>
      </c>
      <c r="G99" s="800"/>
      <c r="H99" s="2406"/>
      <c r="I99" s="2324"/>
      <c r="J99" s="186"/>
    </row>
    <row r="100" spans="1:10" s="40" customFormat="1" ht="15" customHeight="1" x14ac:dyDescent="0.2">
      <c r="A100" s="3008"/>
      <c r="B100" s="2872"/>
      <c r="C100" s="810" t="str">
        <f>F!C124</f>
        <v>25-50% of the AA never contains surface water.</v>
      </c>
      <c r="D100" s="274">
        <f>F!D124</f>
        <v>0</v>
      </c>
      <c r="E100" s="87">
        <v>3</v>
      </c>
      <c r="F100" s="91">
        <f t="shared" si="5"/>
        <v>0</v>
      </c>
      <c r="G100" s="800"/>
      <c r="H100" s="2406"/>
      <c r="I100" s="2324"/>
      <c r="J100" s="186"/>
    </row>
    <row r="101" spans="1:10" s="40" customFormat="1" ht="15" customHeight="1" x14ac:dyDescent="0.2">
      <c r="A101" s="3008"/>
      <c r="B101" s="2872"/>
      <c r="C101" s="810" t="str">
        <f>F!C125</f>
        <v>50-75% of the AA never contains surface water.</v>
      </c>
      <c r="D101" s="274">
        <f>F!D125</f>
        <v>0</v>
      </c>
      <c r="E101" s="87">
        <v>4</v>
      </c>
      <c r="F101" s="91">
        <f t="shared" si="5"/>
        <v>0</v>
      </c>
      <c r="G101" s="800"/>
      <c r="H101" s="2406"/>
      <c r="I101" s="2324"/>
      <c r="J101" s="186"/>
    </row>
    <row r="102" spans="1:10" s="40" customFormat="1" ht="27" customHeight="1" x14ac:dyDescent="0.2">
      <c r="A102" s="3008"/>
      <c r="B102" s="2872"/>
      <c r="C102" s="810" t="str">
        <f>F!C126</f>
        <v>75-99% of the AA never contains surface water, OR &gt;99% and there is at least one persistently ponded water body larger than 1 ha in the AA.</v>
      </c>
      <c r="D102" s="274">
        <f>F!D126</f>
        <v>0</v>
      </c>
      <c r="E102" s="87">
        <v>3</v>
      </c>
      <c r="F102" s="91">
        <f t="shared" si="5"/>
        <v>0</v>
      </c>
      <c r="G102" s="800"/>
      <c r="H102" s="2406"/>
      <c r="I102" s="2324"/>
      <c r="J102" s="186"/>
    </row>
    <row r="103" spans="1:10" s="40" customFormat="1" ht="27" customHeight="1" thickBot="1" x14ac:dyDescent="0.25">
      <c r="A103" s="3009"/>
      <c r="B103" s="2873"/>
      <c r="C103" s="810" t="str">
        <f>F!C127</f>
        <v>99-100%. AND there is no persistently ponded water body larger than 1 ha within the AA. Enter "1" and SKIP to F42 (Channel Connection).</v>
      </c>
      <c r="D103" s="274">
        <f>F!D127</f>
        <v>0</v>
      </c>
      <c r="E103" s="174">
        <v>2</v>
      </c>
      <c r="F103" s="180">
        <f t="shared" si="5"/>
        <v>0</v>
      </c>
      <c r="G103" s="722"/>
      <c r="H103" s="3002"/>
      <c r="I103" s="2325"/>
      <c r="J103" s="186"/>
    </row>
    <row r="104" spans="1:10" s="40" customFormat="1" ht="36" customHeight="1" thickBot="1" x14ac:dyDescent="0.25">
      <c r="A104" s="3013" t="str">
        <f>F!A140</f>
        <v>F27</v>
      </c>
      <c r="B104" s="2872" t="str">
        <f>F!B140</f>
        <v>% of AA that is Flooded Only Seasonally</v>
      </c>
      <c r="C104" s="792" t="str">
        <f>F!C140</f>
        <v>The percentage of the AA's area that is between the annual high water and the annual low water (surface water) is:</v>
      </c>
      <c r="D104" s="209"/>
      <c r="E104" s="710"/>
      <c r="F104" s="799"/>
      <c r="G104" s="711">
        <f>IF((AllSat1&gt;0),"",MAX(F105:F109)/MAX(E105:E109))</f>
        <v>0.75</v>
      </c>
      <c r="H104" s="2323" t="s">
        <v>1617</v>
      </c>
      <c r="I104" s="2323" t="s">
        <v>307</v>
      </c>
      <c r="J104" s="186"/>
    </row>
    <row r="105" spans="1:10" s="40" customFormat="1" ht="15" customHeight="1" x14ac:dyDescent="0.2">
      <c r="A105" s="3013"/>
      <c r="B105" s="2872"/>
      <c r="C105" s="41" t="str">
        <f>F!C141</f>
        <v>None, or &lt;0.01 hectare and &lt;1% of the AA.  SKIP to F29.</v>
      </c>
      <c r="D105" s="273">
        <f>F!D141</f>
        <v>0</v>
      </c>
      <c r="E105" s="87">
        <v>0</v>
      </c>
      <c r="F105" s="91">
        <f>D105*E105</f>
        <v>0</v>
      </c>
      <c r="G105" s="799"/>
      <c r="H105" s="2324"/>
      <c r="I105" s="2324"/>
      <c r="J105" s="186"/>
    </row>
    <row r="106" spans="1:10" s="40" customFormat="1" ht="15" customHeight="1" x14ac:dyDescent="0.2">
      <c r="A106" s="3013"/>
      <c r="B106" s="2872"/>
      <c r="C106" s="811" t="str">
        <f>F!C142</f>
        <v>1-20% of the AA, or &lt;1% but &gt;0.01 ha.</v>
      </c>
      <c r="D106" s="275">
        <f>F!D142</f>
        <v>0</v>
      </c>
      <c r="E106" s="87">
        <v>1</v>
      </c>
      <c r="F106" s="91">
        <f>D106*E106</f>
        <v>0</v>
      </c>
      <c r="G106" s="800"/>
      <c r="H106" s="2324"/>
      <c r="I106" s="2324"/>
      <c r="J106" s="186"/>
    </row>
    <row r="107" spans="1:10" s="40" customFormat="1" ht="15" customHeight="1" x14ac:dyDescent="0.2">
      <c r="A107" s="3013"/>
      <c r="B107" s="2872"/>
      <c r="C107" s="811" t="str">
        <f>F!C143</f>
        <v>20-50% of the AA.</v>
      </c>
      <c r="D107" s="275">
        <f>F!D143</f>
        <v>0</v>
      </c>
      <c r="E107" s="87">
        <v>2</v>
      </c>
      <c r="F107" s="91">
        <f>D107*E107</f>
        <v>0</v>
      </c>
      <c r="G107" s="800"/>
      <c r="H107" s="2324"/>
      <c r="I107" s="2324"/>
      <c r="J107" s="186"/>
    </row>
    <row r="108" spans="1:10" s="40" customFormat="1" ht="15" customHeight="1" x14ac:dyDescent="0.2">
      <c r="A108" s="3013"/>
      <c r="B108" s="2872"/>
      <c r="C108" s="811" t="str">
        <f>F!C144</f>
        <v>50-95% of the AA.</v>
      </c>
      <c r="D108" s="275">
        <f>F!D144</f>
        <v>1</v>
      </c>
      <c r="E108" s="87">
        <v>3</v>
      </c>
      <c r="F108" s="91">
        <f>D108*E108</f>
        <v>3</v>
      </c>
      <c r="G108" s="800"/>
      <c r="H108" s="2324"/>
      <c r="I108" s="2324"/>
      <c r="J108" s="186"/>
    </row>
    <row r="109" spans="1:10" s="40" customFormat="1" ht="15" customHeight="1" thickBot="1" x14ac:dyDescent="0.25">
      <c r="A109" s="3013"/>
      <c r="B109" s="2872"/>
      <c r="C109" s="811" t="str">
        <f>F!C145</f>
        <v xml:space="preserve">&gt;95% of the AA. </v>
      </c>
      <c r="D109" s="275">
        <f>F!D145</f>
        <v>0</v>
      </c>
      <c r="E109" s="712">
        <v>4</v>
      </c>
      <c r="F109" s="175">
        <f>D109*E109</f>
        <v>0</v>
      </c>
      <c r="G109" s="724"/>
      <c r="H109" s="2325"/>
      <c r="I109" s="2325"/>
      <c r="J109" s="186"/>
    </row>
    <row r="110" spans="1:10" s="40" customFormat="1" ht="30" customHeight="1" thickBot="1" x14ac:dyDescent="0.25">
      <c r="A110" s="3010" t="str">
        <f>F!A146</f>
        <v>F28</v>
      </c>
      <c r="B110" s="2871" t="str">
        <f>F!B146</f>
        <v>Annual Water Fluctuation Range</v>
      </c>
      <c r="C110" s="792" t="str">
        <f>F!C146</f>
        <v>The annual fluctuation in surface water level within most of the parts of the AA that contain surface water at least temporarily is:</v>
      </c>
      <c r="D110" s="209"/>
      <c r="E110" s="209"/>
      <c r="F110" s="819"/>
      <c r="G110" s="725">
        <f>IF((AllSat1&gt;0),"", IF((NoSeasonal=1),"",MAX(F111:F115)/MAX(E111:E115)))</f>
        <v>0.5</v>
      </c>
      <c r="H110" s="2323" t="s">
        <v>1624</v>
      </c>
      <c r="I110" s="2323" t="s">
        <v>311</v>
      </c>
      <c r="J110" s="186"/>
    </row>
    <row r="111" spans="1:10" s="40" customFormat="1" ht="15" customHeight="1" x14ac:dyDescent="0.2">
      <c r="A111" s="3011"/>
      <c r="B111" s="2872"/>
      <c r="C111" s="41" t="str">
        <f>F!C147</f>
        <v>&lt;10 cm change (stable or nearly so).</v>
      </c>
      <c r="D111" s="273">
        <f>F!D147</f>
        <v>0</v>
      </c>
      <c r="E111" s="87">
        <v>1</v>
      </c>
      <c r="F111" s="91">
        <f>D111*E111</f>
        <v>0</v>
      </c>
      <c r="G111" s="799"/>
      <c r="H111" s="2324"/>
      <c r="I111" s="2324"/>
      <c r="J111" s="186"/>
    </row>
    <row r="112" spans="1:10" s="40" customFormat="1" ht="15" customHeight="1" x14ac:dyDescent="0.2">
      <c r="A112" s="3011"/>
      <c r="B112" s="2872"/>
      <c r="C112" s="811" t="str">
        <f>F!C148</f>
        <v>10 cm - 50 cm change.</v>
      </c>
      <c r="D112" s="275">
        <f>F!D148</f>
        <v>0</v>
      </c>
      <c r="E112" s="87">
        <v>2</v>
      </c>
      <c r="F112" s="91">
        <f>D112*E112</f>
        <v>0</v>
      </c>
      <c r="G112" s="800"/>
      <c r="H112" s="2324"/>
      <c r="I112" s="2324"/>
      <c r="J112" s="186"/>
    </row>
    <row r="113" spans="1:10" s="40" customFormat="1" ht="15" customHeight="1" x14ac:dyDescent="0.2">
      <c r="A113" s="3011"/>
      <c r="B113" s="2872"/>
      <c r="C113" s="811" t="str">
        <f>F!C149</f>
        <v>0.5 - 1 m change.</v>
      </c>
      <c r="D113" s="275">
        <f>F!D149</f>
        <v>0</v>
      </c>
      <c r="E113" s="87">
        <v>2</v>
      </c>
      <c r="F113" s="91">
        <f>D113*E113</f>
        <v>0</v>
      </c>
      <c r="G113" s="800"/>
      <c r="H113" s="2324"/>
      <c r="I113" s="2324"/>
      <c r="J113" s="186"/>
    </row>
    <row r="114" spans="1:10" s="40" customFormat="1" ht="15" customHeight="1" x14ac:dyDescent="0.2">
      <c r="A114" s="3011"/>
      <c r="B114" s="2872"/>
      <c r="C114" s="811" t="str">
        <f>F!C150</f>
        <v>1-2 m change.</v>
      </c>
      <c r="D114" s="275">
        <f>F!D150</f>
        <v>0</v>
      </c>
      <c r="E114" s="712">
        <v>2</v>
      </c>
      <c r="F114" s="175">
        <f>D114*E114</f>
        <v>0</v>
      </c>
      <c r="G114" s="724"/>
      <c r="H114" s="2324"/>
      <c r="I114" s="2324"/>
      <c r="J114" s="186"/>
    </row>
    <row r="115" spans="1:10" s="40" customFormat="1" ht="15" customHeight="1" thickBot="1" x14ac:dyDescent="0.25">
      <c r="A115" s="3012"/>
      <c r="B115" s="2873"/>
      <c r="C115" s="811" t="str">
        <f>F!C151</f>
        <v>&gt;2 m change.</v>
      </c>
      <c r="D115" s="275">
        <f>F!D151</f>
        <v>1</v>
      </c>
      <c r="E115" s="174">
        <v>1</v>
      </c>
      <c r="F115" s="180">
        <f>D115*E115</f>
        <v>1</v>
      </c>
      <c r="G115" s="722"/>
      <c r="H115" s="2325"/>
      <c r="I115" s="2325"/>
      <c r="J115" s="186"/>
    </row>
    <row r="116" spans="1:10" s="40" customFormat="1" ht="30" customHeight="1" thickBot="1" x14ac:dyDescent="0.25">
      <c r="A116" s="3013" t="str">
        <f>F!A153</f>
        <v>F29</v>
      </c>
      <c r="B116" s="2996" t="str">
        <f>F!B153</f>
        <v>Predominant Depth Class</v>
      </c>
      <c r="C116" s="792" t="str">
        <f>F!C153</f>
        <v>During most of the time when surface water is present during the growing season, its depth, averaged over the entire inundated part of the AA, is:</v>
      </c>
      <c r="D116" s="209"/>
      <c r="E116" s="710"/>
      <c r="F116" s="182"/>
      <c r="G116" s="711">
        <f>IF((AllSat1&gt;0),"",IF((TooSmall=1),"",MAX(F117:F121)/MAX(E117:E121)))</f>
        <v>0.5</v>
      </c>
      <c r="H116" s="2404" t="s">
        <v>1220</v>
      </c>
      <c r="I116" s="2323" t="s">
        <v>291</v>
      </c>
      <c r="J116" s="186"/>
    </row>
    <row r="117" spans="1:10" s="40" customFormat="1" ht="15" customHeight="1" x14ac:dyDescent="0.2">
      <c r="A117" s="2890"/>
      <c r="B117" s="2996"/>
      <c r="C117" s="793" t="str">
        <f>F!C154</f>
        <v>&lt;10 cm deep (but &gt;0).</v>
      </c>
      <c r="D117" s="270">
        <f>F!D154</f>
        <v>0</v>
      </c>
      <c r="E117" s="87">
        <v>6</v>
      </c>
      <c r="F117" s="91">
        <f>D117*E117</f>
        <v>0</v>
      </c>
      <c r="G117" s="800"/>
      <c r="H117" s="2404"/>
      <c r="I117" s="2324"/>
      <c r="J117" s="186"/>
    </row>
    <row r="118" spans="1:10" s="40" customFormat="1" ht="15" customHeight="1" x14ac:dyDescent="0.2">
      <c r="A118" s="2890"/>
      <c r="B118" s="2996"/>
      <c r="C118" s="788" t="str">
        <f>F!C155</f>
        <v>10 - 50 cm deep.</v>
      </c>
      <c r="D118" s="44">
        <f>F!D155</f>
        <v>0</v>
      </c>
      <c r="E118" s="87">
        <v>4</v>
      </c>
      <c r="F118" s="91">
        <f>D118*E118</f>
        <v>0</v>
      </c>
      <c r="G118" s="800"/>
      <c r="H118" s="2404"/>
      <c r="I118" s="2324"/>
      <c r="J118" s="186"/>
    </row>
    <row r="119" spans="1:10" s="40" customFormat="1" ht="15" customHeight="1" x14ac:dyDescent="0.2">
      <c r="A119" s="2890"/>
      <c r="B119" s="2996"/>
      <c r="C119" s="788" t="str">
        <f>F!C156</f>
        <v>0.5 - 1 m deep.</v>
      </c>
      <c r="D119" s="44">
        <f>F!D156</f>
        <v>1</v>
      </c>
      <c r="E119" s="87">
        <v>3</v>
      </c>
      <c r="F119" s="91">
        <f>D119*E119</f>
        <v>3</v>
      </c>
      <c r="G119" s="800"/>
      <c r="H119" s="2404"/>
      <c r="I119" s="2324"/>
      <c r="J119" s="186"/>
    </row>
    <row r="120" spans="1:10" s="40" customFormat="1" ht="15" customHeight="1" x14ac:dyDescent="0.2">
      <c r="A120" s="2890"/>
      <c r="B120" s="2996"/>
      <c r="C120" s="788" t="str">
        <f>F!C157</f>
        <v>1 - 2 m deep.</v>
      </c>
      <c r="D120" s="44">
        <f>F!D157</f>
        <v>0</v>
      </c>
      <c r="E120" s="87">
        <v>1</v>
      </c>
      <c r="F120" s="91">
        <f>D120*E120</f>
        <v>0</v>
      </c>
      <c r="G120" s="800"/>
      <c r="H120" s="2404"/>
      <c r="I120" s="2324"/>
      <c r="J120" s="186"/>
    </row>
    <row r="121" spans="1:10" s="40" customFormat="1" ht="15" customHeight="1" thickBot="1" x14ac:dyDescent="0.25">
      <c r="A121" s="2890"/>
      <c r="B121" s="2996"/>
      <c r="C121" s="690" t="str">
        <f>F!C158</f>
        <v>&gt;2 m deep. True for many fringe wetlands.</v>
      </c>
      <c r="D121" s="271">
        <f>F!D158</f>
        <v>0</v>
      </c>
      <c r="E121" s="712">
        <v>0</v>
      </c>
      <c r="F121" s="175">
        <f>D121*E121</f>
        <v>0</v>
      </c>
      <c r="G121" s="724"/>
      <c r="H121" s="2404"/>
      <c r="I121" s="2325"/>
      <c r="J121" s="186"/>
    </row>
    <row r="122" spans="1:10" s="40" customFormat="1" ht="30" customHeight="1" thickBot="1" x14ac:dyDescent="0.25">
      <c r="A122" s="3024" t="str">
        <f>F!A177</f>
        <v>F34</v>
      </c>
      <c r="B122" s="3003" t="str">
        <f>F!B177</f>
        <v>Width of Vegetated Zone within Wetland</v>
      </c>
      <c r="C122" s="792" t="str">
        <f>F!C177</f>
        <v>At the time during the growing season when the AA's water level is lowest, the average width of vegetated area in the AA that separates adjoining uplands from open water within the AA is:</v>
      </c>
      <c r="D122" s="209"/>
      <c r="E122" s="726"/>
      <c r="F122" s="177"/>
      <c r="G122" s="794">
        <f>IF((AllSat1&gt;0),"",IF((TooSmall=1),"",IF((NoOpenPonded=1),"",MAX(F123:F128)/MAX(E123:E128))))</f>
        <v>1</v>
      </c>
      <c r="H122" s="2323" t="s">
        <v>1869</v>
      </c>
      <c r="I122" s="2323" t="s">
        <v>292</v>
      </c>
      <c r="J122" s="186"/>
    </row>
    <row r="123" spans="1:10" s="40" customFormat="1" ht="15" customHeight="1" x14ac:dyDescent="0.2">
      <c r="A123" s="3025"/>
      <c r="B123" s="3004"/>
      <c r="C123" s="793" t="str">
        <f>F!C178</f>
        <v>&lt;1 m.</v>
      </c>
      <c r="D123" s="270">
        <f>F!D178</f>
        <v>0</v>
      </c>
      <c r="E123" s="820">
        <v>0</v>
      </c>
      <c r="F123" s="91">
        <f t="shared" ref="F123:F128" si="6">D123*E123</f>
        <v>0</v>
      </c>
      <c r="G123" s="804"/>
      <c r="H123" s="2324"/>
      <c r="I123" s="2324"/>
      <c r="J123" s="186"/>
    </row>
    <row r="124" spans="1:10" s="40" customFormat="1" ht="15" customHeight="1" x14ac:dyDescent="0.2">
      <c r="A124" s="3025"/>
      <c r="B124" s="3004"/>
      <c r="C124" s="793" t="str">
        <f>F!C179</f>
        <v>1 - 9 m.</v>
      </c>
      <c r="D124" s="270">
        <f>F!D179</f>
        <v>0</v>
      </c>
      <c r="E124" s="820">
        <v>1</v>
      </c>
      <c r="F124" s="91">
        <f t="shared" si="6"/>
        <v>0</v>
      </c>
      <c r="G124" s="804"/>
      <c r="H124" s="2324"/>
      <c r="I124" s="2324"/>
      <c r="J124" s="186"/>
    </row>
    <row r="125" spans="1:10" s="40" customFormat="1" ht="15" customHeight="1" x14ac:dyDescent="0.2">
      <c r="A125" s="3025"/>
      <c r="B125" s="3004"/>
      <c r="C125" s="793" t="str">
        <f>F!C180</f>
        <v>10 - 29 m.</v>
      </c>
      <c r="D125" s="270">
        <f>F!D180</f>
        <v>0</v>
      </c>
      <c r="E125" s="820">
        <v>2</v>
      </c>
      <c r="F125" s="91">
        <f t="shared" si="6"/>
        <v>0</v>
      </c>
      <c r="G125" s="805"/>
      <c r="H125" s="2324"/>
      <c r="I125" s="2324"/>
      <c r="J125" s="186"/>
    </row>
    <row r="126" spans="1:10" s="40" customFormat="1" ht="15" customHeight="1" x14ac:dyDescent="0.2">
      <c r="A126" s="3025"/>
      <c r="B126" s="3004"/>
      <c r="C126" s="793" t="str">
        <f>F!C181</f>
        <v>30 - 49 m.</v>
      </c>
      <c r="D126" s="270">
        <f>F!D181</f>
        <v>0</v>
      </c>
      <c r="E126" s="820">
        <v>3</v>
      </c>
      <c r="F126" s="91">
        <f t="shared" si="6"/>
        <v>0</v>
      </c>
      <c r="G126" s="805"/>
      <c r="H126" s="2324"/>
      <c r="I126" s="2324"/>
      <c r="J126" s="186"/>
    </row>
    <row r="127" spans="1:10" s="40" customFormat="1" ht="15" customHeight="1" x14ac:dyDescent="0.2">
      <c r="A127" s="3025"/>
      <c r="B127" s="3004"/>
      <c r="C127" s="793" t="str">
        <f>F!C182</f>
        <v>50 - 100 m.</v>
      </c>
      <c r="D127" s="270">
        <f>F!D182</f>
        <v>0</v>
      </c>
      <c r="E127" s="820">
        <v>4</v>
      </c>
      <c r="F127" s="91">
        <f t="shared" si="6"/>
        <v>0</v>
      </c>
      <c r="G127" s="805"/>
      <c r="H127" s="2324"/>
      <c r="I127" s="2324"/>
      <c r="J127" s="186"/>
    </row>
    <row r="128" spans="1:10" s="40" customFormat="1" ht="15" customHeight="1" thickBot="1" x14ac:dyDescent="0.25">
      <c r="A128" s="3026"/>
      <c r="B128" s="3005"/>
      <c r="C128" s="1516" t="str">
        <f>F!C183</f>
        <v>&gt; 100 m, or open water is absent at that time.</v>
      </c>
      <c r="D128" s="1036">
        <f>F!D183</f>
        <v>1</v>
      </c>
      <c r="E128" s="720">
        <v>6</v>
      </c>
      <c r="F128" s="180">
        <f t="shared" si="6"/>
        <v>6</v>
      </c>
      <c r="G128" s="1023"/>
      <c r="H128" s="2325"/>
      <c r="I128" s="2325"/>
      <c r="J128" s="186"/>
    </row>
    <row r="129" spans="1:10" s="40" customFormat="1" ht="30" customHeight="1" thickBot="1" x14ac:dyDescent="0.25">
      <c r="A129" s="3006" t="str">
        <f>F!A195</f>
        <v>F37</v>
      </c>
      <c r="B129" s="3004" t="str">
        <f>F!B195</f>
        <v>Interspersion of Emergents &amp; Open Water</v>
      </c>
      <c r="C129" s="689" t="str">
        <f>F!C195</f>
        <v>During most of the part of the growing season when water is present, the spatial pattern of emergent vegetation within the water is mostly:</v>
      </c>
      <c r="D129" s="710"/>
      <c r="E129" s="723"/>
      <c r="F129" s="182"/>
      <c r="G129" s="711" t="str">
        <f>IF((AllSat1&gt;0),"",IF((TooSmall=1),"",IF((NoPonded=1),"",IF((NoOpenPonded+NoOpenPonded1&gt;0),"",IF((AllOpenPond=1),"",IF((NoRobustEm=1),"",MAX(F130:F132)/MAX(E130:E132)))))))</f>
        <v/>
      </c>
      <c r="H129" s="2324" t="s">
        <v>1870</v>
      </c>
      <c r="I129" s="2323" t="s">
        <v>2879</v>
      </c>
      <c r="J129" s="186"/>
    </row>
    <row r="130" spans="1:10" s="40" customFormat="1" ht="15" customHeight="1" x14ac:dyDescent="0.2">
      <c r="A130" s="2877"/>
      <c r="B130" s="2872"/>
      <c r="C130" s="793" t="str">
        <f>F!C196</f>
        <v>Scattered. More than 30% of such vegetation forms small islands or corridors surrounded by water.</v>
      </c>
      <c r="D130" s="270">
        <f>F!D196</f>
        <v>0</v>
      </c>
      <c r="E130" s="820">
        <v>3</v>
      </c>
      <c r="F130" s="91">
        <f>D130*E130</f>
        <v>0</v>
      </c>
      <c r="G130" s="800"/>
      <c r="H130" s="2324"/>
      <c r="I130" s="2324"/>
      <c r="J130" s="186"/>
    </row>
    <row r="131" spans="1:10" s="40" customFormat="1" ht="15" customHeight="1" x14ac:dyDescent="0.2">
      <c r="A131" s="2877"/>
      <c r="B131" s="2872"/>
      <c r="C131" s="788" t="str">
        <f>F!C197</f>
        <v>Intermediate.</v>
      </c>
      <c r="D131" s="44">
        <f>F!D197</f>
        <v>0</v>
      </c>
      <c r="E131" s="820">
        <v>2</v>
      </c>
      <c r="F131" s="91">
        <f>D131*E131</f>
        <v>0</v>
      </c>
      <c r="G131" s="800"/>
      <c r="H131" s="2324"/>
      <c r="I131" s="2324"/>
      <c r="J131" s="186"/>
    </row>
    <row r="132" spans="1:10" s="40" customFormat="1" ht="27" customHeight="1" thickBot="1" x14ac:dyDescent="0.25">
      <c r="A132" s="2877"/>
      <c r="B132" s="2872"/>
      <c r="C132" s="690" t="str">
        <f>F!C198</f>
        <v>Clumped. More than 70% of such vegetation is in bands along the wetland perimeter or is clumped at one or a few sides of the surface water area.</v>
      </c>
      <c r="D132" s="271">
        <f>F!D198</f>
        <v>1</v>
      </c>
      <c r="E132" s="821">
        <v>1</v>
      </c>
      <c r="F132" s="175">
        <f>D132*E132</f>
        <v>1</v>
      </c>
      <c r="G132" s="724"/>
      <c r="H132" s="2324"/>
      <c r="I132" s="2325"/>
      <c r="J132" s="186"/>
    </row>
    <row r="133" spans="1:10" s="40" customFormat="1" ht="60" customHeight="1" thickBot="1" x14ac:dyDescent="0.25">
      <c r="A133" s="188" t="str">
        <f>F!A216</f>
        <v>F44</v>
      </c>
      <c r="B133" s="165" t="str">
        <f>F!B216</f>
        <v>Tributary Channel</v>
      </c>
      <c r="C133" s="809" t="str">
        <f>F!C216</f>
        <v>At least once annually, surface water from a tributary channel that is &gt;100 m long moves into the AA.  Or, surface water from a larger permanent water body adjacent to the AA spills into the AA.  If it enters only via a pipe, that pipe must be fed by a mapped stream or lake further upslope. If no, SKIP to F47 (pH Measurement).</v>
      </c>
      <c r="D133" s="272">
        <f>F!D216</f>
        <v>1</v>
      </c>
      <c r="E133" s="728"/>
      <c r="F133" s="822"/>
      <c r="G133" s="725">
        <f>D133</f>
        <v>1</v>
      </c>
      <c r="H133" s="73" t="s">
        <v>1479</v>
      </c>
      <c r="I133" s="4" t="s">
        <v>1682</v>
      </c>
      <c r="J133" s="186"/>
    </row>
    <row r="134" spans="1:10" ht="33" customHeight="1" thickBot="1" x14ac:dyDescent="0.25">
      <c r="A134" s="2871" t="str">
        <f>F!A224</f>
        <v>F47</v>
      </c>
      <c r="B134" s="2998" t="str">
        <f>F!B224</f>
        <v>pH Measurement</v>
      </c>
      <c r="C134" s="792" t="str">
        <f>F!C224</f>
        <v>The pH in most of the AA's surface water:</v>
      </c>
      <c r="D134" s="1957"/>
      <c r="E134" s="209"/>
      <c r="F134" s="176"/>
      <c r="G134" s="1389" t="str">
        <f>IF((D137=1),"", IF((D137&gt;0&lt;5.5),1,""))</f>
        <v/>
      </c>
      <c r="H134" s="2323" t="s">
        <v>2598</v>
      </c>
      <c r="I134" s="2323" t="s">
        <v>1626</v>
      </c>
    </row>
    <row r="135" spans="1:10" ht="27" customHeight="1" thickBot="1" x14ac:dyDescent="0.25">
      <c r="A135" s="2872"/>
      <c r="B135" s="2999"/>
      <c r="C135" s="810" t="str">
        <f>F!C225</f>
        <v>Was measured, and is:  [enter the reading in the column to the right.]</v>
      </c>
      <c r="D135" s="2116" t="str">
        <f>IF((F!D225=""),"",F!D225)</f>
        <v/>
      </c>
      <c r="E135" s="820"/>
      <c r="F135" s="87"/>
      <c r="G135" s="799"/>
      <c r="H135" s="2324"/>
      <c r="I135" s="2324"/>
    </row>
    <row r="136" spans="1:10" ht="39" customHeight="1" x14ac:dyDescent="0.2">
      <c r="A136" s="2872"/>
      <c r="B136" s="2999"/>
      <c r="C136" s="788" t="str">
        <f>F!C226</f>
        <v xml:space="preserve">Was not measured but surface water is present and is darkly tea-coloured.  Or if no surface water, then mosses and plants that indicate peatland (e.g., Labrador tea) are prevalent. Enter "1". </v>
      </c>
      <c r="D136" s="270">
        <f>F!D226</f>
        <v>0</v>
      </c>
      <c r="E136" s="820"/>
      <c r="F136" s="87"/>
      <c r="G136" s="800"/>
      <c r="H136" s="2324"/>
      <c r="I136" s="2324"/>
    </row>
    <row r="137" spans="1:10" ht="27" customHeight="1" thickBot="1" x14ac:dyDescent="0.25">
      <c r="A137" s="2873"/>
      <c r="B137" s="3000"/>
      <c r="C137" s="789" t="str">
        <f>F!C227</f>
        <v>Neither of above. Enter "1".</v>
      </c>
      <c r="D137" s="173">
        <f>F!D227</f>
        <v>1</v>
      </c>
      <c r="E137" s="720"/>
      <c r="F137" s="174"/>
      <c r="G137" s="722"/>
      <c r="H137" s="2325"/>
      <c r="I137" s="2325"/>
    </row>
    <row r="138" spans="1:10" ht="30" customHeight="1" thickBot="1" x14ac:dyDescent="0.25">
      <c r="A138" s="2872" t="str">
        <f>F!A228</f>
        <v>F48</v>
      </c>
      <c r="B138" s="2998" t="str">
        <f>F!B228</f>
        <v>TDS and/or Conductivity</v>
      </c>
      <c r="C138" s="792" t="str">
        <f>F!C228</f>
        <v>The TDS (total dissolved solids) or conductivity off the AA's surface water is: (select the first true row with information):</v>
      </c>
      <c r="D138" s="1624"/>
      <c r="E138" s="710"/>
      <c r="F138" s="93"/>
      <c r="G138" s="2131" t="str">
        <f>IF((D142=1),"",IF((D141=1),0,IF((D139&gt;220),0,IF((D140&gt;400),0,""))))</f>
        <v/>
      </c>
      <c r="H138" s="2324" t="s">
        <v>2599</v>
      </c>
      <c r="I138" s="2323" t="s">
        <v>1625</v>
      </c>
    </row>
    <row r="139" spans="1:10" ht="18" customHeight="1" thickBot="1" x14ac:dyDescent="0.25">
      <c r="A139" s="2872"/>
      <c r="B139" s="2999"/>
      <c r="C139" s="810" t="str">
        <f>F!C229</f>
        <v>TDS is: [Enter the reading in ppm or mg/L in the column to the right, if measured, or answer next row.]</v>
      </c>
      <c r="D139" s="2128" t="str">
        <f>IF((F!D229=""),"",F!D229)</f>
        <v/>
      </c>
      <c r="E139" s="820"/>
      <c r="F139" s="87"/>
      <c r="G139" s="799"/>
      <c r="H139" s="2324"/>
      <c r="I139" s="2324"/>
    </row>
    <row r="140" spans="1:10" ht="18" customHeight="1" thickBot="1" x14ac:dyDescent="0.25">
      <c r="A140" s="2872"/>
      <c r="B140" s="2999"/>
      <c r="C140" s="2129" t="str">
        <f>F!C230</f>
        <v>Conductivity is  [Enter the reading in µS/cm in the column to the right.]</v>
      </c>
      <c r="D140" s="2128" t="str">
        <f>IF((F!D230=""),"",F!D230)</f>
        <v/>
      </c>
      <c r="E140" s="820"/>
      <c r="F140" s="87"/>
      <c r="G140" s="800"/>
      <c r="H140" s="2324"/>
      <c r="I140" s="2324"/>
    </row>
    <row r="141" spans="1:10" ht="18" customHeight="1" x14ac:dyDescent="0.2">
      <c r="A141" s="2872"/>
      <c r="B141" s="2999"/>
      <c r="C141" s="788" t="str">
        <f>F!C231</f>
        <v>Was not measured, but plants that indicate saline conditions cover much of the vegetated AA. Enter "1".</v>
      </c>
      <c r="D141" s="270">
        <f>F!D231</f>
        <v>0</v>
      </c>
      <c r="E141" s="820"/>
      <c r="F141" s="87"/>
      <c r="G141" s="800"/>
      <c r="H141" s="2324"/>
      <c r="I141" s="2324"/>
    </row>
    <row r="142" spans="1:10" ht="18" customHeight="1" thickBot="1" x14ac:dyDescent="0.25">
      <c r="A142" s="2873"/>
      <c r="B142" s="3001"/>
      <c r="C142" s="690" t="str">
        <f>F!C232</f>
        <v>Neither of above</v>
      </c>
      <c r="D142" s="271">
        <f>F!D232</f>
        <v>1</v>
      </c>
      <c r="E142" s="821"/>
      <c r="F142" s="712"/>
      <c r="G142" s="724"/>
      <c r="H142" s="2324"/>
      <c r="I142" s="2325"/>
    </row>
    <row r="143" spans="1:10" s="40" customFormat="1" ht="21" customHeight="1" thickBot="1" x14ac:dyDescent="0.25">
      <c r="A143" s="3007" t="str">
        <f>F!A233</f>
        <v>F49</v>
      </c>
      <c r="B143" s="2871" t="str">
        <f>F!B233</f>
        <v>Beaver Probability</v>
      </c>
      <c r="C143" s="165" t="str">
        <f>F!C233</f>
        <v>Use of the AA by beaver during the past 5 years is (select most applicable ONE):</v>
      </c>
      <c r="D143" s="209"/>
      <c r="E143" s="209"/>
      <c r="F143" s="819"/>
      <c r="G143" s="725">
        <f>IF((AllSat1&gt;0),"",MAX(F144:F146)/MAX(E144:E146))</f>
        <v>1</v>
      </c>
      <c r="H143" s="2323" t="s">
        <v>1871</v>
      </c>
      <c r="I143" s="2323" t="s">
        <v>310</v>
      </c>
      <c r="J143" s="186"/>
    </row>
    <row r="144" spans="1:10" s="40" customFormat="1" ht="27" customHeight="1" x14ac:dyDescent="0.2">
      <c r="A144" s="3008"/>
      <c r="B144" s="2872"/>
      <c r="C144" s="793" t="str">
        <f>F!C234</f>
        <v>Evident from direct observation or presence of gnawed limbs, dams, tracks, dens, lodges, or extensive stands of water-killed trees (snags).</v>
      </c>
      <c r="D144" s="270">
        <f>F!D234</f>
        <v>1</v>
      </c>
      <c r="E144" s="87">
        <v>3</v>
      </c>
      <c r="F144" s="91">
        <f>D144*E144</f>
        <v>3</v>
      </c>
      <c r="G144" s="799"/>
      <c r="H144" s="2324"/>
      <c r="I144" s="2324"/>
      <c r="J144" s="186"/>
    </row>
    <row r="145" spans="1:10" s="40" customFormat="1" ht="42" customHeight="1" x14ac:dyDescent="0.2">
      <c r="A145" s="3008"/>
      <c r="B145" s="2872"/>
      <c r="C145" s="788" t="str">
        <f>F!C235</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45" s="44">
        <f>F!D235</f>
        <v>0</v>
      </c>
      <c r="E145" s="87">
        <v>2</v>
      </c>
      <c r="F145" s="91">
        <f>D145*E145</f>
        <v>0</v>
      </c>
      <c r="G145" s="800"/>
      <c r="H145" s="2324"/>
      <c r="I145" s="2324"/>
      <c r="J145" s="186"/>
    </row>
    <row r="146" spans="1:10" s="40" customFormat="1" ht="27" customHeight="1" thickBot="1" x14ac:dyDescent="0.25">
      <c r="A146" s="3009"/>
      <c r="B146" s="2873"/>
      <c r="C146" s="789" t="str">
        <f>F!C236</f>
        <v xml:space="preserve">Unlikely because site characteristics above are deficient, and/or this is a settled area or other area where beaver are routinely removed. </v>
      </c>
      <c r="D146" s="173">
        <f>F!D236</f>
        <v>0</v>
      </c>
      <c r="E146" s="174">
        <v>0</v>
      </c>
      <c r="F146" s="180">
        <f>D146*E146</f>
        <v>0</v>
      </c>
      <c r="G146" s="722"/>
      <c r="H146" s="2325"/>
      <c r="I146" s="2325"/>
      <c r="J146" s="186"/>
    </row>
    <row r="147" spans="1:10" s="40" customFormat="1" ht="21" customHeight="1" thickBot="1" x14ac:dyDescent="0.25">
      <c r="A147" s="3008" t="str">
        <f>F!A237</f>
        <v>F50</v>
      </c>
      <c r="B147" s="2872" t="str">
        <f>F!B237</f>
        <v>Groundwater Strength of Evidence</v>
      </c>
      <c r="C147" s="689" t="str">
        <f>F!C237</f>
        <v>Select first applicable choice:</v>
      </c>
      <c r="D147" s="710"/>
      <c r="E147" s="710"/>
      <c r="F147" s="799"/>
      <c r="G147" s="711">
        <f>MAX(F148:F150)/MAX(E148:E150)</f>
        <v>0</v>
      </c>
      <c r="H147" s="2324" t="s">
        <v>1613</v>
      </c>
      <c r="I147" s="2323" t="s">
        <v>309</v>
      </c>
      <c r="J147" s="186"/>
    </row>
    <row r="148" spans="1:10" s="40" customFormat="1" ht="42" customHeight="1" x14ac:dyDescent="0.2">
      <c r="A148" s="3008"/>
      <c r="B148" s="2872"/>
      <c r="C148" s="793"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48" s="270">
        <f>F!D238</f>
        <v>0</v>
      </c>
      <c r="E148" s="87">
        <v>2</v>
      </c>
      <c r="F148" s="91">
        <f>D148*E148</f>
        <v>0</v>
      </c>
      <c r="G148" s="823"/>
      <c r="H148" s="2324"/>
      <c r="I148" s="2324"/>
      <c r="J148" s="186"/>
    </row>
    <row r="149" spans="1:10" s="40" customFormat="1" ht="27" customHeight="1" x14ac:dyDescent="0.2">
      <c r="A149" s="3008"/>
      <c r="B149" s="2872"/>
      <c r="C149" s="788" t="str">
        <f>F!C239</f>
        <v>Most of the AA has a slope of &gt;5%, or is very close to the base of a natural slope longer than 100 and much steeper than the slope of the AA,  AND the pH of surface water, if known, is &gt;5.5.</v>
      </c>
      <c r="D149" s="44">
        <f>F!D239</f>
        <v>0</v>
      </c>
      <c r="E149" s="87">
        <v>1</v>
      </c>
      <c r="F149" s="91">
        <f>D149*E149</f>
        <v>0</v>
      </c>
      <c r="G149" s="724"/>
      <c r="H149" s="2324"/>
      <c r="I149" s="2324"/>
      <c r="J149" s="186"/>
    </row>
    <row r="150" spans="1:10" s="40" customFormat="1" ht="27" customHeight="1" thickBot="1" x14ac:dyDescent="0.25">
      <c r="A150" s="3009"/>
      <c r="B150" s="2873"/>
      <c r="C150" s="789" t="str">
        <f>F!C240</f>
        <v>Neither of above is true, although some groundwater may discharge to or flow through the AA. Or groundwater influx is unknown.</v>
      </c>
      <c r="D150" s="173">
        <f>F!D240</f>
        <v>1</v>
      </c>
      <c r="E150" s="174">
        <v>0</v>
      </c>
      <c r="F150" s="180">
        <f>D150*E150</f>
        <v>0</v>
      </c>
      <c r="G150" s="722"/>
      <c r="H150" s="2325"/>
      <c r="I150" s="2325"/>
      <c r="J150" s="186"/>
    </row>
    <row r="151" spans="1:10" ht="45" customHeight="1" thickBot="1" x14ac:dyDescent="0.25">
      <c r="A151" s="2996" t="str">
        <f>F!A247</f>
        <v>F52</v>
      </c>
      <c r="B151" s="2996" t="str">
        <f>F!B247</f>
        <v>Vegetated Buffer as % of Perimeter</v>
      </c>
      <c r="C151" s="689" t="str">
        <f>F!C247</f>
        <v>Within a zone extending 30 m laterally from the AA's edge with upland and/or other wetlands, the percentage that contains perennial vegetation cover (except lawns, row crops, heavily grazed land, conifer plantations) is:</v>
      </c>
      <c r="D151" s="172"/>
      <c r="E151" s="710"/>
      <c r="F151" s="93"/>
      <c r="G151" s="711">
        <f>MAX(F152:F156)/MAX(E152:E156)</f>
        <v>0</v>
      </c>
      <c r="H151" s="2690" t="s">
        <v>1528</v>
      </c>
      <c r="I151" s="2323" t="s">
        <v>297</v>
      </c>
    </row>
    <row r="152" spans="1:10" ht="16.899999999999999" customHeight="1" x14ac:dyDescent="0.2">
      <c r="A152" s="2996"/>
      <c r="B152" s="2996"/>
      <c r="C152" s="1033" t="str">
        <f>F!C248</f>
        <v>&lt;5%.</v>
      </c>
      <c r="D152" s="44">
        <f>F!D248</f>
        <v>1</v>
      </c>
      <c r="E152" s="944">
        <v>0</v>
      </c>
      <c r="F152" s="87">
        <f>D152*E152</f>
        <v>0</v>
      </c>
      <c r="G152" s="799"/>
      <c r="H152" s="2691"/>
      <c r="I152" s="2324"/>
    </row>
    <row r="153" spans="1:10" ht="16.899999999999999" customHeight="1" x14ac:dyDescent="0.2">
      <c r="A153" s="2996"/>
      <c r="B153" s="2996"/>
      <c r="C153" s="1034" t="str">
        <f>F!C249</f>
        <v>5 to 30%.</v>
      </c>
      <c r="D153" s="44">
        <f>F!D249</f>
        <v>0</v>
      </c>
      <c r="E153" s="944">
        <v>2</v>
      </c>
      <c r="F153" s="87">
        <f>D153*E153</f>
        <v>0</v>
      </c>
      <c r="G153" s="800"/>
      <c r="H153" s="2691"/>
      <c r="I153" s="2324"/>
    </row>
    <row r="154" spans="1:10" ht="16.899999999999999" customHeight="1" x14ac:dyDescent="0.2">
      <c r="A154" s="2996"/>
      <c r="B154" s="2996"/>
      <c r="C154" s="1034" t="str">
        <f>F!C250</f>
        <v>30 to 60%.</v>
      </c>
      <c r="D154" s="44">
        <f>F!D250</f>
        <v>0</v>
      </c>
      <c r="E154" s="944">
        <v>3</v>
      </c>
      <c r="F154" s="87">
        <f>D154*E154</f>
        <v>0</v>
      </c>
      <c r="G154" s="800"/>
      <c r="H154" s="2691"/>
      <c r="I154" s="2324"/>
    </row>
    <row r="155" spans="1:10" ht="16.899999999999999" customHeight="1" x14ac:dyDescent="0.2">
      <c r="A155" s="2996"/>
      <c r="B155" s="2996"/>
      <c r="C155" s="1034" t="str">
        <f>F!C251</f>
        <v>60 to 90%.</v>
      </c>
      <c r="D155" s="270">
        <f>F!D251</f>
        <v>0</v>
      </c>
      <c r="E155" s="944">
        <v>4</v>
      </c>
      <c r="F155" s="87">
        <f>D155*E155</f>
        <v>0</v>
      </c>
      <c r="G155" s="800"/>
      <c r="H155" s="2691"/>
      <c r="I155" s="2324"/>
    </row>
    <row r="156" spans="1:10" ht="16.899999999999999" customHeight="1" thickBot="1" x14ac:dyDescent="0.25">
      <c r="A156" s="2996"/>
      <c r="B156" s="2996"/>
      <c r="C156" s="1028" t="str">
        <f>F!C252</f>
        <v>&gt;90%, or all the area within 30 m of the AA edge is other wetlands. SKIP to F55.</v>
      </c>
      <c r="D156" s="1036">
        <f>F!D252</f>
        <v>0</v>
      </c>
      <c r="E156" s="1035">
        <v>6</v>
      </c>
      <c r="F156" s="712">
        <f>D156*E156</f>
        <v>0</v>
      </c>
      <c r="G156" s="724"/>
      <c r="H156" s="2692"/>
      <c r="I156" s="2325"/>
    </row>
    <row r="157" spans="1:10" ht="30" customHeight="1" thickBot="1" x14ac:dyDescent="0.25">
      <c r="A157" s="2871" t="str">
        <f>F!A253</f>
        <v>F53</v>
      </c>
      <c r="B157" s="2871" t="str">
        <f>F!B253</f>
        <v>Type of Cover in Buffer</v>
      </c>
      <c r="C157" s="792" t="str">
        <f>F!C253</f>
        <v>Within 30 m upslope of where the wetland transitions to upland, the upland land cover that is NOT perennial vegetation is mostly (mark ONE):</v>
      </c>
      <c r="D157" s="1011"/>
      <c r="E157" s="209"/>
      <c r="F157" s="176"/>
      <c r="G157" s="725">
        <f>IF((BuffAllNat=1),"", MAX(F158:F159)/MAX(E158:E159))</f>
        <v>0</v>
      </c>
      <c r="H157" s="2326" t="s">
        <v>2600</v>
      </c>
      <c r="I157" s="2323" t="s">
        <v>298</v>
      </c>
    </row>
    <row r="158" spans="1:10" ht="15" customHeight="1" x14ac:dyDescent="0.2">
      <c r="A158" s="2872"/>
      <c r="B158" s="2872"/>
      <c r="C158" s="1032" t="str">
        <f>F!C254</f>
        <v>Impervious surface, e.g., paved road, parking lot, building, exposed rock.</v>
      </c>
      <c r="D158" s="44">
        <f>F!D254</f>
        <v>0</v>
      </c>
      <c r="E158" s="820">
        <v>0</v>
      </c>
      <c r="F158" s="87">
        <f>D158*E158</f>
        <v>0</v>
      </c>
      <c r="G158" s="799"/>
      <c r="H158" s="2327"/>
      <c r="I158" s="2324"/>
    </row>
    <row r="159" spans="1:10" ht="27" customHeight="1" thickBot="1" x14ac:dyDescent="0.25">
      <c r="A159" s="2872"/>
      <c r="B159" s="2872"/>
      <c r="C159" s="41" t="str">
        <f>F!C255</f>
        <v>Bare or nearly bare pervious surface or managed vegetation, e.g., lawn, row crops, unpaved road, dike, landslide.</v>
      </c>
      <c r="D159" s="173">
        <f>F!D255</f>
        <v>0</v>
      </c>
      <c r="E159" s="821">
        <v>1</v>
      </c>
      <c r="F159" s="712">
        <f>D159*E159</f>
        <v>0</v>
      </c>
      <c r="G159" s="724"/>
      <c r="H159" s="2327"/>
      <c r="I159" s="2325"/>
    </row>
    <row r="160" spans="1:10" ht="21" customHeight="1" thickBot="1" x14ac:dyDescent="0.25">
      <c r="A160" s="2871" t="str">
        <f>F!A269</f>
        <v>F57</v>
      </c>
      <c r="B160" s="2871" t="str">
        <f>F!B269</f>
        <v>Burn History</v>
      </c>
      <c r="C160" s="792" t="str">
        <f>F!C269</f>
        <v>More than 1% of the AA's previously vegetated area:</v>
      </c>
      <c r="D160" s="726"/>
      <c r="E160" s="209"/>
      <c r="F160" s="176"/>
      <c r="G160" s="1389" t="str">
        <f>IF((D164=1),"",MAX(F161:F164)/MAX(E161:E164))</f>
        <v/>
      </c>
      <c r="H160" s="2323" t="s">
        <v>1619</v>
      </c>
      <c r="I160" s="2323" t="s">
        <v>1615</v>
      </c>
    </row>
    <row r="161" spans="1:9" ht="15" customHeight="1" x14ac:dyDescent="0.2">
      <c r="A161" s="2872"/>
      <c r="B161" s="2872"/>
      <c r="C161" s="793" t="str">
        <f>F!C270</f>
        <v>Burned within past 5 years.</v>
      </c>
      <c r="D161" s="44">
        <f>F!D270</f>
        <v>0</v>
      </c>
      <c r="E161" s="300">
        <v>4</v>
      </c>
      <c r="F161" s="300">
        <f>D161*E161</f>
        <v>0</v>
      </c>
      <c r="G161" s="799"/>
      <c r="H161" s="2324"/>
      <c r="I161" s="2324"/>
    </row>
    <row r="162" spans="1:9" ht="15" customHeight="1" x14ac:dyDescent="0.2">
      <c r="A162" s="2872"/>
      <c r="B162" s="2872"/>
      <c r="C162" s="788" t="str">
        <f>F!C271</f>
        <v>Burned 6-10 years ago.</v>
      </c>
      <c r="D162" s="44">
        <f>F!D271</f>
        <v>0</v>
      </c>
      <c r="E162" s="300">
        <v>3</v>
      </c>
      <c r="F162" s="300">
        <f>D162*E162</f>
        <v>0</v>
      </c>
      <c r="G162" s="800"/>
      <c r="H162" s="2324"/>
      <c r="I162" s="2324"/>
    </row>
    <row r="163" spans="1:9" ht="15" customHeight="1" x14ac:dyDescent="0.2">
      <c r="A163" s="2872"/>
      <c r="B163" s="2872"/>
      <c r="C163" s="788" t="str">
        <f>F!C272</f>
        <v>Burned 11-30 years ago.</v>
      </c>
      <c r="D163" s="44">
        <f>F!D272</f>
        <v>0</v>
      </c>
      <c r="E163" s="300">
        <v>2</v>
      </c>
      <c r="F163" s="300">
        <f>D163*E163</f>
        <v>0</v>
      </c>
      <c r="G163" s="800"/>
      <c r="H163" s="2324"/>
      <c r="I163" s="2324"/>
    </row>
    <row r="164" spans="1:9" ht="15" customHeight="1" thickBot="1" x14ac:dyDescent="0.25">
      <c r="A164" s="2873"/>
      <c r="B164" s="2873"/>
      <c r="C164" s="789" t="str">
        <f>F!C273</f>
        <v>Burned &gt;30 years ago, or no evidence of a burn and no data.</v>
      </c>
      <c r="D164" s="173">
        <f>F!D273</f>
        <v>1</v>
      </c>
      <c r="E164" s="301">
        <v>1</v>
      </c>
      <c r="F164" s="300">
        <f>D164*E164</f>
        <v>1</v>
      </c>
      <c r="G164" s="722"/>
      <c r="H164" s="2325"/>
      <c r="I164" s="2325"/>
    </row>
    <row r="165" spans="1:9" ht="60" customHeight="1" thickBot="1" x14ac:dyDescent="0.25">
      <c r="A165" s="2995" t="str">
        <f>F!A282</f>
        <v>F60</v>
      </c>
      <c r="B165" s="2995" t="str">
        <f>F!B282</f>
        <v xml:space="preserve">Unvisited Core Area </v>
      </c>
      <c r="C165" s="792"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165" s="1011"/>
      <c r="E165" s="209"/>
      <c r="F165" s="176"/>
      <c r="G165" s="725">
        <f>MAX(F166:F171)/MAX(E166:E171)</f>
        <v>1</v>
      </c>
      <c r="H165" s="2982" t="s">
        <v>1621</v>
      </c>
      <c r="I165" s="2323" t="s">
        <v>299</v>
      </c>
    </row>
    <row r="166" spans="1:9" ht="15" customHeight="1" x14ac:dyDescent="0.2">
      <c r="A166" s="2996"/>
      <c r="B166" s="2996"/>
      <c r="C166" s="1030" t="str">
        <f>F!C283</f>
        <v>&lt;5% and no inhabited building is within 100 m of the AA.</v>
      </c>
      <c r="D166" s="270">
        <f>F!D283</f>
        <v>0</v>
      </c>
      <c r="E166" s="932">
        <v>1</v>
      </c>
      <c r="F166" s="87">
        <f t="shared" ref="F166:F171" si="7">D166*E166</f>
        <v>0</v>
      </c>
      <c r="G166" s="799"/>
      <c r="H166" s="2691"/>
      <c r="I166" s="2324"/>
    </row>
    <row r="167" spans="1:9" ht="15" customHeight="1" x14ac:dyDescent="0.2">
      <c r="A167" s="2996"/>
      <c r="B167" s="2996"/>
      <c r="C167" s="788" t="str">
        <f>F!C284</f>
        <v>&lt;5% and inhabited building is within 100 m of the AA.</v>
      </c>
      <c r="D167" s="1031">
        <f>F!D284</f>
        <v>0</v>
      </c>
      <c r="E167" s="932">
        <v>0</v>
      </c>
      <c r="F167" s="87">
        <f t="shared" si="7"/>
        <v>0</v>
      </c>
      <c r="G167" s="800"/>
      <c r="H167" s="2691"/>
      <c r="I167" s="2324"/>
    </row>
    <row r="168" spans="1:9" ht="15" customHeight="1" x14ac:dyDescent="0.2">
      <c r="A168" s="2996"/>
      <c r="B168" s="2996"/>
      <c r="C168" s="788" t="str">
        <f>F!C285</f>
        <v>5-50% and no inhabited building is within 100 m of the AA.</v>
      </c>
      <c r="D168" s="44">
        <f>F!D285</f>
        <v>0</v>
      </c>
      <c r="E168" s="932">
        <v>3</v>
      </c>
      <c r="F168" s="87">
        <f t="shared" si="7"/>
        <v>0</v>
      </c>
      <c r="G168" s="800"/>
      <c r="H168" s="2691"/>
      <c r="I168" s="2324"/>
    </row>
    <row r="169" spans="1:9" ht="15" customHeight="1" x14ac:dyDescent="0.2">
      <c r="A169" s="2996"/>
      <c r="B169" s="2996"/>
      <c r="C169" s="788" t="str">
        <f>F!C286</f>
        <v>5-50% and inhabited building is within 100 m of the AA.</v>
      </c>
      <c r="D169" s="44">
        <f>F!D286</f>
        <v>0</v>
      </c>
      <c r="E169" s="932">
        <v>2</v>
      </c>
      <c r="F169" s="87">
        <f t="shared" si="7"/>
        <v>0</v>
      </c>
      <c r="G169" s="724"/>
      <c r="H169" s="2691"/>
      <c r="I169" s="2324"/>
    </row>
    <row r="170" spans="1:9" ht="15" customHeight="1" x14ac:dyDescent="0.2">
      <c r="A170" s="2996"/>
      <c r="B170" s="2996"/>
      <c r="C170" s="788" t="str">
        <f>F!C287</f>
        <v>50-95%, with or without inhabited building nearby.</v>
      </c>
      <c r="D170" s="1031">
        <f>F!D287</f>
        <v>0</v>
      </c>
      <c r="E170" s="932">
        <v>4</v>
      </c>
      <c r="F170" s="87">
        <f t="shared" si="7"/>
        <v>0</v>
      </c>
      <c r="G170" s="724"/>
      <c r="H170" s="2691"/>
      <c r="I170" s="2324"/>
    </row>
    <row r="171" spans="1:9" ht="15" customHeight="1" thickBot="1" x14ac:dyDescent="0.25">
      <c r="A171" s="2997"/>
      <c r="B171" s="2997"/>
      <c r="C171" s="1021" t="str">
        <f>F!C288</f>
        <v>&gt;95% of the AA with or without inhabited building nearby.</v>
      </c>
      <c r="D171" s="173">
        <f>F!D288</f>
        <v>1</v>
      </c>
      <c r="E171" s="987">
        <v>5</v>
      </c>
      <c r="F171" s="174">
        <f t="shared" si="7"/>
        <v>5</v>
      </c>
      <c r="G171" s="722"/>
      <c r="H171" s="3027"/>
      <c r="I171" s="2325"/>
    </row>
    <row r="172" spans="1:9" ht="30" customHeight="1" thickBot="1" x14ac:dyDescent="0.25">
      <c r="A172" s="2996" t="str">
        <f>F!A289</f>
        <v>F61</v>
      </c>
      <c r="B172" s="2995" t="str">
        <f>F!B289</f>
        <v>Frequently Visited Area</v>
      </c>
      <c r="C172" s="792" t="str">
        <f>F!C289</f>
        <v>The part of the AA visited by humans almost daily for several weeks during an average growing season probably comprises:  [See note above.]</v>
      </c>
      <c r="D172" s="946"/>
      <c r="E172" s="330"/>
      <c r="F172" s="93"/>
      <c r="G172" s="711">
        <f>MAX(F173:F176)/MAX(E173:E176)</f>
        <v>1</v>
      </c>
      <c r="H172" s="2690" t="s">
        <v>87</v>
      </c>
      <c r="I172" s="2323" t="s">
        <v>300</v>
      </c>
    </row>
    <row r="173" spans="1:9" ht="15" customHeight="1" x14ac:dyDescent="0.2">
      <c r="A173" s="2996"/>
      <c r="B173" s="2996"/>
      <c r="C173" s="1030" t="str">
        <f>F!C290</f>
        <v>&lt;5%. If F60 was answered "&gt;95%" (mostly never visited), SKIP to F64.</v>
      </c>
      <c r="D173" s="44">
        <f>F!D290</f>
        <v>1</v>
      </c>
      <c r="E173" s="932">
        <v>3</v>
      </c>
      <c r="F173" s="87">
        <f>D173*E173</f>
        <v>3</v>
      </c>
      <c r="G173" s="799"/>
      <c r="H173" s="2691"/>
      <c r="I173" s="2324"/>
    </row>
    <row r="174" spans="1:9" ht="15" customHeight="1" x14ac:dyDescent="0.2">
      <c r="A174" s="2996"/>
      <c r="B174" s="2996"/>
      <c r="C174" s="788" t="str">
        <f>F!C291</f>
        <v>5-50%.</v>
      </c>
      <c r="D174" s="44">
        <f>F!D291</f>
        <v>0</v>
      </c>
      <c r="E174" s="932">
        <v>2</v>
      </c>
      <c r="F174" s="87">
        <f>D174*E174</f>
        <v>0</v>
      </c>
      <c r="G174" s="800"/>
      <c r="H174" s="2691"/>
      <c r="I174" s="2324"/>
    </row>
    <row r="175" spans="1:9" ht="15" customHeight="1" x14ac:dyDescent="0.2">
      <c r="A175" s="2996"/>
      <c r="B175" s="2996"/>
      <c r="C175" s="788" t="str">
        <f>F!C292</f>
        <v>50-95%.</v>
      </c>
      <c r="D175" s="44">
        <f>F!D292</f>
        <v>0</v>
      </c>
      <c r="E175" s="932">
        <v>1</v>
      </c>
      <c r="F175" s="87">
        <f>D175*E175</f>
        <v>0</v>
      </c>
      <c r="G175" s="800"/>
      <c r="H175" s="2691"/>
      <c r="I175" s="2324"/>
    </row>
    <row r="176" spans="1:9" ht="15" customHeight="1" thickBot="1" x14ac:dyDescent="0.25">
      <c r="A176" s="2996"/>
      <c r="B176" s="2997"/>
      <c r="C176" s="789" t="str">
        <f>F!C293</f>
        <v>&gt;95% of the AA.</v>
      </c>
      <c r="D176" s="1029">
        <f>F!D293</f>
        <v>0</v>
      </c>
      <c r="E176" s="328">
        <v>0</v>
      </c>
      <c r="F176" s="712">
        <f>D176*E176</f>
        <v>0</v>
      </c>
      <c r="G176" s="724"/>
      <c r="H176" s="2692"/>
      <c r="I176" s="2325"/>
    </row>
    <row r="177" spans="1:10" ht="60" customHeight="1" thickBot="1" x14ac:dyDescent="0.25">
      <c r="A177" s="792" t="str">
        <f>F!A294</f>
        <v>F62</v>
      </c>
      <c r="B177" s="792" t="str">
        <f>F!B294</f>
        <v>BMP - Soils</v>
      </c>
      <c r="C177" s="809" t="str">
        <f>F!C294</f>
        <v>Boardwalks, paved trails, fences or other infrastructure and/or well-enforced regulations appear to effectively prevent visitors from walking on soil within nearly all of the AA when the soil is unfrozen. Enter "1" if true.</v>
      </c>
      <c r="D177" s="272">
        <f>F!D294</f>
        <v>0</v>
      </c>
      <c r="E177" s="333"/>
      <c r="F177" s="728"/>
      <c r="G177" s="725" t="str">
        <f>IF((D171+D173&gt;1),"",D177)</f>
        <v/>
      </c>
      <c r="H177" s="4" t="s">
        <v>1480</v>
      </c>
      <c r="I177" s="4" t="s">
        <v>1045</v>
      </c>
    </row>
    <row r="178" spans="1:10" ht="60" customHeight="1" thickBot="1" x14ac:dyDescent="0.25">
      <c r="A178" s="165" t="str">
        <f>F!A307</f>
        <v>F66</v>
      </c>
      <c r="B178" s="792" t="str">
        <f>F!B307</f>
        <v>Calcareous Fen</v>
      </c>
      <c r="C178" s="809" t="str">
        <f>F!C307</f>
        <v xml:space="preserve">The AA is, or is part of, a calcareous fen. See the Plants_Calcar worksheet in the accompanying SuppInfo file for list of plant indicators (calciphiles). Enter 1 If more than two Strong or more than five Moderate calciphile species are present; otherwise enter 0, but if not able to identify those and no information, change to blank. </v>
      </c>
      <c r="D178" s="272">
        <f>IF((F!D307=""),"",F!D307)</f>
        <v>1</v>
      </c>
      <c r="E178" s="333"/>
      <c r="F178" s="171"/>
      <c r="G178" s="725">
        <f>IF((F!D307=""),"", IF((D178=1),1,""))</f>
        <v>1</v>
      </c>
      <c r="H178" s="4" t="s">
        <v>1623</v>
      </c>
      <c r="I178" s="4" t="s">
        <v>1338</v>
      </c>
    </row>
    <row r="179" spans="1:10" s="40" customFormat="1" ht="153" customHeight="1" thickBot="1" x14ac:dyDescent="0.25">
      <c r="A179" s="1100" t="str">
        <f>S!A3</f>
        <v>S1</v>
      </c>
      <c r="B179" s="1104" t="str">
        <f>S!B3</f>
        <v>Aberrant Timing of Water Inputs</v>
      </c>
      <c r="C179" s="1102" t="str">
        <f>S!E24</f>
        <v>Stressor subscore=</v>
      </c>
      <c r="D179" s="1109">
        <f>S!F24</f>
        <v>0.25</v>
      </c>
      <c r="E179" s="946"/>
      <c r="F179" s="1110"/>
      <c r="G179" s="1111">
        <f>IF((InfloPD=0),"", 1-D179)</f>
        <v>0.75</v>
      </c>
      <c r="H179" s="4" t="s">
        <v>1616</v>
      </c>
      <c r="I179" s="4" t="s">
        <v>304</v>
      </c>
      <c r="J179" s="186"/>
    </row>
    <row r="180" spans="1:10" s="40" customFormat="1" ht="45" customHeight="1" thickBot="1" x14ac:dyDescent="0.25">
      <c r="A180" s="1101" t="str">
        <f>S!A25</f>
        <v>S2</v>
      </c>
      <c r="B180" s="1100" t="str">
        <f>S!B25</f>
        <v>Accelerated Inputs of Contaminants and/or Salts</v>
      </c>
      <c r="C180" s="1113" t="str">
        <f>S!E37</f>
        <v>Stressor subscore=</v>
      </c>
      <c r="D180" s="1107">
        <f>S!F37</f>
        <v>0.33333333333333331</v>
      </c>
      <c r="E180" s="728"/>
      <c r="F180" s="948"/>
      <c r="G180" s="794">
        <f>1-D180</f>
        <v>0.66666666666666674</v>
      </c>
      <c r="H180" s="1097" t="s">
        <v>1785</v>
      </c>
      <c r="I180" s="4" t="s">
        <v>1787</v>
      </c>
      <c r="J180" s="186"/>
    </row>
    <row r="181" spans="1:10" s="40" customFormat="1" ht="45" customHeight="1" thickBot="1" x14ac:dyDescent="0.25">
      <c r="A181" s="1105" t="str">
        <f>S!A51</f>
        <v>S4</v>
      </c>
      <c r="B181" s="1105" t="str">
        <f>S!B51</f>
        <v>Excessive Sediment Loading from Contributing Area</v>
      </c>
      <c r="C181" s="1108" t="str">
        <f>S!E68</f>
        <v>Stressor subscore=</v>
      </c>
      <c r="D181" s="1112">
        <f>S!F68</f>
        <v>0.58333333333333337</v>
      </c>
      <c r="E181" s="816"/>
      <c r="F181" s="913"/>
      <c r="G181" s="969">
        <f>1-D181</f>
        <v>0.41666666666666663</v>
      </c>
      <c r="H181" s="4" t="s">
        <v>1783</v>
      </c>
      <c r="I181" s="4" t="s">
        <v>1788</v>
      </c>
      <c r="J181" s="186"/>
    </row>
    <row r="182" spans="1:10" ht="75" customHeight="1" thickBot="1" x14ac:dyDescent="0.25">
      <c r="A182" s="188" t="str">
        <f>S!A69</f>
        <v>S5</v>
      </c>
      <c r="B182" s="1099" t="str">
        <f>S!B69</f>
        <v>Soil or Sediment Alteration Within the Assessment Area</v>
      </c>
      <c r="C182" s="1103" t="str">
        <f>S!E86</f>
        <v>Stressor subscore=</v>
      </c>
      <c r="D182" s="1106">
        <f>S!F86</f>
        <v>0.83333333333333337</v>
      </c>
      <c r="E182" s="816"/>
      <c r="F182" s="867"/>
      <c r="G182" s="711">
        <f>1-D182</f>
        <v>0.16666666666666663</v>
      </c>
      <c r="H182" s="1098" t="s">
        <v>1780</v>
      </c>
      <c r="I182" s="4" t="s">
        <v>2878</v>
      </c>
    </row>
    <row r="183" spans="1:10" s="111" customFormat="1" ht="36" customHeight="1" thickBot="1" x14ac:dyDescent="0.25">
      <c r="A183" s="1197" t="s">
        <v>88</v>
      </c>
      <c r="B183" s="1198" t="s">
        <v>1899</v>
      </c>
      <c r="C183" s="1200" t="s">
        <v>1165</v>
      </c>
      <c r="D183" s="1199" t="s">
        <v>45</v>
      </c>
      <c r="E183" s="1283" t="s">
        <v>1189</v>
      </c>
      <c r="F183" s="1402" t="s">
        <v>1190</v>
      </c>
      <c r="G183" s="1285" t="s">
        <v>2555</v>
      </c>
      <c r="H183" s="1184" t="s">
        <v>473</v>
      </c>
      <c r="I183" s="1184" t="s">
        <v>2424</v>
      </c>
    </row>
    <row r="184" spans="1:10" ht="114" customHeight="1" thickBot="1" x14ac:dyDescent="0.25">
      <c r="A184" s="165" t="str">
        <f>OF!A39</f>
        <v>OF6</v>
      </c>
      <c r="B184" s="165" t="str">
        <f>OF!B39</f>
        <v>Herbaceous Uniqueness</v>
      </c>
      <c r="C184" s="189" t="str">
        <f>OF!C39</f>
        <v xml:space="preserve">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 NOTE: Exclude lawns, row crops, heavily grazed lands, forest, shrublands. Include moss as well as grasslike plants in this use of "herbaceous vegetation"]
</v>
      </c>
      <c r="D184" s="920">
        <f>OF!D39</f>
        <v>3</v>
      </c>
      <c r="E184" s="728"/>
      <c r="F184" s="171"/>
      <c r="G184" s="795">
        <f>D184/3</f>
        <v>1</v>
      </c>
      <c r="H184" s="1450" t="s">
        <v>2233</v>
      </c>
      <c r="I184" s="4" t="s">
        <v>1339</v>
      </c>
    </row>
    <row r="185" spans="1:10" ht="102" customHeight="1" thickBot="1" x14ac:dyDescent="0.25">
      <c r="A185" s="165" t="str">
        <f>OF!A40</f>
        <v>OF7</v>
      </c>
      <c r="B185" s="165" t="str">
        <f>OF!B40</f>
        <v>Woody Uniqueness</v>
      </c>
      <c r="C185" s="189" t="str">
        <f>OF!C40</f>
        <v xml:space="preserve">The AA's vegetation cover is &gt;10% woody* but uplands within 5 km have &lt;10% woody cover. If so, enter "3" and continue to OF8.  If not, consider: 
The AA's vegetation is &gt;10% woody* but uplands within 1 km have &lt;10% woody cover. If so enter "2" and continue to OF8.  If not, consider: 
The AA's vegetation is &gt;10%  woody* but uplands within 100 m of the wetland edge have &lt;10% woody cover.  If so, enter "1"  
 [* NOTE: woody cover = trees &amp; shrubs taller than 1 m.]
</v>
      </c>
      <c r="D185" s="920">
        <f>OF!D40</f>
        <v>0</v>
      </c>
      <c r="E185" s="728"/>
      <c r="F185" s="171"/>
      <c r="G185" s="795">
        <f>D185/3</f>
        <v>0</v>
      </c>
      <c r="H185" s="365" t="s">
        <v>2234</v>
      </c>
      <c r="I185" s="4" t="s">
        <v>2877</v>
      </c>
    </row>
    <row r="186" spans="1:10" ht="45" customHeight="1" thickBot="1" x14ac:dyDescent="0.25">
      <c r="A186" s="1024" t="str">
        <f>OF!A139</f>
        <v>OF29</v>
      </c>
      <c r="B186" s="983" t="str">
        <f>OF!B139</f>
        <v>Species of Conservation Concern</v>
      </c>
      <c r="C186" s="1463" t="str">
        <f>OF!C140</f>
        <v xml:space="preserve">Presence of one or more of the plant species listed in the Plants_Rare worksheet of the accompanying SuppInfo file, or the AA is within a mapped Atlantic Coastal Plain Flora Buffer </v>
      </c>
      <c r="D186" s="1025">
        <f>OF!D140</f>
        <v>1</v>
      </c>
      <c r="E186" s="172"/>
      <c r="F186" s="1066"/>
      <c r="G186" s="1073">
        <f>D186</f>
        <v>1</v>
      </c>
      <c r="H186" s="962" t="s">
        <v>44</v>
      </c>
      <c r="I186" s="4" t="s">
        <v>1340</v>
      </c>
    </row>
    <row r="187" spans="1:10" ht="30" customHeight="1" thickBot="1" x14ac:dyDescent="0.25">
      <c r="A187" s="808"/>
      <c r="B187" s="1026" t="str">
        <f>POL!C93</f>
        <v>Function Score for Pollinator Habitat</v>
      </c>
      <c r="C187" s="1027"/>
      <c r="D187" s="728"/>
      <c r="E187" s="728"/>
      <c r="F187" s="171"/>
      <c r="G187" s="795">
        <f>POL!G93/10</f>
        <v>0.57314814814814818</v>
      </c>
      <c r="H187" s="365" t="s">
        <v>59</v>
      </c>
      <c r="I187" s="4" t="s">
        <v>305</v>
      </c>
    </row>
    <row r="188" spans="1:10" s="80" customFormat="1" ht="45" customHeight="1" thickBot="1" x14ac:dyDescent="0.25">
      <c r="A188" s="808"/>
      <c r="B188" s="813" t="str">
        <f>SBM!C182</f>
        <v>Function Score for Songbird, Raptor, &amp; Mammal Habitat</v>
      </c>
      <c r="C188" s="812"/>
      <c r="D188" s="829"/>
      <c r="E188" s="829"/>
      <c r="F188" s="830"/>
      <c r="G188" s="650">
        <f>SBM!G182/10</f>
        <v>0.5769982993197279</v>
      </c>
      <c r="H188" s="1039" t="s">
        <v>416</v>
      </c>
      <c r="I188" s="1261" t="s">
        <v>318</v>
      </c>
      <c r="J188" s="187"/>
    </row>
    <row r="189" spans="1:10" ht="21" customHeight="1" thickBot="1" x14ac:dyDescent="0.25">
      <c r="A189" s="1114"/>
      <c r="B189" s="1114"/>
      <c r="C189" s="1114"/>
      <c r="D189" s="3028"/>
      <c r="E189" s="3028"/>
      <c r="F189" s="3028"/>
      <c r="G189" s="3028"/>
      <c r="H189" s="3028"/>
    </row>
    <row r="190" spans="1:10" s="42" customFormat="1" ht="21" customHeight="1" x14ac:dyDescent="0.2">
      <c r="A190" s="85"/>
      <c r="B190" s="85"/>
      <c r="C190" s="85"/>
      <c r="D190" s="2565" t="s">
        <v>611</v>
      </c>
      <c r="E190" s="2566"/>
      <c r="F190" s="2566"/>
      <c r="G190" s="1269">
        <f>AVERAGE(WidthPD, SizePD, SizeVegConnec15,SatPctPD)</f>
        <v>0.46875</v>
      </c>
      <c r="H190" s="1422" t="s">
        <v>2051</v>
      </c>
      <c r="I190" s="1423" t="s">
        <v>2165</v>
      </c>
      <c r="J190" s="106"/>
    </row>
    <row r="191" spans="1:10" s="42" customFormat="1" ht="21" customHeight="1" x14ac:dyDescent="0.2">
      <c r="A191" s="85"/>
      <c r="B191" s="85"/>
      <c r="C191" s="85"/>
      <c r="D191" s="2638" t="s">
        <v>118</v>
      </c>
      <c r="E191" s="2639"/>
      <c r="F191" s="2639"/>
      <c r="G191" s="1270">
        <f>AVERAGE(BeaverPD, NatVegCApd, BuffLUpd, DistBig15,VegPct5k15, PondProx15)</f>
        <v>0.30555555555555558</v>
      </c>
      <c r="H191" s="1407" t="s">
        <v>1341</v>
      </c>
      <c r="I191" s="1424" t="s">
        <v>2166</v>
      </c>
      <c r="J191" s="106"/>
    </row>
    <row r="192" spans="1:10" s="42" customFormat="1" ht="30" customHeight="1" x14ac:dyDescent="0.2">
      <c r="A192" s="85"/>
      <c r="B192" s="85"/>
      <c r="C192" s="85"/>
      <c r="D192" s="2638" t="s">
        <v>316</v>
      </c>
      <c r="E192" s="2639"/>
      <c r="F192" s="2639"/>
      <c r="G192" s="1270">
        <f>AVERAGE(InFlowPD,MAX(CalcFen15,Conduc20, Acidic20),AVERAGE(InterspersPD,FlucPD, SeasWpctPD, GWpd, Depth15))</f>
        <v>0.8125</v>
      </c>
      <c r="H192" s="1476" t="s">
        <v>2295</v>
      </c>
      <c r="I192" s="1424" t="s">
        <v>2167</v>
      </c>
      <c r="J192" s="106"/>
    </row>
    <row r="193" spans="1:10" s="42" customFormat="1" ht="21" customHeight="1" x14ac:dyDescent="0.2">
      <c r="A193" s="85"/>
      <c r="B193" s="85"/>
      <c r="C193" s="85"/>
      <c r="D193" s="2638" t="s">
        <v>317</v>
      </c>
      <c r="E193" s="2639"/>
      <c r="F193" s="2639"/>
      <c r="G193" s="1270">
        <f>AVERAGE(NfixPD, SoilTexPD, GDDpd)</f>
        <v>0.375</v>
      </c>
      <c r="H193" s="1476" t="s">
        <v>2281</v>
      </c>
      <c r="I193" s="1424" t="s">
        <v>2168</v>
      </c>
      <c r="J193" s="106"/>
    </row>
    <row r="194" spans="1:10" s="42" customFormat="1" ht="30" customHeight="1" x14ac:dyDescent="0.2">
      <c r="A194" s="85"/>
      <c r="B194" s="85"/>
      <c r="C194" s="85"/>
      <c r="D194" s="2638" t="s">
        <v>612</v>
      </c>
      <c r="E194" s="2639"/>
      <c r="F194" s="2639"/>
      <c r="G194" s="1270">
        <f>AVERAGE(Invas15, AVERAGE(WoodyHtDiv15, WoodHerbMix15,herbdom15,WoodSpDom15, Burn20,GirregPD))</f>
        <v>0.5</v>
      </c>
      <c r="H194" s="1407" t="s">
        <v>1683</v>
      </c>
      <c r="I194" s="1424" t="s">
        <v>2169</v>
      </c>
      <c r="J194" s="106"/>
    </row>
    <row r="195" spans="1:10" s="42" customFormat="1" ht="30" customHeight="1" thickBot="1" x14ac:dyDescent="0.25">
      <c r="A195" s="85"/>
      <c r="B195" s="85"/>
      <c r="C195" s="85"/>
      <c r="D195" s="2563" t="s">
        <v>451</v>
      </c>
      <c r="E195" s="2564"/>
      <c r="F195" s="2564"/>
      <c r="G195" s="1271">
        <f>(AVERAGE(Core1pd, Core2pd, BMPsoils20,WeedSourcePD) + AVERAGE(PopCtr15, DistRdPD) + MIN( AltTime20, Salt20, SedDep20,SedDisturb20))/3</f>
        <v>0.61111111111111105</v>
      </c>
      <c r="H195" s="1425" t="s">
        <v>2052</v>
      </c>
      <c r="I195" s="1426" t="s">
        <v>2170</v>
      </c>
      <c r="J195" s="106"/>
    </row>
    <row r="196" spans="1:10" ht="21" customHeight="1" thickBot="1" x14ac:dyDescent="0.25">
      <c r="B196" s="85"/>
      <c r="C196" s="85"/>
      <c r="D196" s="3023"/>
      <c r="E196" s="3023"/>
      <c r="F196" s="3023"/>
      <c r="G196" s="3023"/>
      <c r="H196" s="2978"/>
    </row>
    <row r="197" spans="1:10" ht="30" customHeight="1" thickBot="1" x14ac:dyDescent="0.25">
      <c r="A197" s="2987"/>
      <c r="B197" s="3022"/>
      <c r="C197" s="3029" t="s">
        <v>70</v>
      </c>
      <c r="D197" s="3030"/>
      <c r="E197" s="3031"/>
      <c r="F197" s="1268" t="s">
        <v>52</v>
      </c>
      <c r="G197" s="1362">
        <f>IF((InvasDom1=1),0, 10*((4*SppArea + 3*CompetPD + 2*AqFertilPD + 2*TerrFertilPD + LscapePD + StressPD)/13))</f>
        <v>5.1282051282051277</v>
      </c>
      <c r="H197" s="2525" t="s">
        <v>2402</v>
      </c>
      <c r="I197" s="2526"/>
    </row>
    <row r="198" spans="1:10" ht="30" customHeight="1" thickBot="1" x14ac:dyDescent="0.25">
      <c r="A198" s="2987"/>
      <c r="B198" s="3022"/>
      <c r="C198" s="3029" t="s">
        <v>1916</v>
      </c>
      <c r="D198" s="3030"/>
      <c r="E198" s="3031"/>
      <c r="F198" s="1268" t="s">
        <v>2219</v>
      </c>
      <c r="G198" s="1401">
        <f>10*((IF((RarePsp20=1),1, AVERAGE(ScoreSBM, MAX(HerbUniq20,WoodyUniq20), ScorePOLf))))</f>
        <v>10</v>
      </c>
      <c r="H198" s="2525" t="s">
        <v>2403</v>
      </c>
      <c r="I198" s="2526"/>
    </row>
    <row r="199" spans="1:10" ht="21" customHeight="1" thickBot="1" x14ac:dyDescent="0.25">
      <c r="A199" s="1096"/>
      <c r="B199" s="1096"/>
      <c r="C199" s="1096"/>
      <c r="D199" s="1096"/>
      <c r="E199" s="1096"/>
      <c r="F199" s="1096"/>
      <c r="G199" s="1096"/>
      <c r="H199" s="478"/>
    </row>
    <row r="200" spans="1:10" ht="21" customHeight="1" thickBot="1" x14ac:dyDescent="0.25">
      <c r="A200" s="1096"/>
      <c r="B200" s="1096"/>
      <c r="C200" s="1096"/>
      <c r="D200" s="1096"/>
      <c r="E200" s="1096"/>
      <c r="F200" s="1096"/>
      <c r="G200" s="1096"/>
      <c r="H200" s="2651" t="s">
        <v>669</v>
      </c>
      <c r="I200" s="2652"/>
    </row>
    <row r="201" spans="1:10" ht="42" customHeight="1" x14ac:dyDescent="0.2">
      <c r="A201" s="1096"/>
      <c r="B201" s="1096"/>
      <c r="C201" s="1096"/>
      <c r="D201" s="1096"/>
      <c r="E201" s="1096"/>
      <c r="F201" s="1096"/>
      <c r="G201" s="1096"/>
      <c r="H201" s="2727" t="s">
        <v>792</v>
      </c>
      <c r="I201" s="2728"/>
    </row>
    <row r="202" spans="1:10" ht="42" customHeight="1" x14ac:dyDescent="0.2">
      <c r="A202" s="1096"/>
      <c r="B202" s="1096"/>
      <c r="C202" s="1096"/>
      <c r="D202" s="1096"/>
      <c r="E202" s="1096"/>
      <c r="F202" s="1096"/>
      <c r="G202" s="1096"/>
      <c r="H202" s="2531" t="s">
        <v>913</v>
      </c>
      <c r="I202" s="2532"/>
    </row>
    <row r="203" spans="1:10" ht="42" customHeight="1" x14ac:dyDescent="0.2">
      <c r="A203" s="1096"/>
      <c r="B203" s="1096"/>
      <c r="C203" s="1096"/>
      <c r="D203" s="1096"/>
      <c r="E203" s="1096"/>
      <c r="F203" s="1096"/>
      <c r="G203" s="1096"/>
      <c r="H203" s="2531" t="s">
        <v>1777</v>
      </c>
      <c r="I203" s="2532"/>
    </row>
    <row r="204" spans="1:10" ht="27" customHeight="1" x14ac:dyDescent="0.2">
      <c r="A204" s="1096"/>
      <c r="B204" s="1096"/>
      <c r="C204" s="1096"/>
      <c r="D204" s="1096"/>
      <c r="E204" s="1096"/>
      <c r="F204" s="1096"/>
      <c r="G204" s="1096"/>
      <c r="H204" s="2531" t="s">
        <v>914</v>
      </c>
      <c r="I204" s="2532"/>
    </row>
    <row r="205" spans="1:10" ht="42" customHeight="1" x14ac:dyDescent="0.2">
      <c r="A205" s="1096"/>
      <c r="B205" s="1096"/>
      <c r="C205" s="1096"/>
      <c r="D205" s="1096"/>
      <c r="E205" s="1096"/>
      <c r="F205" s="1096"/>
      <c r="G205" s="1096"/>
      <c r="H205" s="2705" t="s">
        <v>718</v>
      </c>
      <c r="I205" s="2706"/>
    </row>
    <row r="206" spans="1:10" ht="27" customHeight="1" x14ac:dyDescent="0.2">
      <c r="A206" s="1096"/>
      <c r="B206" s="1096"/>
      <c r="C206" s="1096"/>
      <c r="D206" s="1096"/>
      <c r="E206" s="1096"/>
      <c r="F206" s="1096"/>
      <c r="G206" s="1096"/>
      <c r="H206" s="2531" t="s">
        <v>915</v>
      </c>
      <c r="I206" s="2532"/>
    </row>
    <row r="207" spans="1:10" ht="27" customHeight="1" x14ac:dyDescent="0.2">
      <c r="A207" s="1096"/>
      <c r="B207" s="1096"/>
      <c r="C207" s="1096"/>
      <c r="D207" s="1096"/>
      <c r="E207" s="1096"/>
      <c r="F207" s="1096"/>
      <c r="G207" s="1096"/>
      <c r="H207" s="2537" t="s">
        <v>916</v>
      </c>
      <c r="I207" s="2538"/>
    </row>
    <row r="208" spans="1:10" ht="27" customHeight="1" x14ac:dyDescent="0.2">
      <c r="A208" s="1096"/>
      <c r="B208" s="1096"/>
      <c r="C208" s="1096"/>
      <c r="D208" s="1096"/>
      <c r="E208" s="1096"/>
      <c r="F208" s="1096"/>
      <c r="G208" s="1096"/>
      <c r="H208" s="2537" t="s">
        <v>917</v>
      </c>
      <c r="I208" s="2538"/>
    </row>
    <row r="209" spans="1:9" ht="27" customHeight="1" x14ac:dyDescent="0.2">
      <c r="A209" s="1096"/>
      <c r="B209" s="1096"/>
      <c r="C209" s="1096"/>
      <c r="D209" s="1096"/>
      <c r="E209" s="1096"/>
      <c r="F209" s="1096"/>
      <c r="G209" s="1096"/>
      <c r="H209" s="2531" t="s">
        <v>918</v>
      </c>
      <c r="I209" s="2532"/>
    </row>
    <row r="210" spans="1:9" ht="42" customHeight="1" x14ac:dyDescent="0.2">
      <c r="A210" s="1096"/>
      <c r="B210" s="1096"/>
      <c r="C210" s="1096"/>
      <c r="D210" s="1096"/>
      <c r="E210" s="1096"/>
      <c r="F210" s="1096"/>
      <c r="G210" s="1096"/>
      <c r="H210" s="2531" t="s">
        <v>1703</v>
      </c>
      <c r="I210" s="2532"/>
    </row>
    <row r="211" spans="1:9" ht="27" customHeight="1" x14ac:dyDescent="0.2">
      <c r="A211" s="1096"/>
      <c r="B211" s="1096"/>
      <c r="C211" s="1096"/>
      <c r="D211" s="1096"/>
      <c r="E211" s="1096"/>
      <c r="F211" s="1096"/>
      <c r="G211" s="1096"/>
      <c r="H211" s="2531" t="s">
        <v>795</v>
      </c>
      <c r="I211" s="2532"/>
    </row>
    <row r="212" spans="1:9" ht="42" customHeight="1" x14ac:dyDescent="0.2">
      <c r="A212" s="1096"/>
      <c r="B212" s="1096"/>
      <c r="C212" s="1096"/>
      <c r="D212" s="1096"/>
      <c r="E212" s="1096"/>
      <c r="F212" s="1096"/>
      <c r="G212" s="1096"/>
      <c r="H212" s="2531" t="s">
        <v>919</v>
      </c>
      <c r="I212" s="2532"/>
    </row>
    <row r="213" spans="1:9" ht="27" customHeight="1" x14ac:dyDescent="0.2">
      <c r="A213" s="1096"/>
      <c r="B213" s="1096"/>
      <c r="C213" s="1096"/>
      <c r="D213" s="1096"/>
      <c r="E213" s="1096"/>
      <c r="F213" s="1096"/>
      <c r="G213" s="1096"/>
      <c r="H213" s="2701" t="s">
        <v>1766</v>
      </c>
      <c r="I213" s="2702"/>
    </row>
    <row r="214" spans="1:9" ht="27" customHeight="1" x14ac:dyDescent="0.2">
      <c r="A214" s="1096"/>
      <c r="B214" s="1096"/>
      <c r="C214" s="1096"/>
      <c r="D214" s="1096"/>
      <c r="E214" s="1096"/>
      <c r="F214" s="1096"/>
      <c r="G214" s="1096"/>
      <c r="H214" s="2531" t="s">
        <v>920</v>
      </c>
      <c r="I214" s="2532"/>
    </row>
    <row r="215" spans="1:9" ht="27" customHeight="1" x14ac:dyDescent="0.2">
      <c r="A215" s="1096"/>
      <c r="B215" s="1096"/>
      <c r="C215" s="1096"/>
      <c r="D215" s="1096"/>
      <c r="E215" s="1096"/>
      <c r="F215" s="1096"/>
      <c r="G215" s="1096"/>
      <c r="H215" s="2701" t="s">
        <v>1767</v>
      </c>
      <c r="I215" s="2702"/>
    </row>
    <row r="216" spans="1:9" ht="42" customHeight="1" x14ac:dyDescent="0.2">
      <c r="A216" s="1096"/>
      <c r="B216" s="1096"/>
      <c r="C216" s="1096"/>
      <c r="D216" s="1096"/>
      <c r="E216" s="1096"/>
      <c r="F216" s="1096"/>
      <c r="G216" s="1096"/>
      <c r="H216" s="2701" t="s">
        <v>1385</v>
      </c>
      <c r="I216" s="2702"/>
    </row>
    <row r="217" spans="1:9" ht="42" customHeight="1" x14ac:dyDescent="0.2">
      <c r="A217" s="1096"/>
      <c r="B217" s="1096"/>
      <c r="C217" s="1096"/>
      <c r="D217" s="1096"/>
      <c r="E217" s="1096"/>
      <c r="F217" s="1096"/>
      <c r="G217" s="1096"/>
      <c r="H217" s="2701" t="s">
        <v>1799</v>
      </c>
      <c r="I217" s="2702"/>
    </row>
    <row r="218" spans="1:9" ht="27" customHeight="1" x14ac:dyDescent="0.2">
      <c r="A218" s="1096"/>
      <c r="B218" s="1096"/>
      <c r="C218" s="1096"/>
      <c r="D218" s="1096"/>
      <c r="E218" s="1096"/>
      <c r="F218" s="1096"/>
      <c r="G218" s="1096"/>
      <c r="H218" s="2701" t="s">
        <v>1768</v>
      </c>
      <c r="I218" s="2702"/>
    </row>
    <row r="219" spans="1:9" ht="42" customHeight="1" x14ac:dyDescent="0.2">
      <c r="A219" s="1096"/>
      <c r="B219" s="1096"/>
      <c r="C219" s="1096"/>
      <c r="D219" s="1096"/>
      <c r="E219" s="1096"/>
      <c r="F219" s="1096"/>
      <c r="G219" s="1096"/>
      <c r="H219" s="2531" t="s">
        <v>921</v>
      </c>
      <c r="I219" s="2532"/>
    </row>
    <row r="220" spans="1:9" ht="27" customHeight="1" x14ac:dyDescent="0.2">
      <c r="A220" s="1096"/>
      <c r="B220" s="1096"/>
      <c r="C220" s="1096"/>
      <c r="D220" s="1096"/>
      <c r="E220" s="1096"/>
      <c r="F220" s="1096"/>
      <c r="G220" s="1096"/>
      <c r="H220" s="2531" t="s">
        <v>922</v>
      </c>
      <c r="I220" s="2532"/>
    </row>
    <row r="221" spans="1:9" ht="42" customHeight="1" x14ac:dyDescent="0.2">
      <c r="A221" s="1096"/>
      <c r="B221" s="1096"/>
      <c r="C221" s="1096"/>
      <c r="D221" s="1096"/>
      <c r="E221" s="1096"/>
      <c r="F221" s="1096"/>
      <c r="G221" s="1096"/>
      <c r="H221" s="2535" t="s">
        <v>1512</v>
      </c>
      <c r="I221" s="2536"/>
    </row>
    <row r="222" spans="1:9" ht="27" customHeight="1" x14ac:dyDescent="0.2">
      <c r="A222" s="1096"/>
      <c r="B222" s="1096"/>
      <c r="C222" s="1096"/>
      <c r="D222" s="1096"/>
      <c r="E222" s="1096"/>
      <c r="F222" s="1096"/>
      <c r="G222" s="1096"/>
      <c r="H222" s="2701" t="s">
        <v>1741</v>
      </c>
      <c r="I222" s="2702"/>
    </row>
    <row r="223" spans="1:9" ht="27" customHeight="1" x14ac:dyDescent="0.2">
      <c r="A223" s="1096"/>
      <c r="B223" s="1096"/>
      <c r="C223" s="1096"/>
      <c r="D223" s="1096"/>
      <c r="E223" s="1096"/>
      <c r="F223" s="1096"/>
      <c r="G223" s="1096"/>
      <c r="H223" s="2535" t="s">
        <v>1779</v>
      </c>
      <c r="I223" s="2536"/>
    </row>
    <row r="224" spans="1:9" ht="42" customHeight="1" x14ac:dyDescent="0.2">
      <c r="A224" s="1096"/>
      <c r="B224" s="1096"/>
      <c r="C224" s="1096"/>
      <c r="D224" s="1096"/>
      <c r="E224" s="1096"/>
      <c r="F224" s="1096"/>
      <c r="G224" s="1096"/>
      <c r="H224" s="2531" t="s">
        <v>923</v>
      </c>
      <c r="I224" s="2532"/>
    </row>
    <row r="225" spans="1:9" ht="27" customHeight="1" x14ac:dyDescent="0.2">
      <c r="A225" s="1096"/>
      <c r="B225" s="1096"/>
      <c r="C225" s="1096"/>
      <c r="D225" s="1096"/>
      <c r="E225" s="1096"/>
      <c r="F225" s="1096"/>
      <c r="G225" s="1096"/>
      <c r="H225" s="2535" t="s">
        <v>1386</v>
      </c>
      <c r="I225" s="2536"/>
    </row>
    <row r="226" spans="1:9" ht="42" customHeight="1" x14ac:dyDescent="0.2">
      <c r="A226" s="1096"/>
      <c r="B226" s="1096"/>
      <c r="C226" s="1096"/>
      <c r="D226" s="1096"/>
      <c r="E226" s="1096"/>
      <c r="F226" s="1096"/>
      <c r="G226" s="1096"/>
      <c r="H226" s="2535" t="s">
        <v>1784</v>
      </c>
      <c r="I226" s="2536"/>
    </row>
    <row r="227" spans="1:9" ht="27" customHeight="1" x14ac:dyDescent="0.2">
      <c r="A227" s="1096"/>
      <c r="B227" s="1096"/>
      <c r="C227" s="1096"/>
      <c r="D227" s="1096"/>
      <c r="E227" s="1096"/>
      <c r="F227" s="1096"/>
      <c r="G227" s="1096"/>
      <c r="H227" s="2535" t="s">
        <v>1786</v>
      </c>
      <c r="I227" s="2536"/>
    </row>
    <row r="228" spans="1:9" ht="42" customHeight="1" x14ac:dyDescent="0.2">
      <c r="A228" s="1096"/>
      <c r="B228" s="1096"/>
      <c r="C228" s="1096"/>
      <c r="D228" s="1096"/>
      <c r="E228" s="1096"/>
      <c r="F228" s="1096"/>
      <c r="G228" s="1096"/>
      <c r="H228" s="2531" t="s">
        <v>924</v>
      </c>
      <c r="I228" s="2532"/>
    </row>
    <row r="229" spans="1:9" ht="27" customHeight="1" x14ac:dyDescent="0.2">
      <c r="A229" s="1096"/>
      <c r="B229" s="1096"/>
      <c r="C229" s="1096"/>
      <c r="D229" s="1096"/>
      <c r="E229" s="1096"/>
      <c r="F229" s="1096"/>
      <c r="G229" s="1096"/>
      <c r="H229" s="2535" t="s">
        <v>1399</v>
      </c>
      <c r="I229" s="2536"/>
    </row>
    <row r="230" spans="1:9" ht="27" customHeight="1" x14ac:dyDescent="0.2">
      <c r="A230" s="1096"/>
      <c r="B230" s="1096"/>
      <c r="C230" s="1096"/>
      <c r="D230" s="1096"/>
      <c r="E230" s="1096"/>
      <c r="F230" s="1096"/>
      <c r="G230" s="1096"/>
      <c r="H230" s="2535" t="s">
        <v>1400</v>
      </c>
      <c r="I230" s="2536"/>
    </row>
    <row r="231" spans="1:9" ht="27" customHeight="1" x14ac:dyDescent="0.2">
      <c r="A231" s="1096"/>
      <c r="B231" s="1096"/>
      <c r="C231" s="1096"/>
      <c r="D231" s="1096"/>
      <c r="E231" s="1096"/>
      <c r="F231" s="1096"/>
      <c r="G231" s="1096"/>
      <c r="H231" s="2535" t="s">
        <v>1401</v>
      </c>
      <c r="I231" s="2536"/>
    </row>
    <row r="232" spans="1:9" ht="27" customHeight="1" x14ac:dyDescent="0.2">
      <c r="A232" s="1096"/>
      <c r="B232" s="1096"/>
      <c r="C232" s="1096"/>
      <c r="D232" s="1096"/>
      <c r="E232" s="1096"/>
      <c r="F232" s="1096"/>
      <c r="G232" s="1096"/>
      <c r="H232" s="2531" t="s">
        <v>1034</v>
      </c>
      <c r="I232" s="2532"/>
    </row>
    <row r="233" spans="1:9" ht="27" customHeight="1" x14ac:dyDescent="0.2">
      <c r="A233" s="1096"/>
      <c r="B233" s="1096"/>
      <c r="C233" s="1096"/>
      <c r="D233" s="1096"/>
      <c r="E233" s="1096"/>
      <c r="F233" s="1096"/>
      <c r="G233" s="1096"/>
      <c r="H233" s="2701" t="s">
        <v>1769</v>
      </c>
      <c r="I233" s="2702"/>
    </row>
    <row r="234" spans="1:9" ht="27" customHeight="1" x14ac:dyDescent="0.2">
      <c r="A234" s="1096"/>
      <c r="B234" s="1096"/>
      <c r="C234" s="1096"/>
      <c r="D234" s="1096"/>
      <c r="E234" s="1096"/>
      <c r="F234" s="1096"/>
      <c r="G234" s="1096"/>
      <c r="H234" s="2531" t="s">
        <v>925</v>
      </c>
      <c r="I234" s="2532"/>
    </row>
    <row r="235" spans="1:9" ht="27" customHeight="1" x14ac:dyDescent="0.2">
      <c r="A235" s="1096"/>
      <c r="B235" s="1096"/>
      <c r="C235" s="1096"/>
      <c r="D235" s="1096"/>
      <c r="E235" s="1096"/>
      <c r="F235" s="1096"/>
      <c r="G235" s="1096"/>
      <c r="H235" s="2531" t="s">
        <v>926</v>
      </c>
      <c r="I235" s="2532"/>
    </row>
    <row r="236" spans="1:9" ht="42" customHeight="1" x14ac:dyDescent="0.2">
      <c r="A236" s="1096"/>
      <c r="B236" s="1096"/>
      <c r="C236" s="1096"/>
      <c r="D236" s="1096"/>
      <c r="E236" s="1096"/>
      <c r="F236" s="1096"/>
      <c r="G236" s="1096"/>
      <c r="H236" s="2701" t="s">
        <v>1770</v>
      </c>
      <c r="I236" s="2702"/>
    </row>
    <row r="237" spans="1:9" ht="27" customHeight="1" x14ac:dyDescent="0.2">
      <c r="A237" s="1096"/>
      <c r="B237" s="1096"/>
      <c r="C237" s="1096"/>
      <c r="D237" s="1096"/>
      <c r="E237" s="1096"/>
      <c r="F237" s="1096"/>
      <c r="G237" s="1096"/>
      <c r="H237" s="2535" t="s">
        <v>1398</v>
      </c>
      <c r="I237" s="2536"/>
    </row>
    <row r="238" spans="1:9" ht="27" customHeight="1" x14ac:dyDescent="0.2">
      <c r="A238" s="1096"/>
      <c r="B238" s="1096"/>
      <c r="C238" s="1096"/>
      <c r="D238" s="1096"/>
      <c r="E238" s="1096"/>
      <c r="F238" s="1096"/>
      <c r="G238" s="1096"/>
      <c r="H238" s="2535" t="s">
        <v>1418</v>
      </c>
      <c r="I238" s="2536"/>
    </row>
    <row r="239" spans="1:9" ht="27" customHeight="1" x14ac:dyDescent="0.2">
      <c r="A239" s="1096"/>
      <c r="B239" s="1096"/>
      <c r="C239" s="1096"/>
      <c r="D239" s="1096"/>
      <c r="E239" s="1096"/>
      <c r="F239" s="1096"/>
      <c r="G239" s="1096"/>
      <c r="H239" s="2535" t="s">
        <v>1387</v>
      </c>
      <c r="I239" s="2536"/>
    </row>
    <row r="240" spans="1:9" ht="27" customHeight="1" x14ac:dyDescent="0.2">
      <c r="A240" s="1096"/>
      <c r="B240" s="1096"/>
      <c r="C240" s="1096"/>
      <c r="D240" s="1096"/>
      <c r="E240" s="1096"/>
      <c r="F240" s="1096"/>
      <c r="G240" s="1096"/>
      <c r="H240" s="2535" t="s">
        <v>1388</v>
      </c>
      <c r="I240" s="2536"/>
    </row>
    <row r="241" spans="1:9" ht="27" customHeight="1" x14ac:dyDescent="0.2">
      <c r="A241" s="1096"/>
      <c r="B241" s="1096"/>
      <c r="C241" s="1096"/>
      <c r="D241" s="1096"/>
      <c r="E241" s="1096"/>
      <c r="F241" s="1096"/>
      <c r="G241" s="1096"/>
      <c r="H241" s="2537" t="s">
        <v>927</v>
      </c>
      <c r="I241" s="2538"/>
    </row>
    <row r="242" spans="1:9" ht="27" customHeight="1" x14ac:dyDescent="0.2">
      <c r="A242" s="1096"/>
      <c r="B242" s="1096"/>
      <c r="C242" s="1096"/>
      <c r="D242" s="1096"/>
      <c r="E242" s="1096"/>
      <c r="F242" s="1096"/>
      <c r="G242" s="1096"/>
      <c r="H242" s="2531" t="s">
        <v>1219</v>
      </c>
      <c r="I242" s="2532"/>
    </row>
    <row r="243" spans="1:9" ht="27" customHeight="1" x14ac:dyDescent="0.2">
      <c r="A243" s="1096"/>
      <c r="B243" s="1096"/>
      <c r="C243" s="1096"/>
      <c r="D243" s="1096"/>
      <c r="E243" s="1096"/>
      <c r="F243" s="1096"/>
      <c r="G243" s="1096"/>
      <c r="H243" s="2537" t="s">
        <v>928</v>
      </c>
      <c r="I243" s="2538"/>
    </row>
    <row r="244" spans="1:9" ht="42" customHeight="1" x14ac:dyDescent="0.2">
      <c r="A244" s="1096"/>
      <c r="B244" s="1096"/>
      <c r="C244" s="1096"/>
      <c r="D244" s="1096"/>
      <c r="E244" s="1096"/>
      <c r="F244" s="1096"/>
      <c r="G244" s="1096"/>
      <c r="H244" s="2537" t="s">
        <v>884</v>
      </c>
      <c r="I244" s="2538"/>
    </row>
    <row r="245" spans="1:9" ht="27" customHeight="1" x14ac:dyDescent="0.2">
      <c r="A245" s="1096"/>
      <c r="B245" s="1096"/>
      <c r="C245" s="1096"/>
      <c r="D245" s="1096"/>
      <c r="E245" s="1096"/>
      <c r="F245" s="1096"/>
      <c r="G245" s="1096"/>
      <c r="H245" s="2531" t="s">
        <v>1771</v>
      </c>
      <c r="I245" s="2532"/>
    </row>
    <row r="246" spans="1:9" ht="27" customHeight="1" x14ac:dyDescent="0.2">
      <c r="A246" s="1096"/>
      <c r="B246" s="1096"/>
      <c r="C246" s="1096"/>
      <c r="D246" s="1096"/>
      <c r="E246" s="1096"/>
      <c r="F246" s="1096"/>
      <c r="G246" s="1096"/>
      <c r="H246" s="2537" t="s">
        <v>929</v>
      </c>
      <c r="I246" s="2538"/>
    </row>
    <row r="247" spans="1:9" ht="27" customHeight="1" x14ac:dyDescent="0.2">
      <c r="A247" s="1096"/>
      <c r="B247" s="1096"/>
      <c r="C247" s="1096"/>
      <c r="D247" s="1096"/>
      <c r="E247" s="1096"/>
      <c r="F247" s="1096"/>
      <c r="G247" s="1096"/>
      <c r="H247" s="2535" t="s">
        <v>1402</v>
      </c>
      <c r="I247" s="2536"/>
    </row>
    <row r="248" spans="1:9" ht="42" customHeight="1" x14ac:dyDescent="0.2">
      <c r="A248" s="1096"/>
      <c r="B248" s="1096"/>
      <c r="C248" s="1096"/>
      <c r="D248" s="1096"/>
      <c r="E248" s="1096"/>
      <c r="F248" s="1096"/>
      <c r="G248" s="1096"/>
      <c r="H248" s="2535" t="s">
        <v>1393</v>
      </c>
      <c r="I248" s="2536"/>
    </row>
    <row r="249" spans="1:9" ht="27" customHeight="1" x14ac:dyDescent="0.2">
      <c r="A249" s="1096"/>
      <c r="B249" s="1096"/>
      <c r="C249" s="1096"/>
      <c r="D249" s="1096"/>
      <c r="E249" s="1096"/>
      <c r="F249" s="1096"/>
      <c r="G249" s="1096"/>
      <c r="H249" s="2531" t="s">
        <v>931</v>
      </c>
      <c r="I249" s="2532"/>
    </row>
    <row r="250" spans="1:9" ht="27" customHeight="1" x14ac:dyDescent="0.2">
      <c r="A250" s="1096"/>
      <c r="B250" s="1096"/>
      <c r="C250" s="1096"/>
      <c r="D250" s="1096"/>
      <c r="E250" s="1096"/>
      <c r="F250" s="1096"/>
      <c r="G250" s="1096"/>
      <c r="H250" s="2701" t="s">
        <v>1772</v>
      </c>
      <c r="I250" s="2702"/>
    </row>
    <row r="251" spans="1:9" ht="27" customHeight="1" x14ac:dyDescent="0.2">
      <c r="A251" s="1096"/>
      <c r="B251" s="1096"/>
      <c r="C251" s="1096"/>
      <c r="D251" s="1096"/>
      <c r="E251" s="1096"/>
      <c r="F251" s="1096"/>
      <c r="G251" s="1096"/>
      <c r="H251" s="2537" t="s">
        <v>932</v>
      </c>
      <c r="I251" s="2538"/>
    </row>
    <row r="252" spans="1:9" ht="27" customHeight="1" x14ac:dyDescent="0.2">
      <c r="A252" s="1096"/>
      <c r="B252" s="1096"/>
      <c r="C252" s="1096"/>
      <c r="D252" s="1096"/>
      <c r="E252" s="1096"/>
      <c r="F252" s="1096"/>
      <c r="G252" s="1096"/>
      <c r="H252" s="2537" t="s">
        <v>933</v>
      </c>
      <c r="I252" s="2538"/>
    </row>
    <row r="253" spans="1:9" ht="27" customHeight="1" x14ac:dyDescent="0.2">
      <c r="A253" s="1096"/>
      <c r="B253" s="1096"/>
      <c r="C253" s="1096"/>
      <c r="D253" s="1096"/>
      <c r="E253" s="1096"/>
      <c r="F253" s="1096"/>
      <c r="G253" s="1096"/>
      <c r="H253" s="2531" t="s">
        <v>934</v>
      </c>
      <c r="I253" s="2532"/>
    </row>
    <row r="254" spans="1:9" ht="42" customHeight="1" x14ac:dyDescent="0.2">
      <c r="A254" s="1096"/>
      <c r="B254" s="1096"/>
      <c r="C254" s="1096"/>
      <c r="D254" s="1096"/>
      <c r="E254" s="1096"/>
      <c r="F254" s="1096"/>
      <c r="G254" s="1096"/>
      <c r="H254" s="2537" t="s">
        <v>935</v>
      </c>
      <c r="I254" s="2538"/>
    </row>
    <row r="255" spans="1:9" ht="27" customHeight="1" x14ac:dyDescent="0.2">
      <c r="A255" s="1096"/>
      <c r="B255" s="1096"/>
      <c r="C255" s="1096"/>
      <c r="D255" s="1096"/>
      <c r="E255" s="1096"/>
      <c r="F255" s="1096"/>
      <c r="G255" s="1096"/>
      <c r="H255" s="2531" t="s">
        <v>936</v>
      </c>
      <c r="I255" s="2532"/>
    </row>
    <row r="256" spans="1:9" ht="27" customHeight="1" x14ac:dyDescent="0.2">
      <c r="A256" s="1096"/>
      <c r="B256" s="1096"/>
      <c r="C256" s="1096"/>
      <c r="D256" s="1096"/>
      <c r="E256" s="1096"/>
      <c r="F256" s="1096"/>
      <c r="G256" s="1096"/>
      <c r="H256" s="2701" t="s">
        <v>1773</v>
      </c>
      <c r="I256" s="2702"/>
    </row>
    <row r="257" spans="8:9" ht="27" customHeight="1" x14ac:dyDescent="0.2">
      <c r="H257" s="2535" t="s">
        <v>1414</v>
      </c>
      <c r="I257" s="2536"/>
    </row>
    <row r="258" spans="8:9" ht="42" customHeight="1" x14ac:dyDescent="0.2">
      <c r="H258" s="2537" t="s">
        <v>901</v>
      </c>
      <c r="I258" s="2538"/>
    </row>
    <row r="259" spans="8:9" ht="27" customHeight="1" x14ac:dyDescent="0.2">
      <c r="H259" s="2531" t="s">
        <v>864</v>
      </c>
      <c r="I259" s="2532"/>
    </row>
    <row r="260" spans="8:9" ht="27" customHeight="1" x14ac:dyDescent="0.2">
      <c r="H260" s="2531" t="s">
        <v>787</v>
      </c>
      <c r="I260" s="2532"/>
    </row>
    <row r="261" spans="8:9" ht="27" customHeight="1" x14ac:dyDescent="0.2">
      <c r="H261" s="2531" t="s">
        <v>1774</v>
      </c>
      <c r="I261" s="2532"/>
    </row>
    <row r="262" spans="8:9" ht="42" customHeight="1" x14ac:dyDescent="0.2">
      <c r="H262" s="2701" t="s">
        <v>1775</v>
      </c>
      <c r="I262" s="2702"/>
    </row>
    <row r="263" spans="8:9" ht="27" customHeight="1" x14ac:dyDescent="0.2">
      <c r="H263" s="2531" t="s">
        <v>1131</v>
      </c>
      <c r="I263" s="2532"/>
    </row>
    <row r="264" spans="8:9" ht="27" customHeight="1" x14ac:dyDescent="0.2">
      <c r="H264" s="2531" t="s">
        <v>937</v>
      </c>
      <c r="I264" s="2532"/>
    </row>
    <row r="265" spans="8:9" ht="27" customHeight="1" thickBot="1" x14ac:dyDescent="0.25">
      <c r="H265" s="2843" t="s">
        <v>1776</v>
      </c>
      <c r="I265" s="2844"/>
    </row>
    <row r="266" spans="8:9" x14ac:dyDescent="0.2">
      <c r="H266" s="1068"/>
    </row>
    <row r="270" spans="8:9" x14ac:dyDescent="0.2">
      <c r="H270" s="1068"/>
    </row>
  </sheetData>
  <sheetProtection algorithmName="SHA-512" hashValue="hI4SqBdF6ZOtQiPgg6NDcwdVP7EM5ttaQMsNGIPFYKeevvycWHHNvhVFFZz9rJesirCPL0bQCQFDEDHfWilklQ==" saltValue="Kqzp8wnDUxBqYQeBsnfqKg==" spinCount="100000" sheet="1" formatCells="0" formatColumns="0" formatRows="0"/>
  <sortState xmlns:xlrd2="http://schemas.microsoft.com/office/spreadsheetml/2017/richdata2" ref="H216:H270">
    <sortCondition ref="H216:H270"/>
  </sortState>
  <customSheetViews>
    <customSheetView guid="{B8E02330-2419-4DE6-AD01-7ACC7A5D18DD}" scale="73">
      <pageMargins left="0.75" right="0.75" top="1" bottom="1" header="0.5" footer="0.5"/>
      <pageSetup orientation="portrait" r:id="rId1"/>
      <headerFooter alignWithMargins="0"/>
    </customSheetView>
  </customSheetViews>
  <mergeCells count="201">
    <mergeCell ref="I86:I90"/>
    <mergeCell ref="H258:I258"/>
    <mergeCell ref="H259:I259"/>
    <mergeCell ref="H260:I260"/>
    <mergeCell ref="H261:I261"/>
    <mergeCell ref="H262:I262"/>
    <mergeCell ref="H263:I263"/>
    <mergeCell ref="H264:I264"/>
    <mergeCell ref="H265:I265"/>
    <mergeCell ref="H201:I201"/>
    <mergeCell ref="H248:I248"/>
    <mergeCell ref="H249:I249"/>
    <mergeCell ref="H250:I250"/>
    <mergeCell ref="H251:I251"/>
    <mergeCell ref="H252:I252"/>
    <mergeCell ref="H253:I253"/>
    <mergeCell ref="H254:I254"/>
    <mergeCell ref="H255:I255"/>
    <mergeCell ref="H257:I257"/>
    <mergeCell ref="H256:I256"/>
    <mergeCell ref="H239:I239"/>
    <mergeCell ref="H240:I240"/>
    <mergeCell ref="H241:I241"/>
    <mergeCell ref="H242:I242"/>
    <mergeCell ref="H243:I243"/>
    <mergeCell ref="H244:I244"/>
    <mergeCell ref="H245:I245"/>
    <mergeCell ref="H246:I246"/>
    <mergeCell ref="H247:I247"/>
    <mergeCell ref="H230:I230"/>
    <mergeCell ref="H232:I232"/>
    <mergeCell ref="H231:I231"/>
    <mergeCell ref="H233:I233"/>
    <mergeCell ref="H234:I234"/>
    <mergeCell ref="H235:I235"/>
    <mergeCell ref="H236:I236"/>
    <mergeCell ref="H237:I237"/>
    <mergeCell ref="H238:I238"/>
    <mergeCell ref="H221:I221"/>
    <mergeCell ref="H222:I222"/>
    <mergeCell ref="H223:I223"/>
    <mergeCell ref="H224:I224"/>
    <mergeCell ref="H225:I225"/>
    <mergeCell ref="H226:I226"/>
    <mergeCell ref="H227:I227"/>
    <mergeCell ref="H228:I228"/>
    <mergeCell ref="H229:I229"/>
    <mergeCell ref="H212:I212"/>
    <mergeCell ref="H213:I213"/>
    <mergeCell ref="H214:I214"/>
    <mergeCell ref="H215:I215"/>
    <mergeCell ref="H216:I216"/>
    <mergeCell ref="H218:I218"/>
    <mergeCell ref="H217:I217"/>
    <mergeCell ref="H219:I219"/>
    <mergeCell ref="H220:I220"/>
    <mergeCell ref="H203:I203"/>
    <mergeCell ref="H204:I204"/>
    <mergeCell ref="H205:I205"/>
    <mergeCell ref="H206:I206"/>
    <mergeCell ref="H207:I207"/>
    <mergeCell ref="H208:I208"/>
    <mergeCell ref="H209:I209"/>
    <mergeCell ref="H210:I210"/>
    <mergeCell ref="H211:I211"/>
    <mergeCell ref="H200:I200"/>
    <mergeCell ref="H202:I202"/>
    <mergeCell ref="I143:I146"/>
    <mergeCell ref="I147:I150"/>
    <mergeCell ref="I151:I156"/>
    <mergeCell ref="I157:I159"/>
    <mergeCell ref="I160:I164"/>
    <mergeCell ref="I165:I171"/>
    <mergeCell ref="I172:I176"/>
    <mergeCell ref="H160:H164"/>
    <mergeCell ref="D189:H189"/>
    <mergeCell ref="H165:H171"/>
    <mergeCell ref="H172:H176"/>
    <mergeCell ref="C198:E198"/>
    <mergeCell ref="D192:F192"/>
    <mergeCell ref="D193:F193"/>
    <mergeCell ref="D194:F194"/>
    <mergeCell ref="D195:F195"/>
    <mergeCell ref="C197:E197"/>
    <mergeCell ref="D190:F190"/>
    <mergeCell ref="D191:F191"/>
    <mergeCell ref="I92:I96"/>
    <mergeCell ref="I97:I103"/>
    <mergeCell ref="I104:I109"/>
    <mergeCell ref="I110:I115"/>
    <mergeCell ref="I116:I121"/>
    <mergeCell ref="I122:I128"/>
    <mergeCell ref="I129:I132"/>
    <mergeCell ref="I134:I137"/>
    <mergeCell ref="I138:I142"/>
    <mergeCell ref="I60:I66"/>
    <mergeCell ref="I57:I59"/>
    <mergeCell ref="I67:I72"/>
    <mergeCell ref="I73:I76"/>
    <mergeCell ref="I77:I82"/>
    <mergeCell ref="I83:I85"/>
    <mergeCell ref="E1:I1"/>
    <mergeCell ref="I3:I9"/>
    <mergeCell ref="I10:I17"/>
    <mergeCell ref="I18:I25"/>
    <mergeCell ref="I26:I31"/>
    <mergeCell ref="I32:I37"/>
    <mergeCell ref="I38:I44"/>
    <mergeCell ref="I45:I52"/>
    <mergeCell ref="H18:H25"/>
    <mergeCell ref="H83:H85"/>
    <mergeCell ref="H73:H76"/>
    <mergeCell ref="H57:H59"/>
    <mergeCell ref="H10:H17"/>
    <mergeCell ref="H32:H37"/>
    <mergeCell ref="H45:H52"/>
    <mergeCell ref="A197:B198"/>
    <mergeCell ref="D196:H196"/>
    <mergeCell ref="H197:I197"/>
    <mergeCell ref="H198:I198"/>
    <mergeCell ref="H3:H9"/>
    <mergeCell ref="H147:H150"/>
    <mergeCell ref="H110:H115"/>
    <mergeCell ref="H129:H132"/>
    <mergeCell ref="B116:B121"/>
    <mergeCell ref="A122:A128"/>
    <mergeCell ref="A60:A66"/>
    <mergeCell ref="H104:H109"/>
    <mergeCell ref="H38:H44"/>
    <mergeCell ref="H86:H91"/>
    <mergeCell ref="H60:H66"/>
    <mergeCell ref="H67:H72"/>
    <mergeCell ref="A92:A96"/>
    <mergeCell ref="A83:A85"/>
    <mergeCell ref="B73:B76"/>
    <mergeCell ref="A67:A72"/>
    <mergeCell ref="A73:A76"/>
    <mergeCell ref="B3:B9"/>
    <mergeCell ref="H26:H31"/>
    <mergeCell ref="B57:B59"/>
    <mergeCell ref="A1:B1"/>
    <mergeCell ref="B104:B109"/>
    <mergeCell ref="B97:B103"/>
    <mergeCell ref="A97:A103"/>
    <mergeCell ref="A104:A109"/>
    <mergeCell ref="A32:A37"/>
    <mergeCell ref="A38:A44"/>
    <mergeCell ref="A10:A17"/>
    <mergeCell ref="A18:A25"/>
    <mergeCell ref="A3:A9"/>
    <mergeCell ref="B60:B66"/>
    <mergeCell ref="B86:B91"/>
    <mergeCell ref="A45:A52"/>
    <mergeCell ref="B10:B17"/>
    <mergeCell ref="B83:B85"/>
    <mergeCell ref="B38:B44"/>
    <mergeCell ref="B18:B25"/>
    <mergeCell ref="B92:B96"/>
    <mergeCell ref="B67:B72"/>
    <mergeCell ref="A77:A82"/>
    <mergeCell ref="A57:A59"/>
    <mergeCell ref="B77:B82"/>
    <mergeCell ref="B26:B31"/>
    <mergeCell ref="B45:B52"/>
    <mergeCell ref="H97:H103"/>
    <mergeCell ref="B122:B128"/>
    <mergeCell ref="H116:H121"/>
    <mergeCell ref="H122:H128"/>
    <mergeCell ref="H92:H96"/>
    <mergeCell ref="H77:H82"/>
    <mergeCell ref="A129:A132"/>
    <mergeCell ref="A26:A31"/>
    <mergeCell ref="B165:B171"/>
    <mergeCell ref="B32:B37"/>
    <mergeCell ref="A151:A156"/>
    <mergeCell ref="A143:A146"/>
    <mergeCell ref="A157:A159"/>
    <mergeCell ref="A147:A150"/>
    <mergeCell ref="B110:B115"/>
    <mergeCell ref="A110:A115"/>
    <mergeCell ref="A116:A121"/>
    <mergeCell ref="B129:B132"/>
    <mergeCell ref="A86:A91"/>
    <mergeCell ref="B172:B176"/>
    <mergeCell ref="B147:B150"/>
    <mergeCell ref="B160:B164"/>
    <mergeCell ref="A160:A164"/>
    <mergeCell ref="H134:H137"/>
    <mergeCell ref="H138:H142"/>
    <mergeCell ref="H151:H156"/>
    <mergeCell ref="H157:H159"/>
    <mergeCell ref="B151:B156"/>
    <mergeCell ref="B134:B137"/>
    <mergeCell ref="B138:B142"/>
    <mergeCell ref="A138:A142"/>
    <mergeCell ref="A134:A137"/>
    <mergeCell ref="B143:B146"/>
    <mergeCell ref="H143:H146"/>
    <mergeCell ref="B157:B159"/>
    <mergeCell ref="A165:A171"/>
    <mergeCell ref="A172:A176"/>
  </mergeCells>
  <phoneticPr fontId="3" type="noConversion"/>
  <pageMargins left="0.75" right="0.75" top="1" bottom="1" header="0.5" footer="0.5"/>
  <pageSetup orientation="portrait"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dimension ref="A1:I59"/>
  <sheetViews>
    <sheetView topLeftCell="A31" zoomScaleNormal="100" workbookViewId="0">
      <selection sqref="A1:B1"/>
    </sheetView>
  </sheetViews>
  <sheetFormatPr defaultColWidth="9.33203125" defaultRowHeight="12.75" x14ac:dyDescent="0.2"/>
  <cols>
    <col min="1" max="1" width="5.83203125" style="86" customWidth="1"/>
    <col min="2" max="2" width="18.83203125" style="1" customWidth="1"/>
    <col min="3" max="3" width="75.83203125" style="1" customWidth="1"/>
    <col min="4" max="6" width="7.83203125" style="625" customWidth="1"/>
    <col min="7" max="7" width="9.33203125" style="565" customWidth="1"/>
    <col min="8" max="8" width="64.83203125" style="1" customWidth="1"/>
    <col min="9" max="9" width="9.83203125" style="6" customWidth="1"/>
    <col min="10" max="10" width="10.33203125" style="1" bestFit="1" customWidth="1"/>
    <col min="11" max="16384" width="9.33203125" style="1"/>
  </cols>
  <sheetData>
    <row r="1" spans="1:9" s="2065" customFormat="1" ht="108.75" customHeight="1" thickBot="1" x14ac:dyDescent="0.25">
      <c r="A1" s="3034" t="s">
        <v>2329</v>
      </c>
      <c r="B1" s="3035"/>
      <c r="C1" s="2121" t="s">
        <v>1481</v>
      </c>
      <c r="D1" s="2132" t="s">
        <v>1087</v>
      </c>
      <c r="E1" s="3032"/>
      <c r="F1" s="3033"/>
      <c r="G1" s="3033"/>
      <c r="H1" s="3033"/>
      <c r="I1" s="3033"/>
    </row>
    <row r="2" spans="1:9" s="1404" customFormat="1" ht="36" customHeight="1" thickBot="1" x14ac:dyDescent="0.35">
      <c r="A2" s="1184" t="s">
        <v>88</v>
      </c>
      <c r="B2" s="1184" t="s">
        <v>959</v>
      </c>
      <c r="C2" s="1186" t="s">
        <v>1165</v>
      </c>
      <c r="D2" s="1185" t="s">
        <v>45</v>
      </c>
      <c r="E2" s="1318" t="s">
        <v>1189</v>
      </c>
      <c r="F2" s="1284" t="s">
        <v>1190</v>
      </c>
      <c r="G2" s="1319" t="s">
        <v>2555</v>
      </c>
      <c r="H2" s="1184" t="s">
        <v>1118</v>
      </c>
      <c r="I2" s="1184" t="s">
        <v>2424</v>
      </c>
    </row>
    <row r="3" spans="1:9" ht="21" customHeight="1" thickBot="1" x14ac:dyDescent="0.25">
      <c r="A3" s="2368" t="str">
        <f>OF!A50</f>
        <v>OF10</v>
      </c>
      <c r="B3" s="2326" t="str">
        <f>OF!B50</f>
        <v>Distance by Road to Nearest Population Center</v>
      </c>
      <c r="C3" s="368" t="str">
        <f>OF!C50</f>
        <v>Measured along the maintained road nearest the AA, the distance to the nearest population center is:</v>
      </c>
      <c r="D3" s="190"/>
      <c r="E3" s="190"/>
      <c r="F3" s="191"/>
      <c r="G3" s="455">
        <f>MAX(F4:F8)/MAX(E4:E8)</f>
        <v>0.6</v>
      </c>
      <c r="H3" s="2326" t="s">
        <v>1221</v>
      </c>
      <c r="I3" s="2326" t="s">
        <v>521</v>
      </c>
    </row>
    <row r="4" spans="1:9" ht="15" customHeight="1" x14ac:dyDescent="0.2">
      <c r="A4" s="2369"/>
      <c r="B4" s="2327"/>
      <c r="C4" s="369" t="str">
        <f>OF!C51</f>
        <v>&lt;100 m.</v>
      </c>
      <c r="D4" s="212">
        <f>OF!D51</f>
        <v>0</v>
      </c>
      <c r="E4" s="72">
        <v>5</v>
      </c>
      <c r="F4" s="72">
        <f t="shared" ref="F4:F21" si="0">D4*E4</f>
        <v>0</v>
      </c>
      <c r="G4" s="561"/>
      <c r="H4" s="2327"/>
      <c r="I4" s="2327"/>
    </row>
    <row r="5" spans="1:9" ht="15" customHeight="1" x14ac:dyDescent="0.2">
      <c r="A5" s="2369"/>
      <c r="B5" s="2327"/>
      <c r="C5" s="622" t="str">
        <f>OF!C52</f>
        <v>100 - 500 m.</v>
      </c>
      <c r="D5" s="70">
        <f>OF!D52</f>
        <v>1</v>
      </c>
      <c r="E5" s="72">
        <v>3</v>
      </c>
      <c r="F5" s="72">
        <f t="shared" si="0"/>
        <v>3</v>
      </c>
      <c r="G5" s="558"/>
      <c r="H5" s="2327"/>
      <c r="I5" s="2327"/>
    </row>
    <row r="6" spans="1:9" ht="15" customHeight="1" x14ac:dyDescent="0.2">
      <c r="A6" s="2369"/>
      <c r="B6" s="2327"/>
      <c r="C6" s="622" t="str">
        <f>OF!C53</f>
        <v>0.5- 1 km.</v>
      </c>
      <c r="D6" s="70">
        <f>OF!D53</f>
        <v>0</v>
      </c>
      <c r="E6" s="72">
        <v>2</v>
      </c>
      <c r="F6" s="72">
        <f t="shared" si="0"/>
        <v>0</v>
      </c>
      <c r="G6" s="558"/>
      <c r="H6" s="2327"/>
      <c r="I6" s="2327"/>
    </row>
    <row r="7" spans="1:9" ht="15" customHeight="1" x14ac:dyDescent="0.2">
      <c r="A7" s="2369"/>
      <c r="B7" s="2327"/>
      <c r="C7" s="622" t="str">
        <f>OF!C54</f>
        <v>1 - 5 km.</v>
      </c>
      <c r="D7" s="70">
        <f>OF!D54</f>
        <v>0</v>
      </c>
      <c r="E7" s="72">
        <v>1</v>
      </c>
      <c r="F7" s="72">
        <f t="shared" si="0"/>
        <v>0</v>
      </c>
      <c r="G7" s="558"/>
      <c r="H7" s="2327"/>
      <c r="I7" s="2327"/>
    </row>
    <row r="8" spans="1:9" ht="15" customHeight="1" thickBot="1" x14ac:dyDescent="0.25">
      <c r="A8" s="2370"/>
      <c r="B8" s="2328"/>
      <c r="C8" s="370" t="str">
        <f>OF!C55</f>
        <v>&gt;5 km.</v>
      </c>
      <c r="D8" s="152">
        <f>OF!D55</f>
        <v>0</v>
      </c>
      <c r="E8" s="192">
        <v>0</v>
      </c>
      <c r="F8" s="192">
        <f t="shared" si="0"/>
        <v>0</v>
      </c>
      <c r="G8" s="550"/>
      <c r="H8" s="2328"/>
      <c r="I8" s="2328"/>
    </row>
    <row r="9" spans="1:9" ht="21" customHeight="1" thickBot="1" x14ac:dyDescent="0.25">
      <c r="A9" s="2554" t="str">
        <f>OF!A56</f>
        <v>OF11</v>
      </c>
      <c r="B9" s="2327" t="str">
        <f>OF!B56</f>
        <v>Distance to Nearest Maintained Road</v>
      </c>
      <c r="C9" s="629" t="str">
        <f>OF!C56</f>
        <v>From the center of the AA, the distance to the nearest maintained public road (dirt or paved) is:</v>
      </c>
      <c r="D9" s="190"/>
      <c r="E9" s="75"/>
      <c r="F9" s="97"/>
      <c r="G9" s="470">
        <f>MAX(F10:F15)/MAX(E10:E15)</f>
        <v>0.125</v>
      </c>
      <c r="H9" s="2327" t="s">
        <v>985</v>
      </c>
      <c r="I9" s="2326" t="s">
        <v>986</v>
      </c>
    </row>
    <row r="10" spans="1:9" ht="15" customHeight="1" x14ac:dyDescent="0.2">
      <c r="A10" s="2554"/>
      <c r="B10" s="2327"/>
      <c r="C10" s="373" t="str">
        <f>OF!C57</f>
        <v>&lt;10 m.</v>
      </c>
      <c r="D10" s="212">
        <f>OF!D57</f>
        <v>0</v>
      </c>
      <c r="E10" s="72">
        <v>8</v>
      </c>
      <c r="F10" s="71">
        <f t="shared" si="0"/>
        <v>0</v>
      </c>
      <c r="G10" s="549"/>
      <c r="H10" s="2327"/>
      <c r="I10" s="2327"/>
    </row>
    <row r="11" spans="1:9" ht="15" customHeight="1" x14ac:dyDescent="0.2">
      <c r="A11" s="2554"/>
      <c r="B11" s="2327"/>
      <c r="C11" s="374" t="str">
        <f>OF!C58</f>
        <v>10 - 25 m.</v>
      </c>
      <c r="D11" s="70">
        <f>OF!D58</f>
        <v>0</v>
      </c>
      <c r="E11" s="72">
        <v>5</v>
      </c>
      <c r="F11" s="71">
        <f t="shared" si="0"/>
        <v>0</v>
      </c>
      <c r="G11" s="549"/>
      <c r="H11" s="2327"/>
      <c r="I11" s="2327"/>
    </row>
    <row r="12" spans="1:9" ht="15" customHeight="1" x14ac:dyDescent="0.2">
      <c r="A12" s="2554"/>
      <c r="B12" s="2327"/>
      <c r="C12" s="374" t="str">
        <f>OF!C59</f>
        <v>25 - 50 m.</v>
      </c>
      <c r="D12" s="70">
        <f>OF!D59</f>
        <v>0</v>
      </c>
      <c r="E12" s="72">
        <v>4</v>
      </c>
      <c r="F12" s="71">
        <f t="shared" si="0"/>
        <v>0</v>
      </c>
      <c r="G12" s="549"/>
      <c r="H12" s="2327"/>
      <c r="I12" s="2327"/>
    </row>
    <row r="13" spans="1:9" ht="15" customHeight="1" x14ac:dyDescent="0.2">
      <c r="A13" s="2554"/>
      <c r="B13" s="2327"/>
      <c r="C13" s="374" t="str">
        <f>OF!C60</f>
        <v>50 - 100 m.</v>
      </c>
      <c r="D13" s="70">
        <f>OF!D60</f>
        <v>0</v>
      </c>
      <c r="E13" s="72">
        <v>3</v>
      </c>
      <c r="F13" s="71">
        <f t="shared" si="0"/>
        <v>0</v>
      </c>
      <c r="G13" s="549"/>
      <c r="H13" s="2327"/>
      <c r="I13" s="2327"/>
    </row>
    <row r="14" spans="1:9" ht="15" customHeight="1" x14ac:dyDescent="0.2">
      <c r="A14" s="2554"/>
      <c r="B14" s="2327"/>
      <c r="C14" s="374" t="str">
        <f>OF!C61</f>
        <v>100 - 500 m.</v>
      </c>
      <c r="D14" s="70">
        <f>OF!D61</f>
        <v>0</v>
      </c>
      <c r="E14" s="72">
        <v>2</v>
      </c>
      <c r="F14" s="71">
        <f t="shared" si="0"/>
        <v>0</v>
      </c>
      <c r="G14" s="549"/>
      <c r="H14" s="2327"/>
      <c r="I14" s="2327"/>
    </row>
    <row r="15" spans="1:9" ht="15" customHeight="1" thickBot="1" x14ac:dyDescent="0.25">
      <c r="A15" s="2554"/>
      <c r="B15" s="2327"/>
      <c r="C15" s="574" t="str">
        <f>OF!C62</f>
        <v>&gt;500 m.</v>
      </c>
      <c r="D15" s="571">
        <f>OF!D62</f>
        <v>1</v>
      </c>
      <c r="E15" s="71">
        <v>1</v>
      </c>
      <c r="F15" s="71">
        <f t="shared" si="0"/>
        <v>1</v>
      </c>
      <c r="G15" s="558"/>
      <c r="H15" s="2327"/>
      <c r="I15" s="2328"/>
    </row>
    <row r="16" spans="1:9" ht="21" customHeight="1" thickBot="1" x14ac:dyDescent="0.25">
      <c r="A16" s="2587" t="str">
        <f>OF!A79</f>
        <v>OF15</v>
      </c>
      <c r="B16" s="2394" t="str">
        <f>OF!B79</f>
        <v>Tidal Proximity</v>
      </c>
      <c r="C16" s="368" t="str">
        <f>OF!C79</f>
        <v>The distance from the AA edge to the closest tidal water body (regardless of its salinity) is:</v>
      </c>
      <c r="D16" s="190"/>
      <c r="E16" s="190"/>
      <c r="F16" s="193"/>
      <c r="G16" s="455">
        <f>MAX(F17:F21)/MAX(E17:E21)</f>
        <v>1</v>
      </c>
      <c r="H16" s="2326" t="s">
        <v>1797</v>
      </c>
      <c r="I16" s="2326" t="s">
        <v>522</v>
      </c>
    </row>
    <row r="17" spans="1:9" ht="15" customHeight="1" x14ac:dyDescent="0.2">
      <c r="A17" s="2588"/>
      <c r="B17" s="2396"/>
      <c r="C17" s="369" t="str">
        <f>OF!C80</f>
        <v>&lt;100 m.</v>
      </c>
      <c r="D17" s="212">
        <f>OF!D80</f>
        <v>1</v>
      </c>
      <c r="E17" s="72">
        <v>6</v>
      </c>
      <c r="F17" s="72">
        <f t="shared" si="0"/>
        <v>6</v>
      </c>
      <c r="G17" s="548"/>
      <c r="H17" s="2327"/>
      <c r="I17" s="2327"/>
    </row>
    <row r="18" spans="1:9" ht="15" customHeight="1" x14ac:dyDescent="0.2">
      <c r="A18" s="2588"/>
      <c r="B18" s="2396"/>
      <c r="C18" s="622" t="str">
        <f>OF!C81</f>
        <v>100 m - 1 km.</v>
      </c>
      <c r="D18" s="70">
        <f>OF!D81</f>
        <v>0</v>
      </c>
      <c r="E18" s="72">
        <v>4</v>
      </c>
      <c r="F18" s="72">
        <f t="shared" si="0"/>
        <v>0</v>
      </c>
      <c r="G18" s="549"/>
      <c r="H18" s="2327"/>
      <c r="I18" s="2327"/>
    </row>
    <row r="19" spans="1:9" ht="15" customHeight="1" x14ac:dyDescent="0.2">
      <c r="A19" s="2588"/>
      <c r="B19" s="2396"/>
      <c r="C19" s="622" t="str">
        <f>OF!C82</f>
        <v>1 - 5 km.</v>
      </c>
      <c r="D19" s="70">
        <f>OF!D82</f>
        <v>0</v>
      </c>
      <c r="E19" s="72">
        <v>3</v>
      </c>
      <c r="F19" s="72">
        <f t="shared" si="0"/>
        <v>0</v>
      </c>
      <c r="G19" s="549"/>
      <c r="H19" s="2327"/>
      <c r="I19" s="2327"/>
    </row>
    <row r="20" spans="1:9" ht="15" customHeight="1" x14ac:dyDescent="0.2">
      <c r="A20" s="2588"/>
      <c r="B20" s="2396"/>
      <c r="C20" s="622" t="str">
        <f>OF!C84</f>
        <v>10-40 km.</v>
      </c>
      <c r="D20" s="70">
        <f>OF!D84</f>
        <v>0</v>
      </c>
      <c r="E20" s="72">
        <v>2</v>
      </c>
      <c r="F20" s="72">
        <f t="shared" si="0"/>
        <v>0</v>
      </c>
      <c r="G20" s="549"/>
      <c r="H20" s="2327"/>
      <c r="I20" s="2327"/>
    </row>
    <row r="21" spans="1:9" ht="15" customHeight="1" thickBot="1" x14ac:dyDescent="0.25">
      <c r="A21" s="2589"/>
      <c r="B21" s="2408"/>
      <c r="C21" s="370" t="str">
        <f>OF!C85</f>
        <v>&gt;40 km.</v>
      </c>
      <c r="D21" s="152">
        <f>OF!D85</f>
        <v>0</v>
      </c>
      <c r="E21" s="192">
        <v>0</v>
      </c>
      <c r="F21" s="192">
        <f t="shared" si="0"/>
        <v>0</v>
      </c>
      <c r="G21" s="550"/>
      <c r="H21" s="2328"/>
      <c r="I21" s="2328"/>
    </row>
    <row r="22" spans="1:9" ht="67.5" customHeight="1" thickBot="1" x14ac:dyDescent="0.25">
      <c r="A22" s="1445" t="str">
        <f>OF!A148</f>
        <v>OF33</v>
      </c>
      <c r="B22" s="103" t="str">
        <f>OF!B148</f>
        <v>Other Conservation Designation</v>
      </c>
      <c r="C22" s="859" t="str">
        <f>OF!C148</f>
        <v>With GeoNB, click on Candidate PNA Map Viewer to identify Provincially Significant Wetland, Environmentally Significant Area, Protected Natural Area -- but also include if the AA is all or part of an area designated by government, FIrst Nations, or the Nature Conservancy of Canada (NCC) for its exceptional ecological features or highly intact natural conditions.  Enter: yes= 1, no= 0.  If uncertain, consult NCC and agencies for more recent information.</v>
      </c>
      <c r="D22" s="1447">
        <f>OF!D148</f>
        <v>1</v>
      </c>
      <c r="E22" s="195"/>
      <c r="F22" s="196"/>
      <c r="G22" s="455">
        <f>IF((D22=""),"",D22)</f>
        <v>1</v>
      </c>
      <c r="H22" s="124" t="s">
        <v>2215</v>
      </c>
      <c r="I22" s="124" t="s">
        <v>2214</v>
      </c>
    </row>
    <row r="23" spans="1:9" ht="45" customHeight="1" thickBot="1" x14ac:dyDescent="0.25">
      <c r="A23" s="623" t="str">
        <f>OF!A149</f>
        <v>OF34</v>
      </c>
      <c r="B23" s="980" t="str">
        <f>OF!B149</f>
        <v>Conservation Investment</v>
      </c>
      <c r="C23" s="859" t="str">
        <f>OF!C149</f>
        <v>The AA is part of or contiguous to a wetland on which public or private organizational funds were spent to preserve, create, restore, or enhance the wetland (excluding mitigation wetlands). Ask the property owner. Enter: yes= 1, no= 0. If no information, change to blank (not 0).</v>
      </c>
      <c r="D23" s="1240">
        <f>IF((OF!D149=""),"",OF!D149)</f>
        <v>1</v>
      </c>
      <c r="E23" s="197"/>
      <c r="F23" s="198"/>
      <c r="G23" s="831">
        <f>IF((D23=""),"",D23)</f>
        <v>1</v>
      </c>
      <c r="H23" s="125" t="s">
        <v>481</v>
      </c>
      <c r="I23" s="1441" t="s">
        <v>524</v>
      </c>
    </row>
    <row r="24" spans="1:9" ht="30" customHeight="1" thickBot="1" x14ac:dyDescent="0.25">
      <c r="A24" s="417" t="str">
        <f>OF!A150</f>
        <v>OF35</v>
      </c>
      <c r="B24" s="103" t="str">
        <f>OF!B150</f>
        <v>Mitigation Investment</v>
      </c>
      <c r="C24" s="613" t="str">
        <f>OF!C150</f>
        <v>The AA is all or part of a mitigation site used explicitly to offset impacts elsewhere. Ask the property owner.  Enter: yes= 1, no= 0. If no information, change to blank.</v>
      </c>
      <c r="D24" s="194">
        <f>IF((OF!D150=""),"",OF!D150)</f>
        <v>0</v>
      </c>
      <c r="E24" s="195" t="s">
        <v>912</v>
      </c>
      <c r="F24" s="196"/>
      <c r="G24" s="455">
        <f>IF((D24=""),"",D24)</f>
        <v>0</v>
      </c>
      <c r="H24" s="103" t="s">
        <v>480</v>
      </c>
      <c r="I24" s="103" t="s">
        <v>523</v>
      </c>
    </row>
    <row r="25" spans="1:9" ht="63.75" customHeight="1" thickBot="1" x14ac:dyDescent="0.25">
      <c r="A25" s="627" t="str">
        <f>OF!A151</f>
        <v>OF36</v>
      </c>
      <c r="B25" s="981" t="str">
        <f>OF!B151</f>
        <v>Sustained Scientific Use</v>
      </c>
      <c r="C25" s="1970" t="str">
        <f>OF!C151</f>
        <v>Plants, animals, or water in the AA have been monitored for &gt;2 years, unrelated to any regulatory requirements, and data are available to the public. Or the AA is part of an area that has been designated by an agency or institution as a benchmark, reference, or status-trends monitoring area.  Ask the property owner.  Enter: yes= 1, no= 0. If no information, change to blank.</v>
      </c>
      <c r="D25" s="194">
        <f>IF((OF!D151=""),"",OF!D151)</f>
        <v>0</v>
      </c>
      <c r="E25" s="833"/>
      <c r="F25" s="834"/>
      <c r="G25" s="835">
        <f>IF((D25=""),"",D25)</f>
        <v>0</v>
      </c>
      <c r="H25" s="626" t="s">
        <v>479</v>
      </c>
      <c r="I25" s="103" t="s">
        <v>525</v>
      </c>
    </row>
    <row r="26" spans="1:9" ht="30" customHeight="1" thickBot="1" x14ac:dyDescent="0.25">
      <c r="A26" s="2368" t="str">
        <f>OF!A153</f>
        <v>OF38</v>
      </c>
      <c r="B26" s="2368" t="str">
        <f>OF!B153</f>
        <v xml:space="preserve">Ownership </v>
      </c>
      <c r="C26" s="103" t="str">
        <f>OF!C153</f>
        <v>Select the ONE ownership that covers the most of the AA. In Google Earth, open KMZ file called NB Crown lands.Use more recent information if available.</v>
      </c>
      <c r="D26" s="1877"/>
      <c r="E26" s="833"/>
      <c r="F26" s="191"/>
      <c r="G26" s="651">
        <f>MAX(F27:F30)/MAX(E27:E30)</f>
        <v>1</v>
      </c>
      <c r="H26" s="2394" t="s">
        <v>477</v>
      </c>
      <c r="I26" s="2326" t="s">
        <v>444</v>
      </c>
    </row>
    <row r="27" spans="1:9" ht="42" customHeight="1" x14ac:dyDescent="0.2">
      <c r="A27" s="2369"/>
      <c r="B27" s="2369"/>
      <c r="C27" s="1138" t="str">
        <f>OF!C154</f>
        <v>New timber harvest, roads, mineral extraction, and intensive summer recreation (e.g., off-road vehicles) are permanently prohibited. Includes many publicly-owned Protected Lands, and private lands under long-term (30+ year) legal agreements to maintain nearly-unaltered conditions.</v>
      </c>
      <c r="D27" s="567">
        <f>OF!D154</f>
        <v>1</v>
      </c>
      <c r="E27" s="72">
        <v>4</v>
      </c>
      <c r="F27" s="72">
        <f>D27*E27</f>
        <v>4</v>
      </c>
      <c r="G27" s="665"/>
      <c r="H27" s="2396"/>
      <c r="I27" s="2327"/>
    </row>
    <row r="28" spans="1:9" ht="27" customHeight="1" x14ac:dyDescent="0.2">
      <c r="A28" s="2369"/>
      <c r="B28" s="2369"/>
      <c r="C28" s="1555" t="str">
        <f>OF!C155</f>
        <v>Ownership is public (e.g., municipal, Crown Reservations/Notations) but some or all of the above activities are allowed.</v>
      </c>
      <c r="D28" s="70">
        <f>OF!D155</f>
        <v>0</v>
      </c>
      <c r="E28" s="72">
        <v>2</v>
      </c>
      <c r="F28" s="72">
        <f>D28*E28</f>
        <v>0</v>
      </c>
      <c r="G28" s="666"/>
      <c r="H28" s="2396"/>
      <c r="I28" s="2327"/>
    </row>
    <row r="29" spans="1:9" ht="27" customHeight="1" x14ac:dyDescent="0.2">
      <c r="A29" s="2369"/>
      <c r="B29" s="2369"/>
      <c r="C29" s="1555" t="str">
        <f>OF!C156</f>
        <v>Ownership is private but public access is allowed, and/or a shorter-term conservation easement (whether renewable or not) is in place.</v>
      </c>
      <c r="D29" s="70">
        <f>OF!D156</f>
        <v>0</v>
      </c>
      <c r="E29" s="72">
        <v>2</v>
      </c>
      <c r="F29" s="72">
        <f>D29*E29</f>
        <v>0</v>
      </c>
      <c r="G29" s="879"/>
      <c r="H29" s="2396"/>
      <c r="I29" s="2327"/>
    </row>
    <row r="30" spans="1:9" ht="27" customHeight="1" thickBot="1" x14ac:dyDescent="0.25">
      <c r="A30" s="2370"/>
      <c r="B30" s="2370"/>
      <c r="C30" s="1971" t="str">
        <f>OF!C157</f>
        <v>Ownership is private and owner does not allow access, or access permission unknown, and not a conservation easement.</v>
      </c>
      <c r="D30" s="152">
        <f>OF!D157</f>
        <v>0</v>
      </c>
      <c r="E30" s="192">
        <v>1</v>
      </c>
      <c r="F30" s="192">
        <f>D30*E30</f>
        <v>0</v>
      </c>
      <c r="G30" s="667"/>
      <c r="H30" s="2396"/>
      <c r="I30" s="2328"/>
    </row>
    <row r="31" spans="1:9" ht="30" customHeight="1" thickBot="1" x14ac:dyDescent="0.25">
      <c r="A31" s="280" t="str">
        <f>F!A120</f>
        <v>F23</v>
      </c>
      <c r="B31" s="199" t="str">
        <f>F!B120</f>
        <v>Lacustrine Wetland</v>
      </c>
      <c r="C31" s="635" t="str">
        <f>F!C120</f>
        <v>The vegetated part of the AA is within or adjacent to a body of non-tidal standing open water whose size exceeds 8 hectares during most of a normal year.</v>
      </c>
      <c r="D31" s="202">
        <f>F!D120</f>
        <v>0</v>
      </c>
      <c r="E31" s="195"/>
      <c r="F31" s="196"/>
      <c r="G31" s="455" t="str">
        <f>IF((D31=1),1,"")</f>
        <v/>
      </c>
      <c r="H31" s="1119" t="s">
        <v>1159</v>
      </c>
      <c r="I31" s="103" t="s">
        <v>1160</v>
      </c>
    </row>
    <row r="32" spans="1:9" ht="45" customHeight="1" thickBot="1" x14ac:dyDescent="0.25">
      <c r="A32" s="2368" t="str">
        <f>F!A274</f>
        <v>F58</v>
      </c>
      <c r="B32" s="2326" t="str">
        <f>F!B274</f>
        <v>Visibility</v>
      </c>
      <c r="C32" s="103" t="str">
        <f>F!C274</f>
        <v>The maximum percentage of the wetland that is visible from the best vantage point on public roads, public parking lots, public buildings, or public maintained trails that intersect, adjoin, or are within 100 m of the AA (select one) is:</v>
      </c>
      <c r="D32" s="833"/>
      <c r="E32" s="190"/>
      <c r="F32" s="191"/>
      <c r="G32" s="651">
        <f>MAX(F33:F35)/MAX(E33:E35)</f>
        <v>1</v>
      </c>
      <c r="H32" s="2396" t="s">
        <v>476</v>
      </c>
      <c r="I32" s="2326" t="s">
        <v>465</v>
      </c>
    </row>
    <row r="33" spans="1:9" ht="15" customHeight="1" x14ac:dyDescent="0.2">
      <c r="A33" s="2369"/>
      <c r="B33" s="2327"/>
      <c r="C33" s="369" t="str">
        <f>F!C275</f>
        <v>&lt;25%.</v>
      </c>
      <c r="D33" s="70">
        <f>F!D275</f>
        <v>0</v>
      </c>
      <c r="E33" s="668">
        <v>0</v>
      </c>
      <c r="F33" s="72">
        <f>D33*E33</f>
        <v>0</v>
      </c>
      <c r="G33" s="665"/>
      <c r="H33" s="2396"/>
      <c r="I33" s="2327"/>
    </row>
    <row r="34" spans="1:9" ht="15" customHeight="1" x14ac:dyDescent="0.2">
      <c r="A34" s="2369"/>
      <c r="B34" s="2327"/>
      <c r="C34" s="872" t="str">
        <f>F!C276</f>
        <v>25-50%.</v>
      </c>
      <c r="D34" s="70">
        <f>F!D276</f>
        <v>0</v>
      </c>
      <c r="E34" s="668">
        <v>1</v>
      </c>
      <c r="F34" s="72">
        <f>D34*E34</f>
        <v>0</v>
      </c>
      <c r="G34" s="666"/>
      <c r="H34" s="2396"/>
      <c r="I34" s="2327"/>
    </row>
    <row r="35" spans="1:9" ht="15" customHeight="1" thickBot="1" x14ac:dyDescent="0.25">
      <c r="A35" s="2370"/>
      <c r="B35" s="2328"/>
      <c r="C35" s="370" t="str">
        <f>F!C277</f>
        <v>&gt;50%.</v>
      </c>
      <c r="D35" s="152">
        <f>F!D277</f>
        <v>1</v>
      </c>
      <c r="E35" s="878">
        <v>2</v>
      </c>
      <c r="F35" s="192">
        <f>D35*E35</f>
        <v>2</v>
      </c>
      <c r="G35" s="667"/>
      <c r="H35" s="2396"/>
      <c r="I35" s="2328"/>
    </row>
    <row r="36" spans="1:9" ht="30" customHeight="1" thickBot="1" x14ac:dyDescent="0.25">
      <c r="A36" s="3036" t="str">
        <f>F!A278</f>
        <v>F59</v>
      </c>
      <c r="B36" s="2496" t="str">
        <f>F!B278</f>
        <v xml:space="preserve">Non-consumptive Uses - Actual or Potential </v>
      </c>
      <c r="C36" s="103" t="str">
        <f>F!C278</f>
        <v>Assuming access permission was granted, select ALL statements that are true of the AA as it currently exists:</v>
      </c>
      <c r="D36" s="197"/>
      <c r="E36" s="75"/>
      <c r="F36" s="97"/>
      <c r="G36" s="470">
        <f>SUM(D37:D39)/3</f>
        <v>0.66666666666666663</v>
      </c>
      <c r="H36" s="2326" t="s">
        <v>998</v>
      </c>
      <c r="I36" s="2326" t="s">
        <v>520</v>
      </c>
    </row>
    <row r="37" spans="1:9" ht="27" customHeight="1" x14ac:dyDescent="0.2">
      <c r="A37" s="2645"/>
      <c r="B37" s="2492"/>
      <c r="C37" s="369" t="str">
        <f>F!C279</f>
        <v>For an average person, walking is physically possible in (not just near) &gt;5% of the AA during most of the growing season, e.g., free of deep water and dense shrub thickets.</v>
      </c>
      <c r="D37" s="474">
        <f>F!D279</f>
        <v>1</v>
      </c>
      <c r="E37" s="72">
        <v>1</v>
      </c>
      <c r="F37" s="72"/>
      <c r="G37" s="548"/>
      <c r="H37" s="2327"/>
      <c r="I37" s="2327"/>
    </row>
    <row r="38" spans="1:9" ht="27" customHeight="1" x14ac:dyDescent="0.2">
      <c r="A38" s="2645"/>
      <c r="B38" s="2492"/>
      <c r="C38" s="872" t="str">
        <f>F!C280</f>
        <v>Maintained roads, parking areas, or foot-trails are within 10 m of the AA, or the AA can be accessed part of the year by boats arriving via contiguous waters.</v>
      </c>
      <c r="D38" s="474">
        <f>F!D280</f>
        <v>1</v>
      </c>
      <c r="E38" s="72">
        <v>1</v>
      </c>
      <c r="F38" s="72"/>
      <c r="G38" s="549"/>
      <c r="H38" s="2327"/>
      <c r="I38" s="2327"/>
    </row>
    <row r="39" spans="1:9" ht="27" customHeight="1" thickBot="1" x14ac:dyDescent="0.25">
      <c r="A39" s="2646"/>
      <c r="B39" s="2494"/>
      <c r="C39" s="370" t="str">
        <f>F!C281</f>
        <v xml:space="preserve">Within or near the AA, there is an interpretive center, trails with interpretive signs or brochures, and/or regular guided interpretive tours. </v>
      </c>
      <c r="D39" s="152">
        <f>F!D281</f>
        <v>0</v>
      </c>
      <c r="E39" s="192">
        <v>1</v>
      </c>
      <c r="F39" s="192"/>
      <c r="G39" s="550"/>
      <c r="H39" s="2328"/>
      <c r="I39" s="2328"/>
    </row>
    <row r="40" spans="1:9" ht="66.75" customHeight="1" thickBot="1" x14ac:dyDescent="0.25">
      <c r="A40" s="2368" t="str">
        <f>F!A282</f>
        <v>F60</v>
      </c>
      <c r="B40" s="2326" t="str">
        <f>F!B282</f>
        <v xml:space="preserve">Unvisited Core Area </v>
      </c>
      <c r="C40" s="103"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40" s="1320"/>
      <c r="E40" s="190"/>
      <c r="F40" s="191"/>
      <c r="G40" s="455">
        <f>MAX(F41:F46)/MAX(E41:E46)</f>
        <v>0</v>
      </c>
      <c r="H40" s="2326" t="s">
        <v>478</v>
      </c>
      <c r="I40" s="2326" t="s">
        <v>574</v>
      </c>
    </row>
    <row r="41" spans="1:9" ht="15" customHeight="1" x14ac:dyDescent="0.2">
      <c r="A41" s="2369"/>
      <c r="B41" s="2327"/>
      <c r="C41" s="369" t="str">
        <f>F!C283</f>
        <v>&lt;5% and no inhabited building is within 100 m of the AA.</v>
      </c>
      <c r="D41" s="474">
        <f>F!D283</f>
        <v>0</v>
      </c>
      <c r="E41" s="72">
        <v>4</v>
      </c>
      <c r="F41" s="72">
        <f t="shared" ref="F41:F46" si="1">D41*E41</f>
        <v>0</v>
      </c>
      <c r="G41" s="548"/>
      <c r="H41" s="2327"/>
      <c r="I41" s="2327"/>
    </row>
    <row r="42" spans="1:9" ht="15" customHeight="1" x14ac:dyDescent="0.2">
      <c r="A42" s="2369"/>
      <c r="B42" s="2327"/>
      <c r="C42" s="872" t="str">
        <f>F!C284</f>
        <v>&lt;5% and inhabited building is within 100 m of the AA.</v>
      </c>
      <c r="D42" s="474">
        <f>F!D284</f>
        <v>0</v>
      </c>
      <c r="E42" s="72">
        <v>5</v>
      </c>
      <c r="F42" s="72">
        <f t="shared" si="1"/>
        <v>0</v>
      </c>
      <c r="G42" s="549"/>
      <c r="H42" s="2327"/>
      <c r="I42" s="2327"/>
    </row>
    <row r="43" spans="1:9" ht="15" customHeight="1" x14ac:dyDescent="0.2">
      <c r="A43" s="2369"/>
      <c r="B43" s="2327"/>
      <c r="C43" s="872" t="str">
        <f>F!C285</f>
        <v>5-50% and no inhabited building is within 100 m of the AA.</v>
      </c>
      <c r="D43" s="474">
        <f>F!D285</f>
        <v>0</v>
      </c>
      <c r="E43" s="72">
        <v>2</v>
      </c>
      <c r="F43" s="72">
        <f t="shared" si="1"/>
        <v>0</v>
      </c>
      <c r="G43" s="549"/>
      <c r="H43" s="2327"/>
      <c r="I43" s="2327"/>
    </row>
    <row r="44" spans="1:9" ht="15" customHeight="1" x14ac:dyDescent="0.2">
      <c r="A44" s="2369"/>
      <c r="B44" s="2327"/>
      <c r="C44" s="872" t="str">
        <f>F!C286</f>
        <v>5-50% and inhabited building is within 100 m of the AA.</v>
      </c>
      <c r="D44" s="474">
        <f>F!D286</f>
        <v>0</v>
      </c>
      <c r="E44" s="72">
        <v>3</v>
      </c>
      <c r="F44" s="72">
        <f t="shared" si="1"/>
        <v>0</v>
      </c>
      <c r="G44" s="549"/>
      <c r="H44" s="2327"/>
      <c r="I44" s="2327"/>
    </row>
    <row r="45" spans="1:9" ht="15" customHeight="1" x14ac:dyDescent="0.2">
      <c r="A45" s="2369"/>
      <c r="B45" s="2327"/>
      <c r="C45" s="872" t="str">
        <f>F!C287</f>
        <v>50-95%, with or without inhabited building nearby.</v>
      </c>
      <c r="D45" s="474">
        <f>F!D287</f>
        <v>0</v>
      </c>
      <c r="E45" s="72">
        <v>1</v>
      </c>
      <c r="F45" s="72">
        <f t="shared" si="1"/>
        <v>0</v>
      </c>
      <c r="G45" s="549"/>
      <c r="H45" s="2327"/>
      <c r="I45" s="2327"/>
    </row>
    <row r="46" spans="1:9" ht="15" customHeight="1" thickBot="1" x14ac:dyDescent="0.25">
      <c r="A46" s="2370"/>
      <c r="B46" s="2328"/>
      <c r="C46" s="370" t="str">
        <f>F!C288</f>
        <v>&gt;95% of the AA with or without inhabited building nearby.</v>
      </c>
      <c r="D46" s="152">
        <f>F!D288</f>
        <v>1</v>
      </c>
      <c r="E46" s="192">
        <v>0</v>
      </c>
      <c r="F46" s="192">
        <f t="shared" si="1"/>
        <v>0</v>
      </c>
      <c r="G46" s="550"/>
      <c r="H46" s="2328"/>
      <c r="I46" s="2328"/>
    </row>
    <row r="47" spans="1:9" ht="30" customHeight="1" thickBot="1" x14ac:dyDescent="0.25">
      <c r="A47" s="2368" t="str">
        <f>F!A289</f>
        <v>F61</v>
      </c>
      <c r="B47" s="2326" t="str">
        <f>F!B289</f>
        <v>Frequently Visited Area</v>
      </c>
      <c r="C47" s="103" t="str">
        <f>F!C289</f>
        <v>The part of the AA visited by humans almost daily for several weeks during an average growing season probably comprises:  [See note above.]</v>
      </c>
      <c r="D47" s="1320"/>
      <c r="E47" s="190"/>
      <c r="F47" s="191"/>
      <c r="G47" s="455">
        <f>MAX(F48:F51)/MAX(E48:E51)</f>
        <v>0</v>
      </c>
      <c r="H47" s="2326" t="s">
        <v>87</v>
      </c>
      <c r="I47" s="2326" t="s">
        <v>575</v>
      </c>
    </row>
    <row r="48" spans="1:9" ht="15" customHeight="1" x14ac:dyDescent="0.2">
      <c r="A48" s="2369"/>
      <c r="B48" s="2327"/>
      <c r="C48" s="369" t="str">
        <f>F!C290</f>
        <v>&lt;5%. If F60 was answered "&gt;95%" (mostly never visited), SKIP to F64.</v>
      </c>
      <c r="D48" s="70">
        <f>F!D290</f>
        <v>1</v>
      </c>
      <c r="E48" s="72">
        <v>0</v>
      </c>
      <c r="F48" s="72">
        <f>D48*E48</f>
        <v>0</v>
      </c>
      <c r="G48" s="548"/>
      <c r="H48" s="2327"/>
      <c r="I48" s="2327"/>
    </row>
    <row r="49" spans="1:9" ht="15" customHeight="1" x14ac:dyDescent="0.2">
      <c r="A49" s="2369"/>
      <c r="B49" s="2327"/>
      <c r="C49" s="872" t="str">
        <f>F!C291</f>
        <v>5-50%.</v>
      </c>
      <c r="D49" s="70">
        <f>F!D291</f>
        <v>0</v>
      </c>
      <c r="E49" s="72">
        <v>1</v>
      </c>
      <c r="F49" s="72">
        <f>D49*E49</f>
        <v>0</v>
      </c>
      <c r="G49" s="549"/>
      <c r="H49" s="2327"/>
      <c r="I49" s="2327"/>
    </row>
    <row r="50" spans="1:9" ht="15" customHeight="1" x14ac:dyDescent="0.2">
      <c r="A50" s="2369"/>
      <c r="B50" s="2327"/>
      <c r="C50" s="872" t="str">
        <f>F!C292</f>
        <v>50-95%.</v>
      </c>
      <c r="D50" s="571">
        <f>F!D292</f>
        <v>0</v>
      </c>
      <c r="E50" s="72">
        <v>2</v>
      </c>
      <c r="F50" s="72">
        <f>D50*E50</f>
        <v>0</v>
      </c>
      <c r="G50" s="549"/>
      <c r="H50" s="2327"/>
      <c r="I50" s="2327"/>
    </row>
    <row r="51" spans="1:9" ht="15" customHeight="1" thickBot="1" x14ac:dyDescent="0.25">
      <c r="A51" s="2370"/>
      <c r="B51" s="2328"/>
      <c r="C51" s="370" t="str">
        <f>F!C293</f>
        <v>&gt;95% of the AA.</v>
      </c>
      <c r="D51" s="152">
        <f>F!D293</f>
        <v>0</v>
      </c>
      <c r="E51" s="192">
        <v>3</v>
      </c>
      <c r="F51" s="192">
        <f>D51*E51</f>
        <v>0</v>
      </c>
      <c r="G51" s="550"/>
      <c r="H51" s="2328"/>
      <c r="I51" s="2328"/>
    </row>
    <row r="52" spans="1:9" ht="30" customHeight="1" thickBot="1" x14ac:dyDescent="0.25">
      <c r="A52" s="982" t="str">
        <f>F!A294</f>
        <v>F62</v>
      </c>
      <c r="B52" s="980" t="str">
        <f>F!B294</f>
        <v>BMP - Soils</v>
      </c>
      <c r="C52" s="418" t="str">
        <f>F!C294</f>
        <v>Boardwalks, paved trails, fences or other infrastructure and/or well-enforced regulations appear to effectively prevent visitors from walking on soil within nearly all of the AA when the soil is unfrozen. Enter "1" if true.</v>
      </c>
      <c r="D52" s="572">
        <f>F!D294</f>
        <v>0</v>
      </c>
      <c r="E52" s="197"/>
      <c r="F52" s="197"/>
      <c r="G52" s="831" t="str">
        <f>IF((D46+D48&gt;1),"",D52)</f>
        <v/>
      </c>
      <c r="H52" s="129" t="s">
        <v>1109</v>
      </c>
      <c r="I52" s="1321" t="s">
        <v>1039</v>
      </c>
    </row>
    <row r="53" spans="1:9" ht="60" customHeight="1" thickBot="1" x14ac:dyDescent="0.25">
      <c r="A53" s="613" t="str">
        <f>F!A295</f>
        <v>F63</v>
      </c>
      <c r="B53" s="103" t="str">
        <f>F!B295</f>
        <v>BMP - Wildlife Protection</v>
      </c>
      <c r="C53" s="859" t="str">
        <f>F!C295</f>
        <v xml:space="preserve">Fences, observation blinds, platforms, paved trails, exclusion periods, and/or well-enforced prohibitions on motorised boats, off-leash pets, and off road vehicles appear to effectively exclude or divert visitors and their pets from the AA at critical times in order to minimize disturbance of wildlife (except during hunting seasons). Enter "1" if true. </v>
      </c>
      <c r="D53" s="904">
        <f>F!D295</f>
        <v>0</v>
      </c>
      <c r="E53" s="195"/>
      <c r="F53" s="195"/>
      <c r="G53" s="455" t="str">
        <f>IF((D46+D48&gt;1),"",D53)</f>
        <v/>
      </c>
      <c r="H53" s="4" t="s">
        <v>87</v>
      </c>
      <c r="I53" s="103" t="s">
        <v>1040</v>
      </c>
    </row>
    <row r="54" spans="1:9" ht="21" customHeight="1" thickBot="1" x14ac:dyDescent="0.25">
      <c r="A54" s="3039"/>
      <c r="B54" s="3039"/>
      <c r="C54" s="3039"/>
      <c r="D54" s="3039"/>
      <c r="E54" s="3039"/>
      <c r="F54" s="3039"/>
      <c r="G54" s="3039"/>
      <c r="H54" s="3039"/>
    </row>
    <row r="55" spans="1:9" ht="30" customHeight="1" x14ac:dyDescent="0.2">
      <c r="A55" s="3037"/>
      <c r="B55" s="3037"/>
      <c r="C55" s="3037"/>
      <c r="D55" s="2711" t="s">
        <v>1143</v>
      </c>
      <c r="E55" s="2712"/>
      <c r="F55" s="2712"/>
      <c r="G55" s="1269">
        <f>AVERAGE(Ownership,Visibility,DistRdPU, Core1PU,Core2PU,PopCtrDisPU,TidalProxPU)</f>
        <v>0.53214285714285714</v>
      </c>
      <c r="H55" s="1422" t="s">
        <v>2050</v>
      </c>
      <c r="I55" s="1423" t="s">
        <v>2171</v>
      </c>
    </row>
    <row r="56" spans="1:9" ht="21" customHeight="1" x14ac:dyDescent="0.2">
      <c r="A56" s="3037"/>
      <c r="B56" s="3037"/>
      <c r="C56" s="3037"/>
      <c r="D56" s="2716" t="s">
        <v>526</v>
      </c>
      <c r="E56" s="2717"/>
      <c r="F56" s="2717"/>
      <c r="G56" s="1270">
        <f>IFERROR(MAX(MitigaSite,ConsInvest,ConsDesig1,SciUse),"")</f>
        <v>1</v>
      </c>
      <c r="H56" s="1444" t="s">
        <v>2216</v>
      </c>
      <c r="I56" s="1424" t="s">
        <v>2172</v>
      </c>
    </row>
    <row r="57" spans="1:9" ht="21" customHeight="1" thickBot="1" x14ac:dyDescent="0.25">
      <c r="A57" s="3037"/>
      <c r="B57" s="3037"/>
      <c r="C57" s="3037"/>
      <c r="D57" s="2718" t="s">
        <v>1144</v>
      </c>
      <c r="E57" s="2719"/>
      <c r="F57" s="2719"/>
      <c r="G57" s="1271">
        <f>AVERAGE(RecreaPoten, BMPsoilsPU,BMPwildPU,LakePU)</f>
        <v>0.66666666666666663</v>
      </c>
      <c r="H57" s="1425" t="s">
        <v>1163</v>
      </c>
      <c r="I57" s="1426" t="s">
        <v>2173</v>
      </c>
    </row>
    <row r="58" spans="1:9" ht="21" customHeight="1" thickBot="1" x14ac:dyDescent="0.25">
      <c r="A58" s="3037"/>
      <c r="B58" s="3037"/>
      <c r="C58" s="3037"/>
      <c r="D58" s="3040"/>
      <c r="E58" s="3040"/>
      <c r="F58" s="3040"/>
      <c r="G58" s="3040"/>
      <c r="H58" s="3041"/>
    </row>
    <row r="59" spans="1:9" ht="30" customHeight="1" thickBot="1" x14ac:dyDescent="0.25">
      <c r="A59" s="3037"/>
      <c r="B59" s="3038"/>
      <c r="C59" s="2557" t="s">
        <v>1917</v>
      </c>
      <c r="D59" s="2558"/>
      <c r="E59" s="2559"/>
      <c r="F59" s="1268" t="s">
        <v>2219</v>
      </c>
      <c r="G59" s="1405">
        <f>10*(AVERAGE(Conven,Invest,RecPot))</f>
        <v>7.3293650793650791</v>
      </c>
      <c r="H59" s="2721" t="s">
        <v>1035</v>
      </c>
      <c r="I59" s="2722"/>
    </row>
  </sheetData>
  <sheetProtection algorithmName="SHA-512" hashValue="oA+IZtF2YRlPYeBypaVOz+3+nd+Ri66jj9QkgaWKGjfj6QDRN7XGedQVqVwmxFjr+xHL0hgz10UAOie5Js1VOA==" saltValue="2zuYuvyh8nYZ1X1/AVBjKQ==" spinCount="100000" sheet="1" formatCells="0" formatColumns="0" formatRows="0"/>
  <customSheetViews>
    <customSheetView guid="{B8E02330-2419-4DE6-AD01-7ACC7A5D18DD}" scale="75">
      <pageMargins left="0.75" right="0.75" top="1" bottom="1" header="0.5" footer="0.5"/>
      <pageSetup orientation="portrait" r:id="rId1"/>
      <headerFooter alignWithMargins="0"/>
    </customSheetView>
  </customSheetViews>
  <mergeCells count="43">
    <mergeCell ref="I16:I21"/>
    <mergeCell ref="D55:F55"/>
    <mergeCell ref="H59:I59"/>
    <mergeCell ref="I26:I30"/>
    <mergeCell ref="I36:I39"/>
    <mergeCell ref="I40:I46"/>
    <mergeCell ref="I47:I51"/>
    <mergeCell ref="H26:H30"/>
    <mergeCell ref="H36:H39"/>
    <mergeCell ref="D54:H54"/>
    <mergeCell ref="D58:H58"/>
    <mergeCell ref="H40:H46"/>
    <mergeCell ref="H47:H51"/>
    <mergeCell ref="C59:E59"/>
    <mergeCell ref="H9:H15"/>
    <mergeCell ref="H16:H21"/>
    <mergeCell ref="H32:H35"/>
    <mergeCell ref="D57:F57"/>
    <mergeCell ref="D56:F56"/>
    <mergeCell ref="B36:B39"/>
    <mergeCell ref="A36:A39"/>
    <mergeCell ref="B40:B46"/>
    <mergeCell ref="A40:A46"/>
    <mergeCell ref="A59:B59"/>
    <mergeCell ref="A54:C58"/>
    <mergeCell ref="B47:B51"/>
    <mergeCell ref="A47:A51"/>
    <mergeCell ref="B32:B35"/>
    <mergeCell ref="A32:A35"/>
    <mergeCell ref="I32:I35"/>
    <mergeCell ref="E1:I1"/>
    <mergeCell ref="I3:I8"/>
    <mergeCell ref="I9:I15"/>
    <mergeCell ref="B26:B30"/>
    <mergeCell ref="A26:A30"/>
    <mergeCell ref="H3:H8"/>
    <mergeCell ref="A3:A8"/>
    <mergeCell ref="B3:B8"/>
    <mergeCell ref="A9:A15"/>
    <mergeCell ref="A1:B1"/>
    <mergeCell ref="B9:B15"/>
    <mergeCell ref="A16:A21"/>
    <mergeCell ref="B16:B21"/>
  </mergeCells>
  <phoneticPr fontId="3" type="noConversion"/>
  <pageMargins left="0.75" right="0.75" top="1" bottom="1" header="0.5" footer="0.5"/>
  <pageSetup orientation="portrait"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indexed="50"/>
  </sheetPr>
  <dimension ref="A1:I370"/>
  <sheetViews>
    <sheetView zoomScaleNormal="100" workbookViewId="0">
      <selection activeCell="K6" sqref="K6"/>
    </sheetView>
  </sheetViews>
  <sheetFormatPr defaultColWidth="9.33203125" defaultRowHeight="12.75" x14ac:dyDescent="0.2"/>
  <cols>
    <col min="1" max="1" width="5.5" style="17" customWidth="1"/>
    <col min="2" max="2" width="18.83203125" style="6" customWidth="1"/>
    <col min="3" max="3" width="75.83203125" style="6" customWidth="1"/>
    <col min="4" max="6" width="7.83203125" style="564" customWidth="1"/>
    <col min="7" max="7" width="9.33203125" style="565" customWidth="1"/>
    <col min="8" max="8" width="64.83203125" style="6" customWidth="1"/>
    <col min="9" max="9" width="9.83203125" style="6" customWidth="1"/>
    <col min="10" max="16384" width="9.33203125" style="6"/>
  </cols>
  <sheetData>
    <row r="1" spans="1:9" s="2065" customFormat="1" ht="91.5" customHeight="1" thickBot="1" x14ac:dyDescent="0.25">
      <c r="A1" s="3014" t="s">
        <v>443</v>
      </c>
      <c r="B1" s="3015"/>
      <c r="C1" s="2121" t="s">
        <v>1482</v>
      </c>
      <c r="D1" s="2059" t="s">
        <v>2267</v>
      </c>
      <c r="E1" s="2634"/>
      <c r="F1" s="2635"/>
      <c r="G1" s="2635"/>
      <c r="H1" s="2635"/>
      <c r="I1" s="2635"/>
    </row>
    <row r="2" spans="1:9" s="106" customFormat="1" ht="36" customHeight="1" thickBot="1" x14ac:dyDescent="0.25">
      <c r="A2" s="1184" t="s">
        <v>88</v>
      </c>
      <c r="B2" s="1184" t="s">
        <v>959</v>
      </c>
      <c r="C2" s="1200" t="s">
        <v>1165</v>
      </c>
      <c r="D2" s="1199" t="s">
        <v>45</v>
      </c>
      <c r="E2" s="1283" t="s">
        <v>1189</v>
      </c>
      <c r="F2" s="1402" t="s">
        <v>1190</v>
      </c>
      <c r="G2" s="1285" t="s">
        <v>2555</v>
      </c>
      <c r="H2" s="1184" t="s">
        <v>1118</v>
      </c>
      <c r="I2" s="1406" t="s">
        <v>2424</v>
      </c>
    </row>
    <row r="3" spans="1:9" s="2" customFormat="1" ht="32.25" customHeight="1" thickBot="1" x14ac:dyDescent="0.25">
      <c r="A3" s="2529" t="str">
        <f>OF!A139</f>
        <v>OF29</v>
      </c>
      <c r="B3" s="2489" t="str">
        <f>OF!B139</f>
        <v>Species of Conservation Concern</v>
      </c>
      <c r="C3" s="1133" t="str">
        <f>OF!C139</f>
        <v>Within the past 10 years, in the AA (or in its adjoining waters or wetland), qualified observers have documented [mark all applicable]:</v>
      </c>
      <c r="D3" s="315"/>
      <c r="E3" s="304"/>
      <c r="F3" s="305"/>
      <c r="G3" s="651" t="str">
        <f>IF((D8=1),"",((MAX(F4:F8)) + (AVERAGE(F4:F8))) /2)</f>
        <v/>
      </c>
      <c r="H3" s="2529" t="s">
        <v>1483</v>
      </c>
      <c r="I3" s="2323" t="s">
        <v>542</v>
      </c>
    </row>
    <row r="4" spans="1:9" s="2" customFormat="1" ht="30" customHeight="1" x14ac:dyDescent="0.2">
      <c r="A4" s="2404"/>
      <c r="B4" s="2371"/>
      <c r="C4" s="868" t="str">
        <f>OF!C140</f>
        <v xml:space="preserve">Presence of one or more of the plant species listed in the Plants_Rare worksheet of the accompanying SuppInfo file, or the AA is within a mapped Atlantic Coastal Plain Flora Buffer </v>
      </c>
      <c r="D4" s="1878">
        <f>OF!D140</f>
        <v>1</v>
      </c>
      <c r="E4" s="300">
        <v>1</v>
      </c>
      <c r="F4" s="325">
        <f>D4*E4</f>
        <v>1</v>
      </c>
      <c r="G4" s="666"/>
      <c r="H4" s="2396"/>
      <c r="I4" s="2324"/>
    </row>
    <row r="5" spans="1:9" s="2" customFormat="1" ht="30" customHeight="1" x14ac:dyDescent="0.2">
      <c r="A5" s="2404"/>
      <c r="B5" s="2371"/>
      <c r="C5" s="868" t="str">
        <f>OF!C141</f>
        <v>Presence of one or more of the amphibian or reptile species (AM) of conservation concern as listed in the Wildlife_Rare worksheet of the accompanying SuppInfo file.</v>
      </c>
      <c r="D5" s="238">
        <f>OF!D141</f>
        <v>0</v>
      </c>
      <c r="E5" s="316">
        <v>1</v>
      </c>
      <c r="F5" s="325">
        <f>D5*E5</f>
        <v>0</v>
      </c>
      <c r="G5" s="666"/>
      <c r="H5" s="2396"/>
      <c r="I5" s="2324"/>
    </row>
    <row r="6" spans="1:9" s="1927" customFormat="1" ht="30" customHeight="1" x14ac:dyDescent="0.2">
      <c r="A6" s="2404"/>
      <c r="B6" s="2371"/>
      <c r="C6" s="868" t="str">
        <f>OF!C142</f>
        <v>Presence of one or more of the waterbird species (WBF, WBN) of conservation concern as listed in the Wildlife_Rare worksheet of the accompanying SuppInfo file.</v>
      </c>
      <c r="D6" s="238">
        <f>OF!D142</f>
        <v>0</v>
      </c>
      <c r="E6" s="316">
        <v>1</v>
      </c>
      <c r="F6" s="325">
        <f>D6*E6</f>
        <v>0</v>
      </c>
      <c r="G6" s="666"/>
      <c r="H6" s="2396"/>
      <c r="I6" s="2324"/>
    </row>
    <row r="7" spans="1:9" s="2" customFormat="1" ht="42" customHeight="1" x14ac:dyDescent="0.2">
      <c r="A7" s="2404"/>
      <c r="B7" s="2371"/>
      <c r="C7" s="868" t="str">
        <f>OF!C143</f>
        <v>Presence of one or more of the nesting songbird or raptor species (SBM) of conservation concern as listed in the Wildlife_Rare worksheet of the accompanying SuppInfo file, during their nesting season (May-July for most species).</v>
      </c>
      <c r="D7" s="238">
        <f>OF!D142</f>
        <v>0</v>
      </c>
      <c r="E7" s="316">
        <v>1</v>
      </c>
      <c r="F7" s="325">
        <f>D7*E7</f>
        <v>0</v>
      </c>
      <c r="G7" s="666"/>
      <c r="H7" s="2396"/>
      <c r="I7" s="2324"/>
    </row>
    <row r="8" spans="1:9" s="2" customFormat="1" ht="15" customHeight="1" thickBot="1" x14ac:dyDescent="0.25">
      <c r="A8" s="2404"/>
      <c r="B8" s="2371"/>
      <c r="C8" s="937" t="str">
        <f>OF!C144</f>
        <v>None of the above, or no data.</v>
      </c>
      <c r="D8" s="239">
        <f>OF!D143</f>
        <v>1</v>
      </c>
      <c r="E8" s="301"/>
      <c r="F8" s="329"/>
      <c r="G8" s="667"/>
      <c r="H8" s="2396"/>
      <c r="I8" s="2325"/>
    </row>
    <row r="9" spans="1:9" s="3" customFormat="1" ht="30" customHeight="1" thickBot="1" x14ac:dyDescent="0.25">
      <c r="A9" s="2368" t="str">
        <f>F!A63</f>
        <v>F11</v>
      </c>
      <c r="B9" s="2326" t="str">
        <f>F!B63</f>
        <v>% Bare Ground &amp; Thatch</v>
      </c>
      <c r="C9" s="1866" t="str">
        <f>F!C63</f>
        <v>Consider the parts of the AA that lack surface water at the driest time of the growing season. Viewed from directly above the ground layer, the predominant condition in those areas at that time is:</v>
      </c>
      <c r="D9" s="319"/>
      <c r="E9" s="299"/>
      <c r="F9" s="302"/>
      <c r="G9" s="650">
        <f>IF((D14=1),"",MAX(F10:F13)/MAX(E10:E13))</f>
        <v>0.66666666666666663</v>
      </c>
      <c r="H9" s="2326" t="s">
        <v>546</v>
      </c>
      <c r="I9" s="2326" t="s">
        <v>543</v>
      </c>
    </row>
    <row r="10" spans="1:9" s="3" customFormat="1" ht="42" customHeight="1" x14ac:dyDescent="0.2">
      <c r="A10" s="2369"/>
      <c r="B10" s="2327"/>
      <c r="C10" s="949" t="str">
        <f>F!C64</f>
        <v>Little or no (&lt;5%) bare ground is visible between erect stems or under canopy anywhere in the vegetated AA. Ground is extensively blanketed by dense thatch, moss, lichens, graminoids with great stem densities, or plants with ground-hugging foliage. </v>
      </c>
      <c r="D10" s="70">
        <f>F!D64</f>
        <v>0</v>
      </c>
      <c r="E10" s="300">
        <v>3</v>
      </c>
      <c r="F10" s="325">
        <f>D10*E10</f>
        <v>0</v>
      </c>
      <c r="G10" s="665"/>
      <c r="H10" s="2327"/>
      <c r="I10" s="2327"/>
    </row>
    <row r="11" spans="1:9" s="3" customFormat="1" ht="27" customHeight="1" x14ac:dyDescent="0.2">
      <c r="A11" s="2369"/>
      <c r="B11" s="2327"/>
      <c r="C11" s="950" t="str">
        <f>F!C65</f>
        <v>Slightly bare ground (5-20% bare between plants) is visible in places, but those areas comprise less than 5% of the unflooded parts of the AA.</v>
      </c>
      <c r="D11" s="70">
        <f>F!D65</f>
        <v>1</v>
      </c>
      <c r="E11" s="300">
        <v>2</v>
      </c>
      <c r="F11" s="325">
        <f>D11*E11</f>
        <v>2</v>
      </c>
      <c r="G11" s="666"/>
      <c r="H11" s="2327"/>
      <c r="I11" s="2327"/>
    </row>
    <row r="12" spans="1:9" s="3" customFormat="1" ht="27" customHeight="1" x14ac:dyDescent="0.2">
      <c r="A12" s="2369"/>
      <c r="B12" s="2327"/>
      <c r="C12" s="950" t="str">
        <f>F!C66</f>
        <v>Much bare ground (20-50% bare between plants) is visible in places, and those areas comprise more than 5% of the unflooded parts of the AA. </v>
      </c>
      <c r="D12" s="70">
        <f>F!D66</f>
        <v>0</v>
      </c>
      <c r="E12" s="300">
        <v>1</v>
      </c>
      <c r="F12" s="325">
        <f>D12*E12</f>
        <v>0</v>
      </c>
      <c r="G12" s="666"/>
      <c r="H12" s="2327"/>
      <c r="I12" s="2327"/>
    </row>
    <row r="13" spans="1:9" s="3" customFormat="1" ht="15" customHeight="1" x14ac:dyDescent="0.2">
      <c r="A13" s="2369"/>
      <c r="B13" s="2327"/>
      <c r="C13" s="950" t="str">
        <f>F!C67</f>
        <v>Other conditions.</v>
      </c>
      <c r="D13" s="70">
        <f>F!D67</f>
        <v>0</v>
      </c>
      <c r="E13" s="300">
        <v>0</v>
      </c>
      <c r="F13" s="325">
        <f>D13*E13</f>
        <v>0</v>
      </c>
      <c r="G13" s="666"/>
      <c r="H13" s="2327"/>
      <c r="I13" s="2327"/>
    </row>
    <row r="14" spans="1:9" s="3" customFormat="1" ht="15" customHeight="1" thickBot="1" x14ac:dyDescent="0.25">
      <c r="A14" s="2370"/>
      <c r="B14" s="2328"/>
      <c r="C14" s="951" t="str">
        <f>F!C68</f>
        <v>Not applicable. Surface water (either open or obscured by emergent plants) covers all of the AA all the time.</v>
      </c>
      <c r="D14" s="152">
        <f>F!D68</f>
        <v>0</v>
      </c>
      <c r="E14" s="301"/>
      <c r="F14" s="301"/>
      <c r="G14" s="667"/>
      <c r="H14" s="2328"/>
      <c r="I14" s="2328"/>
    </row>
    <row r="15" spans="1:9" s="3" customFormat="1" ht="60" customHeight="1" thickBot="1" x14ac:dyDescent="0.25">
      <c r="A15" s="2368" t="str">
        <f>F!A69</f>
        <v>F12</v>
      </c>
      <c r="B15" s="2326" t="str">
        <f>F!B69</f>
        <v xml:space="preserve">Ground Irregularity </v>
      </c>
      <c r="C15" s="368"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15" s="555"/>
      <c r="E15" s="304"/>
      <c r="F15" s="305"/>
      <c r="G15" s="455">
        <f>IF((D14=1),"",MAX(F16:F18)/MAX(E16:E18))</f>
        <v>0.5</v>
      </c>
      <c r="H15" s="2326" t="s">
        <v>545</v>
      </c>
      <c r="I15" s="2326" t="s">
        <v>544</v>
      </c>
    </row>
    <row r="16" spans="1:9" s="3" customFormat="1" ht="27" customHeight="1" x14ac:dyDescent="0.2">
      <c r="A16" s="2369"/>
      <c r="B16" s="2327"/>
      <c r="C16" s="369" t="str">
        <f>F!C70</f>
        <v>Few or none (minimal microtopography; &lt;1% of the land has such features, or entire AA is always water-covered).</v>
      </c>
      <c r="D16" s="70">
        <f>F!D70</f>
        <v>0</v>
      </c>
      <c r="E16" s="300">
        <v>0</v>
      </c>
      <c r="F16" s="325">
        <f>D16*E16</f>
        <v>0</v>
      </c>
      <c r="G16" s="548"/>
      <c r="H16" s="2327"/>
      <c r="I16" s="2327"/>
    </row>
    <row r="17" spans="1:9" s="3" customFormat="1" ht="15" customHeight="1" x14ac:dyDescent="0.2">
      <c r="A17" s="2369"/>
      <c r="B17" s="2327"/>
      <c r="C17" s="622" t="str">
        <f>F!C71</f>
        <v>Intermediate.</v>
      </c>
      <c r="D17" s="70">
        <f>F!D71</f>
        <v>1</v>
      </c>
      <c r="E17" s="300">
        <v>1</v>
      </c>
      <c r="F17" s="325">
        <f>D17*E17</f>
        <v>1</v>
      </c>
      <c r="G17" s="549"/>
      <c r="H17" s="2327"/>
      <c r="I17" s="2327"/>
    </row>
    <row r="18" spans="1:9" s="3" customFormat="1" ht="15" customHeight="1" thickBot="1" x14ac:dyDescent="0.25">
      <c r="A18" s="2370"/>
      <c r="B18" s="2328"/>
      <c r="C18" s="370" t="str">
        <f>F!C72</f>
        <v>Several (extensive micro-topography).</v>
      </c>
      <c r="D18" s="152">
        <f>F!D72</f>
        <v>0</v>
      </c>
      <c r="E18" s="301">
        <v>2</v>
      </c>
      <c r="F18" s="329">
        <f>D18*E18</f>
        <v>0</v>
      </c>
      <c r="G18" s="550"/>
      <c r="H18" s="2328"/>
      <c r="I18" s="2328"/>
    </row>
    <row r="19" spans="1:9" s="3" customFormat="1" ht="30" customHeight="1" thickBot="1" x14ac:dyDescent="0.25">
      <c r="A19" s="2554" t="str">
        <f>F!A105</f>
        <v>F19</v>
      </c>
      <c r="B19" s="2327" t="str">
        <f>F!B105</f>
        <v xml:space="preserve">Dominance of Most Abundant Herbaceous Species </v>
      </c>
      <c r="C19" s="376" t="str">
        <f>F!C105</f>
        <v>Determine which two herbaceous species comprise the greatest portion of the herbaceous cover (excluding mosses and floating-leaved aquatic plants). Then choose one of the following:</v>
      </c>
      <c r="D19" s="555"/>
      <c r="E19" s="560"/>
      <c r="F19" s="302"/>
      <c r="G19" s="470">
        <f>IF((NoHerbCov=1),"",(MAX(F20:F21)))</f>
        <v>1</v>
      </c>
      <c r="H19" s="2396" t="s">
        <v>1873</v>
      </c>
      <c r="I19" s="2326" t="s">
        <v>541</v>
      </c>
    </row>
    <row r="20" spans="1:9" s="3" customFormat="1" ht="15" customHeight="1" x14ac:dyDescent="0.2">
      <c r="A20" s="2554"/>
      <c r="B20" s="2327"/>
      <c r="C20" s="418" t="str">
        <f>F!C106</f>
        <v>those species together comprise &gt; 50% of the areal cover of herbaceous plants at any time during the year.</v>
      </c>
      <c r="D20" s="70">
        <f>F!D106</f>
        <v>0</v>
      </c>
      <c r="E20" s="557">
        <v>0</v>
      </c>
      <c r="F20" s="327">
        <f>D20*E20</f>
        <v>0</v>
      </c>
      <c r="G20" s="558"/>
      <c r="H20" s="2396"/>
      <c r="I20" s="2327"/>
    </row>
    <row r="21" spans="1:9" s="3" customFormat="1" ht="27" customHeight="1" thickBot="1" x14ac:dyDescent="0.25">
      <c r="A21" s="2554"/>
      <c r="B21" s="2327"/>
      <c r="C21" s="375" t="str">
        <f>F!C107</f>
        <v>those species together do not comprise &gt; 50% of the areal cover of herbaceous plants at any time during the year.</v>
      </c>
      <c r="D21" s="474">
        <f>F!D107</f>
        <v>1</v>
      </c>
      <c r="E21" s="557">
        <v>1</v>
      </c>
      <c r="F21" s="303">
        <f>D21*E21</f>
        <v>1</v>
      </c>
      <c r="G21" s="558"/>
      <c r="H21" s="2396"/>
      <c r="I21" s="2328"/>
    </row>
    <row r="22" spans="1:9" s="3" customFormat="1" ht="30" customHeight="1" thickBot="1" x14ac:dyDescent="0.25">
      <c r="A22" s="2366" t="str">
        <f>F!A108</f>
        <v>F20</v>
      </c>
      <c r="B22" s="2394" t="str">
        <f>F!B108</f>
        <v>Invasive Plant Cover</v>
      </c>
      <c r="C22" s="368" t="str">
        <f>F!C108</f>
        <v>How extensive is the cover of invasive plant species in the AA?  For species, see Plants_invasive worksheet in the accompanying SuppInfo file.</v>
      </c>
      <c r="D22" s="555"/>
      <c r="E22" s="555"/>
      <c r="F22" s="562"/>
      <c r="G22" s="455">
        <f>MAX(F23:F27)/MAX(E23:E27)</f>
        <v>0.5</v>
      </c>
      <c r="H22" s="2394" t="s">
        <v>447</v>
      </c>
      <c r="I22" s="2326" t="s">
        <v>540</v>
      </c>
    </row>
    <row r="23" spans="1:9" s="3" customFormat="1" ht="15" customHeight="1" x14ac:dyDescent="0.2">
      <c r="A23" s="2365"/>
      <c r="B23" s="2396"/>
      <c r="C23" s="369" t="str">
        <f>F!C109</f>
        <v>invasive species appear to be absent in the AA, or are present only in trace amount (a few individuals).</v>
      </c>
      <c r="D23" s="70">
        <f>F!D109</f>
        <v>0</v>
      </c>
      <c r="E23" s="556">
        <v>4</v>
      </c>
      <c r="F23" s="300">
        <f>D23*E23</f>
        <v>0</v>
      </c>
      <c r="G23" s="548"/>
      <c r="H23" s="2396"/>
      <c r="I23" s="2327"/>
    </row>
    <row r="24" spans="1:9" s="3" customFormat="1" ht="27" customHeight="1" x14ac:dyDescent="0.2">
      <c r="A24" s="2365"/>
      <c r="B24" s="2396"/>
      <c r="C24" s="622" t="str">
        <f>F!C110</f>
        <v>invasive species are present in more than trace amounts, but comprise &lt;5% of herbaceous cover (or woody cover, if the invasives are woody).</v>
      </c>
      <c r="D24" s="70">
        <f>F!D110</f>
        <v>0</v>
      </c>
      <c r="E24" s="556">
        <v>3</v>
      </c>
      <c r="F24" s="300">
        <f>D24*E24</f>
        <v>0</v>
      </c>
      <c r="G24" s="548"/>
      <c r="H24" s="2396"/>
      <c r="I24" s="2327"/>
    </row>
    <row r="25" spans="1:9" s="3" customFormat="1" ht="15" customHeight="1" x14ac:dyDescent="0.2">
      <c r="A25" s="2365"/>
      <c r="B25" s="2396"/>
      <c r="C25" s="622" t="str">
        <f>F!C111</f>
        <v>invasive species comprise 5-20% of the herb cover (or woody cover, if the invasives are woody).</v>
      </c>
      <c r="D25" s="70">
        <f>F!D111</f>
        <v>1</v>
      </c>
      <c r="E25" s="556">
        <v>2</v>
      </c>
      <c r="F25" s="300">
        <f>D25*E25</f>
        <v>2</v>
      </c>
      <c r="G25" s="549"/>
      <c r="H25" s="2396"/>
      <c r="I25" s="2327"/>
    </row>
    <row r="26" spans="1:9" s="3" customFormat="1" ht="15" customHeight="1" x14ac:dyDescent="0.2">
      <c r="A26" s="2365"/>
      <c r="B26" s="2396"/>
      <c r="C26" s="622" t="str">
        <f>F!C112</f>
        <v>invasive species comprise 20-50% of the herb cover  (or woody cover, if the invasives are woody).</v>
      </c>
      <c r="D26" s="70">
        <f>F!D112</f>
        <v>0</v>
      </c>
      <c r="E26" s="556">
        <v>1</v>
      </c>
      <c r="F26" s="300">
        <f>D26*E26</f>
        <v>0</v>
      </c>
      <c r="G26" s="549"/>
      <c r="H26" s="2396"/>
      <c r="I26" s="2327"/>
    </row>
    <row r="27" spans="1:9" s="3" customFormat="1" ht="15" customHeight="1" thickBot="1" x14ac:dyDescent="0.25">
      <c r="A27" s="2367"/>
      <c r="B27" s="2408"/>
      <c r="C27" s="370" t="str">
        <f>F!C113</f>
        <v>invasive species comprise &gt;50% of the herb cover  (or woody cover, if the invasives are woody).</v>
      </c>
      <c r="D27" s="152">
        <f>F!D113</f>
        <v>0</v>
      </c>
      <c r="E27" s="559">
        <v>0</v>
      </c>
      <c r="F27" s="301">
        <f>D27*E27</f>
        <v>0</v>
      </c>
      <c r="G27" s="550"/>
      <c r="H27" s="2408"/>
      <c r="I27" s="2328"/>
    </row>
    <row r="28" spans="1:9" s="3" customFormat="1" ht="60" customHeight="1" thickBot="1" x14ac:dyDescent="0.25">
      <c r="A28" s="623" t="str">
        <f>F!A205</f>
        <v>F41</v>
      </c>
      <c r="B28" s="624" t="str">
        <f>F!B205</f>
        <v xml:space="preserve">Floating Algae &amp; Duckweed </v>
      </c>
      <c r="C28" s="294" t="str">
        <f>F!C205</f>
        <v>At some time of the year, mats of algae and/or duckweed are likely to cover &gt;50% of the AA's otherwise-unshaded water surface, or blanket &gt;50% of the underwater substrate. If true, enter "1" in next column. If untrue or uncertain, enter "0".</v>
      </c>
      <c r="D28" s="474">
        <f>F!D205</f>
        <v>0</v>
      </c>
      <c r="E28" s="303"/>
      <c r="F28" s="303"/>
      <c r="G28" s="835" t="str">
        <f>IF((TooSmall=1),"",IF((AllSat1&gt;0),"",IF((NoPonded=1),"",IF((D28=0),"",0))))</f>
        <v/>
      </c>
      <c r="H28" s="200" t="s">
        <v>1187</v>
      </c>
      <c r="I28" s="124" t="s">
        <v>1684</v>
      </c>
    </row>
    <row r="29" spans="1:9" s="2" customFormat="1" ht="21" customHeight="1" thickBot="1" x14ac:dyDescent="0.25">
      <c r="A29" s="2767"/>
      <c r="B29" s="2767"/>
      <c r="C29" s="2767"/>
      <c r="D29" s="2767"/>
      <c r="E29" s="2767"/>
      <c r="F29" s="2767"/>
      <c r="G29" s="2767"/>
      <c r="H29" s="2767"/>
    </row>
    <row r="30" spans="1:9" s="20" customFormat="1" ht="30" customHeight="1" thickBot="1" x14ac:dyDescent="0.25">
      <c r="A30" s="2768"/>
      <c r="B30" s="2768"/>
      <c r="C30" s="3042" t="s">
        <v>2354</v>
      </c>
      <c r="D30" s="3043"/>
      <c r="E30" s="3044"/>
      <c r="F30" s="1408" t="s">
        <v>2267</v>
      </c>
      <c r="G30" s="1405">
        <f>IFERROR(10*(MAX(RareAll,EmSens1_C) + AVERAGE(HerbDom1,GirregCQ, OverRich,BareGpct))/2,"")</f>
        <v>6.1111111111111116</v>
      </c>
      <c r="H30" s="2525" t="s">
        <v>2400</v>
      </c>
      <c r="I30" s="2526"/>
    </row>
    <row r="31" spans="1:9" s="2" customFormat="1" ht="21" customHeight="1" x14ac:dyDescent="0.2">
      <c r="A31" s="2768"/>
      <c r="B31" s="2768"/>
      <c r="D31" s="1396"/>
      <c r="E31" s="1396"/>
      <c r="F31" s="1396"/>
      <c r="G31" s="1396"/>
      <c r="H31" s="1396"/>
    </row>
    <row r="32" spans="1:9" s="2" customFormat="1" x14ac:dyDescent="0.2">
      <c r="A32" s="16"/>
      <c r="C32" s="16"/>
      <c r="D32" s="630"/>
      <c r="E32" s="630"/>
      <c r="F32" s="630"/>
      <c r="G32" s="652"/>
    </row>
    <row r="33" spans="1:7" s="2" customFormat="1" x14ac:dyDescent="0.2">
      <c r="A33" s="16"/>
      <c r="C33" s="16"/>
      <c r="D33" s="630"/>
      <c r="E33" s="630"/>
      <c r="F33" s="630"/>
      <c r="G33" s="652"/>
    </row>
    <row r="34" spans="1:7" s="2" customFormat="1" x14ac:dyDescent="0.2">
      <c r="A34" s="16"/>
      <c r="C34" s="16"/>
      <c r="D34" s="630"/>
      <c r="E34" s="630"/>
      <c r="F34" s="630"/>
      <c r="G34" s="652"/>
    </row>
    <row r="35" spans="1:7" s="2" customFormat="1" x14ac:dyDescent="0.2">
      <c r="A35" s="16"/>
      <c r="C35" s="16"/>
      <c r="D35" s="630"/>
      <c r="E35" s="630"/>
      <c r="F35" s="630"/>
      <c r="G35" s="652"/>
    </row>
    <row r="36" spans="1:7" s="2" customFormat="1" x14ac:dyDescent="0.2">
      <c r="A36" s="16"/>
      <c r="C36" s="16"/>
      <c r="D36" s="630"/>
      <c r="E36" s="630"/>
      <c r="F36" s="630"/>
      <c r="G36" s="652"/>
    </row>
    <row r="37" spans="1:7" s="2" customFormat="1" x14ac:dyDescent="0.2">
      <c r="A37" s="16"/>
      <c r="C37" s="16"/>
      <c r="D37" s="630"/>
      <c r="E37" s="630"/>
      <c r="F37" s="630"/>
      <c r="G37" s="652"/>
    </row>
    <row r="38" spans="1:7" s="2" customFormat="1" x14ac:dyDescent="0.2">
      <c r="A38" s="16"/>
      <c r="C38" s="16"/>
      <c r="D38" s="630"/>
      <c r="E38" s="630"/>
      <c r="F38" s="630"/>
      <c r="G38" s="652"/>
    </row>
    <row r="39" spans="1:7" s="2" customFormat="1" x14ac:dyDescent="0.2">
      <c r="A39" s="16"/>
      <c r="C39" s="16"/>
      <c r="D39" s="630"/>
      <c r="E39" s="630"/>
      <c r="F39" s="630"/>
      <c r="G39" s="652"/>
    </row>
    <row r="40" spans="1:7" s="2" customFormat="1" x14ac:dyDescent="0.2">
      <c r="A40" s="16"/>
      <c r="C40" s="16"/>
      <c r="D40" s="630"/>
      <c r="E40" s="630"/>
      <c r="F40" s="630"/>
      <c r="G40" s="652"/>
    </row>
    <row r="41" spans="1:7" s="2" customFormat="1" x14ac:dyDescent="0.2">
      <c r="A41" s="16"/>
      <c r="C41" s="16"/>
      <c r="D41" s="630"/>
      <c r="E41" s="630"/>
      <c r="F41" s="630"/>
      <c r="G41" s="652"/>
    </row>
    <row r="42" spans="1:7" s="2" customFormat="1" x14ac:dyDescent="0.2">
      <c r="A42" s="16"/>
      <c r="C42" s="16"/>
      <c r="D42" s="630"/>
      <c r="E42" s="630"/>
      <c r="F42" s="630"/>
      <c r="G42" s="652"/>
    </row>
    <row r="43" spans="1:7" s="2" customFormat="1" x14ac:dyDescent="0.2">
      <c r="A43" s="16"/>
      <c r="C43" s="16"/>
      <c r="D43" s="630"/>
      <c r="E43" s="630"/>
      <c r="F43" s="630"/>
      <c r="G43" s="652"/>
    </row>
    <row r="44" spans="1:7" s="2" customFormat="1" x14ac:dyDescent="0.2">
      <c r="A44" s="16"/>
      <c r="C44" s="16"/>
      <c r="D44" s="630"/>
      <c r="E44" s="630"/>
      <c r="F44" s="630"/>
      <c r="G44" s="652"/>
    </row>
    <row r="45" spans="1:7" s="2" customFormat="1" x14ac:dyDescent="0.2">
      <c r="A45" s="16"/>
      <c r="C45" s="16"/>
      <c r="D45" s="630"/>
      <c r="E45" s="630"/>
      <c r="F45" s="630"/>
      <c r="G45" s="652"/>
    </row>
    <row r="46" spans="1:7" s="2" customFormat="1" x14ac:dyDescent="0.2">
      <c r="A46" s="16"/>
      <c r="C46" s="16"/>
      <c r="D46" s="630"/>
      <c r="E46" s="630"/>
      <c r="F46" s="630"/>
      <c r="G46" s="652"/>
    </row>
    <row r="47" spans="1:7" s="2" customFormat="1" x14ac:dyDescent="0.2">
      <c r="A47" s="16"/>
      <c r="C47" s="16"/>
      <c r="D47" s="630"/>
      <c r="E47" s="630"/>
      <c r="F47" s="630"/>
      <c r="G47" s="652"/>
    </row>
    <row r="48" spans="1:7" s="2" customFormat="1" x14ac:dyDescent="0.2">
      <c r="A48" s="16"/>
      <c r="C48" s="16"/>
      <c r="D48" s="630"/>
      <c r="E48" s="630"/>
      <c r="F48" s="630"/>
      <c r="G48" s="652"/>
    </row>
    <row r="49" spans="1:7" s="2" customFormat="1" x14ac:dyDescent="0.2">
      <c r="A49" s="16"/>
      <c r="C49" s="16"/>
      <c r="D49" s="630"/>
      <c r="E49" s="630"/>
      <c r="F49" s="630"/>
      <c r="G49" s="652"/>
    </row>
    <row r="50" spans="1:7" s="2" customFormat="1" x14ac:dyDescent="0.2">
      <c r="A50" s="16"/>
      <c r="C50" s="16"/>
      <c r="D50" s="630"/>
      <c r="E50" s="630"/>
      <c r="F50" s="630"/>
      <c r="G50" s="652"/>
    </row>
    <row r="51" spans="1:7" s="2" customFormat="1" x14ac:dyDescent="0.2">
      <c r="A51" s="16"/>
      <c r="C51" s="16"/>
      <c r="D51" s="630"/>
      <c r="E51" s="630"/>
      <c r="F51" s="630"/>
      <c r="G51" s="652"/>
    </row>
    <row r="52" spans="1:7" s="2" customFormat="1" x14ac:dyDescent="0.2">
      <c r="A52" s="16"/>
      <c r="C52" s="16"/>
      <c r="D52" s="630"/>
      <c r="E52" s="630"/>
      <c r="F52" s="630"/>
      <c r="G52" s="652"/>
    </row>
    <row r="53" spans="1:7" s="2" customFormat="1" x14ac:dyDescent="0.2">
      <c r="A53" s="16"/>
      <c r="C53" s="16"/>
      <c r="D53" s="630"/>
      <c r="E53" s="630"/>
      <c r="F53" s="630"/>
      <c r="G53" s="652"/>
    </row>
    <row r="54" spans="1:7" s="2" customFormat="1" x14ac:dyDescent="0.2">
      <c r="A54" s="16"/>
      <c r="C54" s="16"/>
      <c r="D54" s="630"/>
      <c r="E54" s="630"/>
      <c r="F54" s="630"/>
      <c r="G54" s="652"/>
    </row>
    <row r="55" spans="1:7" s="2" customFormat="1" x14ac:dyDescent="0.2">
      <c r="A55" s="16"/>
      <c r="C55" s="16"/>
      <c r="D55" s="630"/>
      <c r="E55" s="630"/>
      <c r="F55" s="630"/>
      <c r="G55" s="652"/>
    </row>
    <row r="56" spans="1:7" s="2" customFormat="1" x14ac:dyDescent="0.2">
      <c r="A56" s="16"/>
      <c r="C56" s="16"/>
      <c r="D56" s="630"/>
      <c r="E56" s="630"/>
      <c r="F56" s="630"/>
      <c r="G56" s="652"/>
    </row>
    <row r="57" spans="1:7" s="2" customFormat="1" x14ac:dyDescent="0.2">
      <c r="A57" s="16"/>
      <c r="C57" s="16"/>
      <c r="D57" s="630"/>
      <c r="E57" s="630"/>
      <c r="F57" s="630"/>
      <c r="G57" s="652"/>
    </row>
    <row r="58" spans="1:7" s="2" customFormat="1" x14ac:dyDescent="0.2">
      <c r="A58" s="16"/>
      <c r="C58" s="16"/>
      <c r="D58" s="630"/>
      <c r="E58" s="630"/>
      <c r="F58" s="630"/>
      <c r="G58" s="652"/>
    </row>
    <row r="59" spans="1:7" s="2" customFormat="1" x14ac:dyDescent="0.2">
      <c r="A59" s="16"/>
      <c r="C59" s="16"/>
      <c r="D59" s="630"/>
      <c r="E59" s="630"/>
      <c r="F59" s="630"/>
      <c r="G59" s="652"/>
    </row>
    <row r="60" spans="1:7" s="2" customFormat="1" x14ac:dyDescent="0.2">
      <c r="A60" s="16"/>
      <c r="C60" s="16"/>
      <c r="D60" s="630"/>
      <c r="E60" s="630"/>
      <c r="F60" s="630"/>
      <c r="G60" s="652"/>
    </row>
    <row r="61" spans="1:7" s="2" customFormat="1" x14ac:dyDescent="0.2">
      <c r="A61" s="16"/>
      <c r="C61" s="16"/>
      <c r="D61" s="630"/>
      <c r="E61" s="630"/>
      <c r="F61" s="630"/>
      <c r="G61" s="652"/>
    </row>
    <row r="62" spans="1:7" s="2" customFormat="1" x14ac:dyDescent="0.2">
      <c r="A62" s="16"/>
      <c r="C62" s="16"/>
      <c r="D62" s="630"/>
      <c r="E62" s="630"/>
      <c r="F62" s="630"/>
      <c r="G62" s="652"/>
    </row>
    <row r="63" spans="1:7" s="2" customFormat="1" x14ac:dyDescent="0.2">
      <c r="A63" s="16"/>
      <c r="C63" s="16"/>
      <c r="D63" s="630"/>
      <c r="E63" s="630"/>
      <c r="F63" s="630"/>
      <c r="G63" s="652"/>
    </row>
    <row r="64" spans="1:7" s="2" customFormat="1" x14ac:dyDescent="0.2">
      <c r="A64" s="16"/>
      <c r="C64" s="16"/>
      <c r="D64" s="630"/>
      <c r="E64" s="630"/>
      <c r="F64" s="630"/>
      <c r="G64" s="652"/>
    </row>
    <row r="65" spans="1:7" s="2" customFormat="1" x14ac:dyDescent="0.2">
      <c r="A65" s="16"/>
      <c r="C65" s="16"/>
      <c r="D65" s="630"/>
      <c r="E65" s="630"/>
      <c r="F65" s="630"/>
      <c r="G65" s="652"/>
    </row>
    <row r="66" spans="1:7" s="2" customFormat="1" x14ac:dyDescent="0.2">
      <c r="A66" s="16"/>
      <c r="C66" s="16"/>
      <c r="D66" s="630"/>
      <c r="E66" s="630"/>
      <c r="F66" s="630"/>
      <c r="G66" s="652"/>
    </row>
    <row r="67" spans="1:7" s="2" customFormat="1" x14ac:dyDescent="0.2">
      <c r="A67" s="16"/>
      <c r="C67" s="16"/>
      <c r="D67" s="630"/>
      <c r="E67" s="630"/>
      <c r="F67" s="630"/>
      <c r="G67" s="652"/>
    </row>
    <row r="68" spans="1:7" s="2" customFormat="1" x14ac:dyDescent="0.2">
      <c r="A68" s="16"/>
      <c r="C68" s="16"/>
      <c r="D68" s="630"/>
      <c r="E68" s="630"/>
      <c r="F68" s="630"/>
      <c r="G68" s="652"/>
    </row>
    <row r="69" spans="1:7" s="2" customFormat="1" x14ac:dyDescent="0.2">
      <c r="A69" s="16"/>
      <c r="C69" s="16"/>
      <c r="D69" s="630"/>
      <c r="E69" s="630"/>
      <c r="F69" s="630"/>
      <c r="G69" s="652"/>
    </row>
    <row r="70" spans="1:7" s="2" customFormat="1" x14ac:dyDescent="0.2">
      <c r="A70" s="16"/>
      <c r="C70" s="16"/>
      <c r="D70" s="630"/>
      <c r="E70" s="630"/>
      <c r="F70" s="630"/>
      <c r="G70" s="652"/>
    </row>
    <row r="71" spans="1:7" s="2" customFormat="1" x14ac:dyDescent="0.2">
      <c r="A71" s="16"/>
      <c r="C71" s="16"/>
      <c r="D71" s="630"/>
      <c r="E71" s="630"/>
      <c r="F71" s="630"/>
      <c r="G71" s="652"/>
    </row>
    <row r="72" spans="1:7" s="2" customFormat="1" x14ac:dyDescent="0.2">
      <c r="A72" s="16"/>
      <c r="D72" s="630"/>
      <c r="E72" s="630"/>
      <c r="F72" s="630"/>
      <c r="G72" s="652"/>
    </row>
    <row r="73" spans="1:7" s="2" customFormat="1" x14ac:dyDescent="0.2">
      <c r="A73" s="16"/>
      <c r="D73" s="630"/>
      <c r="E73" s="630"/>
      <c r="F73" s="630"/>
      <c r="G73" s="652"/>
    </row>
    <row r="74" spans="1:7" s="2" customFormat="1" x14ac:dyDescent="0.2">
      <c r="A74" s="16"/>
      <c r="D74" s="630"/>
      <c r="E74" s="630"/>
      <c r="F74" s="630"/>
      <c r="G74" s="652"/>
    </row>
    <row r="75" spans="1:7" s="2" customFormat="1" x14ac:dyDescent="0.2">
      <c r="A75" s="16"/>
      <c r="D75" s="630"/>
      <c r="E75" s="630"/>
      <c r="F75" s="630"/>
      <c r="G75" s="652"/>
    </row>
    <row r="76" spans="1:7" s="2" customFormat="1" x14ac:dyDescent="0.2">
      <c r="A76" s="16"/>
      <c r="D76" s="630"/>
      <c r="E76" s="630"/>
      <c r="F76" s="630"/>
      <c r="G76" s="652"/>
    </row>
    <row r="77" spans="1:7" s="2" customFormat="1" x14ac:dyDescent="0.2">
      <c r="A77" s="16"/>
      <c r="D77" s="630"/>
      <c r="E77" s="630"/>
      <c r="F77" s="630"/>
      <c r="G77" s="652"/>
    </row>
    <row r="78" spans="1:7" s="2" customFormat="1" x14ac:dyDescent="0.2">
      <c r="A78" s="16"/>
      <c r="D78" s="630"/>
      <c r="E78" s="630"/>
      <c r="F78" s="630"/>
      <c r="G78" s="652"/>
    </row>
    <row r="79" spans="1:7" s="2" customFormat="1" x14ac:dyDescent="0.2">
      <c r="A79" s="16"/>
      <c r="D79" s="630"/>
      <c r="E79" s="630"/>
      <c r="F79" s="630"/>
      <c r="G79" s="652"/>
    </row>
    <row r="80" spans="1:7" s="2" customFormat="1" x14ac:dyDescent="0.2">
      <c r="A80" s="16"/>
      <c r="D80" s="630"/>
      <c r="E80" s="630"/>
      <c r="F80" s="630"/>
      <c r="G80" s="652"/>
    </row>
    <row r="81" spans="1:7" s="2" customFormat="1" x14ac:dyDescent="0.2">
      <c r="A81" s="16"/>
      <c r="D81" s="630"/>
      <c r="E81" s="630"/>
      <c r="F81" s="630"/>
      <c r="G81" s="652"/>
    </row>
    <row r="82" spans="1:7" s="2" customFormat="1" x14ac:dyDescent="0.2">
      <c r="A82" s="16"/>
      <c r="D82" s="630"/>
      <c r="E82" s="630"/>
      <c r="F82" s="630"/>
      <c r="G82" s="652"/>
    </row>
    <row r="83" spans="1:7" s="2" customFormat="1" x14ac:dyDescent="0.2">
      <c r="A83" s="16"/>
      <c r="D83" s="630"/>
      <c r="E83" s="630"/>
      <c r="F83" s="630"/>
      <c r="G83" s="652"/>
    </row>
    <row r="84" spans="1:7" s="2" customFormat="1" x14ac:dyDescent="0.2">
      <c r="A84" s="16"/>
      <c r="D84" s="630"/>
      <c r="E84" s="630"/>
      <c r="F84" s="630"/>
      <c r="G84" s="652"/>
    </row>
    <row r="85" spans="1:7" s="2" customFormat="1" x14ac:dyDescent="0.2">
      <c r="A85" s="16"/>
      <c r="D85" s="630"/>
      <c r="E85" s="630"/>
      <c r="F85" s="630"/>
      <c r="G85" s="652"/>
    </row>
    <row r="86" spans="1:7" s="2" customFormat="1" x14ac:dyDescent="0.2">
      <c r="A86" s="16"/>
      <c r="D86" s="630"/>
      <c r="E86" s="630"/>
      <c r="F86" s="630"/>
      <c r="G86" s="652"/>
    </row>
    <row r="87" spans="1:7" s="2" customFormat="1" x14ac:dyDescent="0.2">
      <c r="A87" s="16"/>
      <c r="D87" s="630"/>
      <c r="E87" s="630"/>
      <c r="F87" s="630"/>
      <c r="G87" s="652"/>
    </row>
    <row r="88" spans="1:7" s="2" customFormat="1" x14ac:dyDescent="0.2">
      <c r="A88" s="16"/>
      <c r="D88" s="630"/>
      <c r="E88" s="630"/>
      <c r="F88" s="630"/>
      <c r="G88" s="652"/>
    </row>
    <row r="89" spans="1:7" s="2" customFormat="1" x14ac:dyDescent="0.2">
      <c r="A89" s="16"/>
      <c r="D89" s="630"/>
      <c r="E89" s="630"/>
      <c r="F89" s="630"/>
      <c r="G89" s="652"/>
    </row>
    <row r="90" spans="1:7" s="2" customFormat="1" x14ac:dyDescent="0.2">
      <c r="A90" s="16"/>
      <c r="D90" s="630"/>
      <c r="E90" s="630"/>
      <c r="F90" s="630"/>
      <c r="G90" s="652"/>
    </row>
    <row r="91" spans="1:7" s="2" customFormat="1" x14ac:dyDescent="0.2">
      <c r="A91" s="16"/>
      <c r="D91" s="630"/>
      <c r="E91" s="630"/>
      <c r="F91" s="630"/>
      <c r="G91" s="652"/>
    </row>
    <row r="92" spans="1:7" s="2" customFormat="1" x14ac:dyDescent="0.2">
      <c r="A92" s="16"/>
      <c r="D92" s="630"/>
      <c r="E92" s="630"/>
      <c r="F92" s="630"/>
      <c r="G92" s="652"/>
    </row>
    <row r="93" spans="1:7" s="2" customFormat="1" x14ac:dyDescent="0.2">
      <c r="A93" s="16"/>
      <c r="D93" s="630"/>
      <c r="E93" s="630"/>
      <c r="F93" s="630"/>
      <c r="G93" s="652"/>
    </row>
    <row r="94" spans="1:7" s="2" customFormat="1" x14ac:dyDescent="0.2">
      <c r="A94" s="16"/>
      <c r="D94" s="630"/>
      <c r="E94" s="630"/>
      <c r="F94" s="630"/>
      <c r="G94" s="652"/>
    </row>
    <row r="95" spans="1:7" s="2" customFormat="1" x14ac:dyDescent="0.2">
      <c r="A95" s="16"/>
      <c r="D95" s="630"/>
      <c r="E95" s="630"/>
      <c r="F95" s="630"/>
      <c r="G95" s="652"/>
    </row>
    <row r="96" spans="1:7" s="2" customFormat="1" x14ac:dyDescent="0.2">
      <c r="A96" s="16"/>
      <c r="D96" s="630"/>
      <c r="E96" s="630"/>
      <c r="F96" s="630"/>
      <c r="G96" s="652"/>
    </row>
    <row r="97" spans="1:7" s="2" customFormat="1" x14ac:dyDescent="0.2">
      <c r="A97" s="16"/>
      <c r="D97" s="630"/>
      <c r="E97" s="630"/>
      <c r="F97" s="630"/>
      <c r="G97" s="652"/>
    </row>
    <row r="98" spans="1:7" s="2" customFormat="1" x14ac:dyDescent="0.2">
      <c r="A98" s="16"/>
      <c r="D98" s="630"/>
      <c r="E98" s="630"/>
      <c r="F98" s="630"/>
      <c r="G98" s="652"/>
    </row>
    <row r="99" spans="1:7" s="2" customFormat="1" x14ac:dyDescent="0.2">
      <c r="A99" s="16"/>
      <c r="D99" s="630"/>
      <c r="E99" s="630"/>
      <c r="F99" s="630"/>
      <c r="G99" s="652"/>
    </row>
    <row r="100" spans="1:7" s="2" customFormat="1" x14ac:dyDescent="0.2">
      <c r="A100" s="16"/>
      <c r="D100" s="630"/>
      <c r="E100" s="630"/>
      <c r="F100" s="630"/>
      <c r="G100" s="652"/>
    </row>
    <row r="101" spans="1:7" s="2" customFormat="1" x14ac:dyDescent="0.2">
      <c r="A101" s="16"/>
      <c r="D101" s="630"/>
      <c r="E101" s="630"/>
      <c r="F101" s="630"/>
      <c r="G101" s="652"/>
    </row>
    <row r="102" spans="1:7" s="2" customFormat="1" x14ac:dyDescent="0.2">
      <c r="A102" s="16"/>
      <c r="D102" s="630"/>
      <c r="E102" s="630"/>
      <c r="F102" s="630"/>
      <c r="G102" s="652"/>
    </row>
    <row r="103" spans="1:7" s="2" customFormat="1" x14ac:dyDescent="0.2">
      <c r="A103" s="16"/>
      <c r="D103" s="630"/>
      <c r="E103" s="630"/>
      <c r="F103" s="630"/>
      <c r="G103" s="652"/>
    </row>
    <row r="104" spans="1:7" s="2" customFormat="1" x14ac:dyDescent="0.2">
      <c r="A104" s="16"/>
      <c r="D104" s="630"/>
      <c r="E104" s="630"/>
      <c r="F104" s="630"/>
      <c r="G104" s="652"/>
    </row>
    <row r="105" spans="1:7" s="2" customFormat="1" x14ac:dyDescent="0.2">
      <c r="A105" s="16"/>
      <c r="D105" s="630"/>
      <c r="E105" s="630"/>
      <c r="F105" s="630"/>
      <c r="G105" s="652"/>
    </row>
    <row r="106" spans="1:7" s="2" customFormat="1" x14ac:dyDescent="0.2">
      <c r="A106" s="16"/>
      <c r="D106" s="630"/>
      <c r="E106" s="630"/>
      <c r="F106" s="630"/>
      <c r="G106" s="652"/>
    </row>
    <row r="107" spans="1:7" s="2" customFormat="1" x14ac:dyDescent="0.2">
      <c r="A107" s="16"/>
      <c r="D107" s="630"/>
      <c r="E107" s="630"/>
      <c r="F107" s="630"/>
      <c r="G107" s="652"/>
    </row>
    <row r="108" spans="1:7" s="2" customFormat="1" x14ac:dyDescent="0.2">
      <c r="A108" s="16"/>
      <c r="D108" s="630"/>
      <c r="E108" s="630"/>
      <c r="F108" s="630"/>
      <c r="G108" s="652"/>
    </row>
    <row r="109" spans="1:7" s="2" customFormat="1" x14ac:dyDescent="0.2">
      <c r="A109" s="16"/>
      <c r="D109" s="630"/>
      <c r="E109" s="630"/>
      <c r="F109" s="630"/>
      <c r="G109" s="652"/>
    </row>
    <row r="110" spans="1:7" s="2" customFormat="1" x14ac:dyDescent="0.2">
      <c r="A110" s="16"/>
      <c r="D110" s="630"/>
      <c r="E110" s="630"/>
      <c r="F110" s="630"/>
      <c r="G110" s="652"/>
    </row>
    <row r="111" spans="1:7" s="2" customFormat="1" x14ac:dyDescent="0.2">
      <c r="A111" s="16"/>
      <c r="D111" s="630"/>
      <c r="E111" s="630"/>
      <c r="F111" s="630"/>
      <c r="G111" s="652"/>
    </row>
    <row r="112" spans="1:7" s="2" customFormat="1" x14ac:dyDescent="0.2">
      <c r="A112" s="16"/>
      <c r="D112" s="630"/>
      <c r="E112" s="630"/>
      <c r="F112" s="630"/>
      <c r="G112" s="652"/>
    </row>
    <row r="113" spans="1:7" s="2" customFormat="1" x14ac:dyDescent="0.2">
      <c r="A113" s="16"/>
      <c r="D113" s="630"/>
      <c r="E113" s="630"/>
      <c r="F113" s="630"/>
      <c r="G113" s="652"/>
    </row>
    <row r="114" spans="1:7" s="2" customFormat="1" x14ac:dyDescent="0.2">
      <c r="A114" s="16"/>
      <c r="D114" s="630"/>
      <c r="E114" s="630"/>
      <c r="F114" s="630"/>
      <c r="G114" s="652"/>
    </row>
    <row r="115" spans="1:7" s="2" customFormat="1" x14ac:dyDescent="0.2">
      <c r="A115" s="16"/>
      <c r="D115" s="630"/>
      <c r="E115" s="630"/>
      <c r="F115" s="630"/>
      <c r="G115" s="652"/>
    </row>
    <row r="116" spans="1:7" s="2" customFormat="1" x14ac:dyDescent="0.2">
      <c r="A116" s="16"/>
      <c r="D116" s="630"/>
      <c r="E116" s="630"/>
      <c r="F116" s="630"/>
      <c r="G116" s="652"/>
    </row>
    <row r="117" spans="1:7" s="2" customFormat="1" x14ac:dyDescent="0.2">
      <c r="A117" s="16"/>
      <c r="D117" s="630"/>
      <c r="E117" s="630"/>
      <c r="F117" s="630"/>
      <c r="G117" s="652"/>
    </row>
    <row r="118" spans="1:7" s="2" customFormat="1" x14ac:dyDescent="0.2">
      <c r="A118" s="16"/>
      <c r="D118" s="630"/>
      <c r="E118" s="630"/>
      <c r="F118" s="630"/>
      <c r="G118" s="652"/>
    </row>
    <row r="119" spans="1:7" s="2" customFormat="1" x14ac:dyDescent="0.2">
      <c r="A119" s="16"/>
      <c r="D119" s="630"/>
      <c r="E119" s="630"/>
      <c r="F119" s="630"/>
      <c r="G119" s="652"/>
    </row>
    <row r="120" spans="1:7" s="2" customFormat="1" x14ac:dyDescent="0.2">
      <c r="A120" s="16"/>
      <c r="D120" s="630"/>
      <c r="E120" s="630"/>
      <c r="F120" s="630"/>
      <c r="G120" s="652"/>
    </row>
    <row r="121" spans="1:7" s="2" customFormat="1" x14ac:dyDescent="0.2">
      <c r="A121" s="16"/>
      <c r="D121" s="630"/>
      <c r="E121" s="630"/>
      <c r="F121" s="630"/>
      <c r="G121" s="652"/>
    </row>
    <row r="122" spans="1:7" s="2" customFormat="1" x14ac:dyDescent="0.2">
      <c r="A122" s="16"/>
      <c r="D122" s="630"/>
      <c r="E122" s="630"/>
      <c r="F122" s="630"/>
      <c r="G122" s="652"/>
    </row>
    <row r="123" spans="1:7" s="2" customFormat="1" x14ac:dyDescent="0.2">
      <c r="A123" s="16"/>
      <c r="D123" s="630"/>
      <c r="E123" s="630"/>
      <c r="F123" s="630"/>
      <c r="G123" s="652"/>
    </row>
    <row r="124" spans="1:7" s="2" customFormat="1" x14ac:dyDescent="0.2">
      <c r="A124" s="16"/>
      <c r="D124" s="630"/>
      <c r="E124" s="630"/>
      <c r="F124" s="630"/>
      <c r="G124" s="652"/>
    </row>
    <row r="125" spans="1:7" s="2" customFormat="1" x14ac:dyDescent="0.2">
      <c r="A125" s="16"/>
      <c r="D125" s="630"/>
      <c r="E125" s="630"/>
      <c r="F125" s="630"/>
      <c r="G125" s="652"/>
    </row>
    <row r="126" spans="1:7" s="2" customFormat="1" x14ac:dyDescent="0.2">
      <c r="A126" s="16"/>
      <c r="D126" s="630"/>
      <c r="E126" s="630"/>
      <c r="F126" s="630"/>
      <c r="G126" s="652"/>
    </row>
    <row r="127" spans="1:7" s="2" customFormat="1" x14ac:dyDescent="0.2">
      <c r="A127" s="16"/>
      <c r="D127" s="630"/>
      <c r="E127" s="630"/>
      <c r="F127" s="630"/>
      <c r="G127" s="652"/>
    </row>
    <row r="128" spans="1:7" s="2" customFormat="1" x14ac:dyDescent="0.2">
      <c r="A128" s="16"/>
      <c r="D128" s="630"/>
      <c r="E128" s="630"/>
      <c r="F128" s="630"/>
      <c r="G128" s="652"/>
    </row>
    <row r="129" spans="1:7" s="2" customFormat="1" x14ac:dyDescent="0.2">
      <c r="A129" s="16"/>
      <c r="D129" s="630"/>
      <c r="E129" s="630"/>
      <c r="F129" s="630"/>
      <c r="G129" s="652"/>
    </row>
    <row r="130" spans="1:7" s="2" customFormat="1" x14ac:dyDescent="0.2">
      <c r="A130" s="16"/>
      <c r="D130" s="630"/>
      <c r="E130" s="630"/>
      <c r="F130" s="630"/>
      <c r="G130" s="652"/>
    </row>
    <row r="131" spans="1:7" s="2" customFormat="1" x14ac:dyDescent="0.2">
      <c r="A131" s="16"/>
      <c r="D131" s="630"/>
      <c r="E131" s="630"/>
      <c r="F131" s="630"/>
      <c r="G131" s="652"/>
    </row>
    <row r="132" spans="1:7" s="2" customFormat="1" x14ac:dyDescent="0.2">
      <c r="A132" s="16"/>
      <c r="D132" s="630"/>
      <c r="E132" s="630"/>
      <c r="F132" s="630"/>
      <c r="G132" s="652"/>
    </row>
    <row r="133" spans="1:7" s="2" customFormat="1" x14ac:dyDescent="0.2">
      <c r="A133" s="16"/>
      <c r="D133" s="630"/>
      <c r="E133" s="630"/>
      <c r="F133" s="630"/>
      <c r="G133" s="652"/>
    </row>
    <row r="134" spans="1:7" s="2" customFormat="1" x14ac:dyDescent="0.2">
      <c r="A134" s="16"/>
      <c r="D134" s="630"/>
      <c r="E134" s="630"/>
      <c r="F134" s="630"/>
      <c r="G134" s="652"/>
    </row>
    <row r="135" spans="1:7" s="2" customFormat="1" x14ac:dyDescent="0.2">
      <c r="A135" s="16"/>
      <c r="D135" s="630"/>
      <c r="E135" s="630"/>
      <c r="F135" s="630"/>
      <c r="G135" s="652"/>
    </row>
    <row r="136" spans="1:7" s="2" customFormat="1" x14ac:dyDescent="0.2">
      <c r="A136" s="16"/>
      <c r="D136" s="630"/>
      <c r="E136" s="630"/>
      <c r="F136" s="630"/>
      <c r="G136" s="652"/>
    </row>
    <row r="137" spans="1:7" s="2" customFormat="1" x14ac:dyDescent="0.2">
      <c r="A137" s="16"/>
      <c r="D137" s="630"/>
      <c r="E137" s="630"/>
      <c r="F137" s="630"/>
      <c r="G137" s="652"/>
    </row>
    <row r="138" spans="1:7" s="2" customFormat="1" x14ac:dyDescent="0.2">
      <c r="A138" s="16"/>
      <c r="D138" s="630"/>
      <c r="E138" s="630"/>
      <c r="F138" s="630"/>
      <c r="G138" s="652"/>
    </row>
    <row r="139" spans="1:7" s="2" customFormat="1" x14ac:dyDescent="0.2">
      <c r="A139" s="16"/>
      <c r="D139" s="630"/>
      <c r="E139" s="630"/>
      <c r="F139" s="630"/>
      <c r="G139" s="652"/>
    </row>
    <row r="140" spans="1:7" s="2" customFormat="1" x14ac:dyDescent="0.2">
      <c r="A140" s="16"/>
      <c r="D140" s="630"/>
      <c r="E140" s="630"/>
      <c r="F140" s="630"/>
      <c r="G140" s="652"/>
    </row>
    <row r="141" spans="1:7" s="2" customFormat="1" x14ac:dyDescent="0.2">
      <c r="A141" s="16"/>
      <c r="D141" s="630"/>
      <c r="E141" s="630"/>
      <c r="F141" s="630"/>
      <c r="G141" s="652"/>
    </row>
    <row r="142" spans="1:7" s="2" customFormat="1" x14ac:dyDescent="0.2">
      <c r="A142" s="16"/>
      <c r="D142" s="630"/>
      <c r="E142" s="630"/>
      <c r="F142" s="630"/>
      <c r="G142" s="652"/>
    </row>
    <row r="143" spans="1:7" s="2" customFormat="1" x14ac:dyDescent="0.2">
      <c r="A143" s="16"/>
      <c r="D143" s="630"/>
      <c r="E143" s="630"/>
      <c r="F143" s="630"/>
      <c r="G143" s="652"/>
    </row>
    <row r="144" spans="1:7" s="2" customFormat="1" x14ac:dyDescent="0.2">
      <c r="A144" s="16"/>
      <c r="D144" s="630"/>
      <c r="E144" s="630"/>
      <c r="F144" s="630"/>
      <c r="G144" s="652"/>
    </row>
    <row r="145" spans="1:7" s="2" customFormat="1" x14ac:dyDescent="0.2">
      <c r="A145" s="16"/>
      <c r="D145" s="630"/>
      <c r="E145" s="630"/>
      <c r="F145" s="630"/>
      <c r="G145" s="652"/>
    </row>
    <row r="146" spans="1:7" s="2" customFormat="1" x14ac:dyDescent="0.2">
      <c r="A146" s="16"/>
      <c r="D146" s="630"/>
      <c r="E146" s="630"/>
      <c r="F146" s="630"/>
      <c r="G146" s="652"/>
    </row>
    <row r="147" spans="1:7" s="2" customFormat="1" x14ac:dyDescent="0.2">
      <c r="A147" s="16"/>
      <c r="D147" s="630"/>
      <c r="E147" s="630"/>
      <c r="F147" s="630"/>
      <c r="G147" s="652"/>
    </row>
    <row r="148" spans="1:7" s="2" customFormat="1" x14ac:dyDescent="0.2">
      <c r="A148" s="16"/>
      <c r="D148" s="630"/>
      <c r="E148" s="630"/>
      <c r="F148" s="630"/>
      <c r="G148" s="652"/>
    </row>
    <row r="149" spans="1:7" s="2" customFormat="1" x14ac:dyDescent="0.2">
      <c r="A149" s="16"/>
      <c r="D149" s="630"/>
      <c r="E149" s="630"/>
      <c r="F149" s="630"/>
      <c r="G149" s="652"/>
    </row>
    <row r="150" spans="1:7" s="2" customFormat="1" x14ac:dyDescent="0.2">
      <c r="A150" s="16"/>
      <c r="D150" s="630"/>
      <c r="E150" s="630"/>
      <c r="F150" s="630"/>
      <c r="G150" s="652"/>
    </row>
    <row r="151" spans="1:7" s="2" customFormat="1" x14ac:dyDescent="0.2">
      <c r="A151" s="16"/>
      <c r="D151" s="630"/>
      <c r="E151" s="630"/>
      <c r="F151" s="630"/>
      <c r="G151" s="652"/>
    </row>
    <row r="152" spans="1:7" s="2" customFormat="1" x14ac:dyDescent="0.2">
      <c r="A152" s="16"/>
      <c r="D152" s="630"/>
      <c r="E152" s="630"/>
      <c r="F152" s="630"/>
      <c r="G152" s="652"/>
    </row>
    <row r="153" spans="1:7" s="2" customFormat="1" x14ac:dyDescent="0.2">
      <c r="A153" s="16"/>
      <c r="D153" s="630"/>
      <c r="E153" s="630"/>
      <c r="F153" s="630"/>
      <c r="G153" s="652"/>
    </row>
    <row r="154" spans="1:7" s="2" customFormat="1" x14ac:dyDescent="0.2">
      <c r="A154" s="16"/>
      <c r="D154" s="630"/>
      <c r="E154" s="630"/>
      <c r="F154" s="630"/>
      <c r="G154" s="652"/>
    </row>
    <row r="155" spans="1:7" s="2" customFormat="1" x14ac:dyDescent="0.2">
      <c r="A155" s="16"/>
      <c r="D155" s="630"/>
      <c r="E155" s="630"/>
      <c r="F155" s="630"/>
      <c r="G155" s="652"/>
    </row>
    <row r="156" spans="1:7" s="2" customFormat="1" x14ac:dyDescent="0.2">
      <c r="A156" s="16"/>
      <c r="D156" s="630"/>
      <c r="E156" s="630"/>
      <c r="F156" s="630"/>
      <c r="G156" s="652"/>
    </row>
    <row r="157" spans="1:7" s="2" customFormat="1" x14ac:dyDescent="0.2">
      <c r="A157" s="16"/>
      <c r="D157" s="630"/>
      <c r="E157" s="630"/>
      <c r="F157" s="630"/>
      <c r="G157" s="652"/>
    </row>
    <row r="158" spans="1:7" s="2" customFormat="1" x14ac:dyDescent="0.2">
      <c r="A158" s="16"/>
      <c r="D158" s="630"/>
      <c r="E158" s="630"/>
      <c r="F158" s="630"/>
      <c r="G158" s="652"/>
    </row>
    <row r="159" spans="1:7" s="2" customFormat="1" x14ac:dyDescent="0.2">
      <c r="A159" s="16"/>
      <c r="D159" s="630"/>
      <c r="E159" s="630"/>
      <c r="F159" s="630"/>
      <c r="G159" s="652"/>
    </row>
    <row r="160" spans="1:7" s="2" customFormat="1" x14ac:dyDescent="0.2">
      <c r="A160" s="16"/>
      <c r="D160" s="630"/>
      <c r="E160" s="630"/>
      <c r="F160" s="630"/>
      <c r="G160" s="652"/>
    </row>
    <row r="161" spans="1:7" s="2" customFormat="1" x14ac:dyDescent="0.2">
      <c r="A161" s="16"/>
      <c r="D161" s="630"/>
      <c r="E161" s="630"/>
      <c r="F161" s="630"/>
      <c r="G161" s="652"/>
    </row>
    <row r="162" spans="1:7" s="2" customFormat="1" x14ac:dyDescent="0.2">
      <c r="A162" s="16"/>
      <c r="D162" s="630"/>
      <c r="E162" s="630"/>
      <c r="F162" s="630"/>
      <c r="G162" s="652"/>
    </row>
    <row r="163" spans="1:7" s="2" customFormat="1" x14ac:dyDescent="0.2">
      <c r="A163" s="16"/>
      <c r="D163" s="630"/>
      <c r="E163" s="630"/>
      <c r="F163" s="630"/>
      <c r="G163" s="652"/>
    </row>
    <row r="164" spans="1:7" s="2" customFormat="1" x14ac:dyDescent="0.2">
      <c r="A164" s="16"/>
      <c r="D164" s="630"/>
      <c r="E164" s="630"/>
      <c r="F164" s="630"/>
      <c r="G164" s="652"/>
    </row>
    <row r="165" spans="1:7" s="2" customFormat="1" x14ac:dyDescent="0.2">
      <c r="A165" s="16"/>
      <c r="D165" s="630"/>
      <c r="E165" s="630"/>
      <c r="F165" s="630"/>
      <c r="G165" s="652"/>
    </row>
    <row r="166" spans="1:7" s="2" customFormat="1" x14ac:dyDescent="0.2">
      <c r="A166" s="16"/>
      <c r="D166" s="630"/>
      <c r="E166" s="630"/>
      <c r="F166" s="630"/>
      <c r="G166" s="652"/>
    </row>
    <row r="167" spans="1:7" s="2" customFormat="1" x14ac:dyDescent="0.2">
      <c r="A167" s="16"/>
      <c r="D167" s="630"/>
      <c r="E167" s="630"/>
      <c r="F167" s="630"/>
      <c r="G167" s="652"/>
    </row>
    <row r="168" spans="1:7" s="2" customFormat="1" x14ac:dyDescent="0.2">
      <c r="A168" s="16"/>
      <c r="D168" s="630"/>
      <c r="E168" s="630"/>
      <c r="F168" s="630"/>
      <c r="G168" s="652"/>
    </row>
    <row r="169" spans="1:7" s="2" customFormat="1" x14ac:dyDescent="0.2">
      <c r="A169" s="16"/>
      <c r="D169" s="630"/>
      <c r="E169" s="630"/>
      <c r="F169" s="630"/>
      <c r="G169" s="652"/>
    </row>
    <row r="170" spans="1:7" s="2" customFormat="1" x14ac:dyDescent="0.2">
      <c r="A170" s="16"/>
      <c r="D170" s="630"/>
      <c r="E170" s="630"/>
      <c r="F170" s="630"/>
      <c r="G170" s="652"/>
    </row>
    <row r="171" spans="1:7" s="2" customFormat="1" x14ac:dyDescent="0.2">
      <c r="A171" s="16"/>
      <c r="D171" s="630"/>
      <c r="E171" s="630"/>
      <c r="F171" s="630"/>
      <c r="G171" s="652"/>
    </row>
    <row r="172" spans="1:7" s="2" customFormat="1" x14ac:dyDescent="0.2">
      <c r="A172" s="16"/>
      <c r="D172" s="630"/>
      <c r="E172" s="630"/>
      <c r="F172" s="630"/>
      <c r="G172" s="652"/>
    </row>
    <row r="173" spans="1:7" s="2" customFormat="1" x14ac:dyDescent="0.2">
      <c r="A173" s="16"/>
      <c r="D173" s="630"/>
      <c r="E173" s="630"/>
      <c r="F173" s="630"/>
      <c r="G173" s="652"/>
    </row>
    <row r="174" spans="1:7" s="2" customFormat="1" x14ac:dyDescent="0.2">
      <c r="A174" s="16"/>
      <c r="D174" s="630"/>
      <c r="E174" s="630"/>
      <c r="F174" s="630"/>
      <c r="G174" s="652"/>
    </row>
    <row r="175" spans="1:7" s="2" customFormat="1" x14ac:dyDescent="0.2">
      <c r="A175" s="16"/>
      <c r="D175" s="630"/>
      <c r="E175" s="630"/>
      <c r="F175" s="630"/>
      <c r="G175" s="652"/>
    </row>
    <row r="176" spans="1:7" s="2" customFormat="1" x14ac:dyDescent="0.2">
      <c r="A176" s="16"/>
      <c r="D176" s="630"/>
      <c r="E176" s="630"/>
      <c r="F176" s="630"/>
      <c r="G176" s="652"/>
    </row>
    <row r="177" spans="1:7" s="2" customFormat="1" x14ac:dyDescent="0.2">
      <c r="A177" s="16"/>
      <c r="D177" s="630"/>
      <c r="E177" s="630"/>
      <c r="F177" s="630"/>
      <c r="G177" s="652"/>
    </row>
    <row r="178" spans="1:7" s="2" customFormat="1" x14ac:dyDescent="0.2">
      <c r="A178" s="16"/>
      <c r="D178" s="630"/>
      <c r="E178" s="630"/>
      <c r="F178" s="630"/>
      <c r="G178" s="652"/>
    </row>
    <row r="179" spans="1:7" s="2" customFormat="1" x14ac:dyDescent="0.2">
      <c r="A179" s="16"/>
      <c r="D179" s="630"/>
      <c r="E179" s="630"/>
      <c r="F179" s="630"/>
      <c r="G179" s="652"/>
    </row>
    <row r="180" spans="1:7" s="2" customFormat="1" x14ac:dyDescent="0.2">
      <c r="A180" s="16"/>
      <c r="D180" s="630"/>
      <c r="E180" s="630"/>
      <c r="F180" s="630"/>
      <c r="G180" s="652"/>
    </row>
    <row r="181" spans="1:7" s="2" customFormat="1" x14ac:dyDescent="0.2">
      <c r="A181" s="16"/>
      <c r="D181" s="630"/>
      <c r="E181" s="630"/>
      <c r="F181" s="630"/>
      <c r="G181" s="652"/>
    </row>
    <row r="182" spans="1:7" s="2" customFormat="1" x14ac:dyDescent="0.2">
      <c r="A182" s="16"/>
      <c r="D182" s="630"/>
      <c r="E182" s="630"/>
      <c r="F182" s="630"/>
      <c r="G182" s="652"/>
    </row>
    <row r="183" spans="1:7" s="2" customFormat="1" x14ac:dyDescent="0.2">
      <c r="A183" s="16"/>
      <c r="D183" s="630"/>
      <c r="E183" s="630"/>
      <c r="F183" s="630"/>
      <c r="G183" s="652"/>
    </row>
    <row r="184" spans="1:7" s="2" customFormat="1" x14ac:dyDescent="0.2">
      <c r="A184" s="16"/>
      <c r="D184" s="630"/>
      <c r="E184" s="630"/>
      <c r="F184" s="630"/>
      <c r="G184" s="652"/>
    </row>
    <row r="185" spans="1:7" s="2" customFormat="1" x14ac:dyDescent="0.2">
      <c r="A185" s="16"/>
      <c r="D185" s="630"/>
      <c r="E185" s="630"/>
      <c r="F185" s="630"/>
      <c r="G185" s="652"/>
    </row>
    <row r="186" spans="1:7" s="2" customFormat="1" x14ac:dyDescent="0.2">
      <c r="A186" s="16"/>
      <c r="D186" s="630"/>
      <c r="E186" s="630"/>
      <c r="F186" s="630"/>
      <c r="G186" s="652"/>
    </row>
    <row r="187" spans="1:7" s="2" customFormat="1" x14ac:dyDescent="0.2">
      <c r="A187" s="16"/>
      <c r="D187" s="630"/>
      <c r="E187" s="630"/>
      <c r="F187" s="630"/>
      <c r="G187" s="652"/>
    </row>
    <row r="188" spans="1:7" s="2" customFormat="1" x14ac:dyDescent="0.2">
      <c r="A188" s="16"/>
      <c r="D188" s="630"/>
      <c r="E188" s="630"/>
      <c r="F188" s="630"/>
      <c r="G188" s="652"/>
    </row>
    <row r="189" spans="1:7" s="2" customFormat="1" x14ac:dyDescent="0.2">
      <c r="A189" s="16"/>
      <c r="D189" s="630"/>
      <c r="E189" s="630"/>
      <c r="F189" s="630"/>
      <c r="G189" s="652"/>
    </row>
    <row r="190" spans="1:7" s="2" customFormat="1" x14ac:dyDescent="0.2">
      <c r="A190" s="16"/>
      <c r="D190" s="630"/>
      <c r="E190" s="630"/>
      <c r="F190" s="630"/>
      <c r="G190" s="652"/>
    </row>
    <row r="191" spans="1:7" s="2" customFormat="1" x14ac:dyDescent="0.2">
      <c r="A191" s="16"/>
      <c r="D191" s="630"/>
      <c r="E191" s="630"/>
      <c r="F191" s="630"/>
      <c r="G191" s="652"/>
    </row>
    <row r="192" spans="1:7" s="2" customFormat="1" x14ac:dyDescent="0.2">
      <c r="A192" s="16"/>
      <c r="D192" s="630"/>
      <c r="E192" s="630"/>
      <c r="F192" s="630"/>
      <c r="G192" s="652"/>
    </row>
    <row r="193" spans="1:7" s="2" customFormat="1" x14ac:dyDescent="0.2">
      <c r="A193" s="16"/>
      <c r="D193" s="630"/>
      <c r="E193" s="630"/>
      <c r="F193" s="630"/>
      <c r="G193" s="652"/>
    </row>
    <row r="194" spans="1:7" s="2" customFormat="1" x14ac:dyDescent="0.2">
      <c r="A194" s="16"/>
      <c r="D194" s="630"/>
      <c r="E194" s="630"/>
      <c r="F194" s="630"/>
      <c r="G194" s="652"/>
    </row>
    <row r="195" spans="1:7" s="2" customFormat="1" x14ac:dyDescent="0.2">
      <c r="A195" s="16"/>
      <c r="D195" s="630"/>
      <c r="E195" s="630"/>
      <c r="F195" s="630"/>
      <c r="G195" s="652"/>
    </row>
    <row r="196" spans="1:7" s="2" customFormat="1" x14ac:dyDescent="0.2">
      <c r="A196" s="16"/>
      <c r="D196" s="630"/>
      <c r="E196" s="630"/>
      <c r="F196" s="630"/>
      <c r="G196" s="652"/>
    </row>
    <row r="197" spans="1:7" s="2" customFormat="1" x14ac:dyDescent="0.2">
      <c r="A197" s="16"/>
      <c r="D197" s="630"/>
      <c r="E197" s="630"/>
      <c r="F197" s="630"/>
      <c r="G197" s="652"/>
    </row>
    <row r="198" spans="1:7" s="2" customFormat="1" x14ac:dyDescent="0.2">
      <c r="A198" s="16"/>
      <c r="D198" s="630"/>
      <c r="E198" s="630"/>
      <c r="F198" s="630"/>
      <c r="G198" s="652"/>
    </row>
    <row r="199" spans="1:7" s="2" customFormat="1" x14ac:dyDescent="0.2">
      <c r="A199" s="16"/>
      <c r="D199" s="630"/>
      <c r="E199" s="630"/>
      <c r="F199" s="630"/>
      <c r="G199" s="652"/>
    </row>
    <row r="200" spans="1:7" s="2" customFormat="1" x14ac:dyDescent="0.2">
      <c r="A200" s="16"/>
      <c r="D200" s="630"/>
      <c r="E200" s="630"/>
      <c r="F200" s="630"/>
      <c r="G200" s="652"/>
    </row>
    <row r="201" spans="1:7" s="2" customFormat="1" x14ac:dyDescent="0.2">
      <c r="A201" s="16"/>
      <c r="D201" s="630"/>
      <c r="E201" s="630"/>
      <c r="F201" s="630"/>
      <c r="G201" s="652"/>
    </row>
    <row r="202" spans="1:7" s="2" customFormat="1" x14ac:dyDescent="0.2">
      <c r="A202" s="16"/>
      <c r="D202" s="630"/>
      <c r="E202" s="630"/>
      <c r="F202" s="630"/>
      <c r="G202" s="652"/>
    </row>
    <row r="203" spans="1:7" s="2" customFormat="1" x14ac:dyDescent="0.2">
      <c r="A203" s="16"/>
      <c r="D203" s="630"/>
      <c r="E203" s="630"/>
      <c r="F203" s="630"/>
      <c r="G203" s="652"/>
    </row>
    <row r="204" spans="1:7" s="2" customFormat="1" x14ac:dyDescent="0.2">
      <c r="A204" s="16"/>
      <c r="D204" s="630"/>
      <c r="E204" s="630"/>
      <c r="F204" s="630"/>
      <c r="G204" s="652"/>
    </row>
    <row r="205" spans="1:7" s="2" customFormat="1" x14ac:dyDescent="0.2">
      <c r="A205" s="16"/>
      <c r="D205" s="630"/>
      <c r="E205" s="630"/>
      <c r="F205" s="630"/>
      <c r="G205" s="652"/>
    </row>
    <row r="206" spans="1:7" s="2" customFormat="1" x14ac:dyDescent="0.2">
      <c r="A206" s="16"/>
      <c r="D206" s="630"/>
      <c r="E206" s="630"/>
      <c r="F206" s="630"/>
      <c r="G206" s="652"/>
    </row>
    <row r="207" spans="1:7" s="2" customFormat="1" x14ac:dyDescent="0.2">
      <c r="A207" s="16"/>
      <c r="D207" s="630"/>
      <c r="E207" s="630"/>
      <c r="F207" s="630"/>
      <c r="G207" s="652"/>
    </row>
    <row r="208" spans="1:7" s="2" customFormat="1" x14ac:dyDescent="0.2">
      <c r="A208" s="16"/>
      <c r="D208" s="630"/>
      <c r="E208" s="630"/>
      <c r="F208" s="630"/>
      <c r="G208" s="652"/>
    </row>
    <row r="209" spans="1:7" s="2" customFormat="1" x14ac:dyDescent="0.2">
      <c r="A209" s="16"/>
      <c r="D209" s="630"/>
      <c r="E209" s="630"/>
      <c r="F209" s="630"/>
      <c r="G209" s="652"/>
    </row>
    <row r="210" spans="1:7" s="2" customFormat="1" x14ac:dyDescent="0.2">
      <c r="A210" s="16"/>
      <c r="D210" s="630"/>
      <c r="E210" s="630"/>
      <c r="F210" s="630"/>
      <c r="G210" s="652"/>
    </row>
    <row r="211" spans="1:7" s="2" customFormat="1" x14ac:dyDescent="0.2">
      <c r="A211" s="16"/>
      <c r="D211" s="630"/>
      <c r="E211" s="630"/>
      <c r="F211" s="630"/>
      <c r="G211" s="652"/>
    </row>
    <row r="212" spans="1:7" s="2" customFormat="1" x14ac:dyDescent="0.2">
      <c r="A212" s="16"/>
      <c r="D212" s="630"/>
      <c r="E212" s="630"/>
      <c r="F212" s="630"/>
      <c r="G212" s="652"/>
    </row>
    <row r="213" spans="1:7" s="2" customFormat="1" x14ac:dyDescent="0.2">
      <c r="A213" s="16"/>
      <c r="D213" s="630"/>
      <c r="E213" s="630"/>
      <c r="F213" s="630"/>
      <c r="G213" s="652"/>
    </row>
    <row r="214" spans="1:7" s="2" customFormat="1" x14ac:dyDescent="0.2">
      <c r="A214" s="16"/>
      <c r="D214" s="630"/>
      <c r="E214" s="630"/>
      <c r="F214" s="630"/>
      <c r="G214" s="652"/>
    </row>
    <row r="215" spans="1:7" s="2" customFormat="1" x14ac:dyDescent="0.2">
      <c r="A215" s="16"/>
      <c r="D215" s="630"/>
      <c r="E215" s="630"/>
      <c r="F215" s="630"/>
      <c r="G215" s="652"/>
    </row>
    <row r="216" spans="1:7" s="2" customFormat="1" x14ac:dyDescent="0.2">
      <c r="A216" s="16"/>
      <c r="D216" s="630"/>
      <c r="E216" s="630"/>
      <c r="F216" s="630"/>
      <c r="G216" s="652"/>
    </row>
    <row r="217" spans="1:7" s="2" customFormat="1" x14ac:dyDescent="0.2">
      <c r="A217" s="16"/>
      <c r="D217" s="630"/>
      <c r="E217" s="630"/>
      <c r="F217" s="630"/>
      <c r="G217" s="652"/>
    </row>
    <row r="218" spans="1:7" s="2" customFormat="1" x14ac:dyDescent="0.2">
      <c r="A218" s="16"/>
      <c r="D218" s="630"/>
      <c r="E218" s="630"/>
      <c r="F218" s="630"/>
      <c r="G218" s="652"/>
    </row>
    <row r="219" spans="1:7" s="2" customFormat="1" x14ac:dyDescent="0.2">
      <c r="A219" s="16"/>
      <c r="D219" s="630"/>
      <c r="E219" s="630"/>
      <c r="F219" s="630"/>
      <c r="G219" s="652"/>
    </row>
    <row r="220" spans="1:7" s="2" customFormat="1" x14ac:dyDescent="0.2">
      <c r="A220" s="16"/>
      <c r="D220" s="630"/>
      <c r="E220" s="630"/>
      <c r="F220" s="630"/>
      <c r="G220" s="652"/>
    </row>
    <row r="221" spans="1:7" s="2" customFormat="1" x14ac:dyDescent="0.2">
      <c r="A221" s="16"/>
      <c r="D221" s="630"/>
      <c r="E221" s="630"/>
      <c r="F221" s="630"/>
      <c r="G221" s="652"/>
    </row>
    <row r="222" spans="1:7" s="2" customFormat="1" x14ac:dyDescent="0.2">
      <c r="A222" s="16"/>
      <c r="D222" s="630"/>
      <c r="E222" s="630"/>
      <c r="F222" s="630"/>
      <c r="G222" s="652"/>
    </row>
    <row r="223" spans="1:7" s="2" customFormat="1" x14ac:dyDescent="0.2">
      <c r="A223" s="16"/>
      <c r="D223" s="630"/>
      <c r="E223" s="630"/>
      <c r="F223" s="630"/>
      <c r="G223" s="652"/>
    </row>
    <row r="224" spans="1:7" s="2" customFormat="1" x14ac:dyDescent="0.2">
      <c r="A224" s="16"/>
      <c r="D224" s="630"/>
      <c r="E224" s="630"/>
      <c r="F224" s="630"/>
      <c r="G224" s="652"/>
    </row>
    <row r="225" spans="1:7" s="2" customFormat="1" x14ac:dyDescent="0.2">
      <c r="A225" s="16"/>
      <c r="D225" s="630"/>
      <c r="E225" s="630"/>
      <c r="F225" s="630"/>
      <c r="G225" s="652"/>
    </row>
    <row r="226" spans="1:7" s="2" customFormat="1" x14ac:dyDescent="0.2">
      <c r="A226" s="16"/>
      <c r="D226" s="630"/>
      <c r="E226" s="630"/>
      <c r="F226" s="630"/>
      <c r="G226" s="652"/>
    </row>
    <row r="227" spans="1:7" s="2" customFormat="1" x14ac:dyDescent="0.2">
      <c r="A227" s="16"/>
      <c r="D227" s="630"/>
      <c r="E227" s="630"/>
      <c r="F227" s="630"/>
      <c r="G227" s="652"/>
    </row>
    <row r="228" spans="1:7" s="2" customFormat="1" x14ac:dyDescent="0.2">
      <c r="A228" s="16"/>
      <c r="D228" s="630"/>
      <c r="E228" s="630"/>
      <c r="F228" s="630"/>
      <c r="G228" s="652"/>
    </row>
    <row r="229" spans="1:7" s="2" customFormat="1" x14ac:dyDescent="0.2">
      <c r="A229" s="16"/>
      <c r="D229" s="630"/>
      <c r="E229" s="630"/>
      <c r="F229" s="630"/>
      <c r="G229" s="652"/>
    </row>
    <row r="230" spans="1:7" s="2" customFormat="1" x14ac:dyDescent="0.2">
      <c r="A230" s="16"/>
      <c r="D230" s="630"/>
      <c r="E230" s="630"/>
      <c r="F230" s="630"/>
      <c r="G230" s="652"/>
    </row>
    <row r="231" spans="1:7" s="2" customFormat="1" x14ac:dyDescent="0.2">
      <c r="A231" s="16"/>
      <c r="D231" s="630"/>
      <c r="E231" s="630"/>
      <c r="F231" s="630"/>
      <c r="G231" s="652"/>
    </row>
    <row r="232" spans="1:7" s="2" customFormat="1" x14ac:dyDescent="0.2">
      <c r="A232" s="16"/>
      <c r="D232" s="630"/>
      <c r="E232" s="630"/>
      <c r="F232" s="630"/>
      <c r="G232" s="652"/>
    </row>
    <row r="233" spans="1:7" s="2" customFormat="1" x14ac:dyDescent="0.2">
      <c r="A233" s="16"/>
      <c r="D233" s="630"/>
      <c r="E233" s="630"/>
      <c r="F233" s="630"/>
      <c r="G233" s="652"/>
    </row>
    <row r="234" spans="1:7" s="2" customFormat="1" x14ac:dyDescent="0.2">
      <c r="A234" s="16"/>
      <c r="D234" s="630"/>
      <c r="E234" s="630"/>
      <c r="F234" s="630"/>
      <c r="G234" s="652"/>
    </row>
    <row r="235" spans="1:7" s="2" customFormat="1" x14ac:dyDescent="0.2">
      <c r="A235" s="16"/>
      <c r="D235" s="630"/>
      <c r="E235" s="630"/>
      <c r="F235" s="630"/>
      <c r="G235" s="652"/>
    </row>
    <row r="236" spans="1:7" s="2" customFormat="1" x14ac:dyDescent="0.2">
      <c r="A236" s="16"/>
      <c r="D236" s="630"/>
      <c r="E236" s="630"/>
      <c r="F236" s="630"/>
      <c r="G236" s="652"/>
    </row>
    <row r="237" spans="1:7" s="2" customFormat="1" x14ac:dyDescent="0.2">
      <c r="A237" s="16"/>
      <c r="D237" s="630"/>
      <c r="E237" s="630"/>
      <c r="F237" s="630"/>
      <c r="G237" s="652"/>
    </row>
    <row r="238" spans="1:7" s="2" customFormat="1" x14ac:dyDescent="0.2">
      <c r="A238" s="16"/>
      <c r="D238" s="630"/>
      <c r="E238" s="630"/>
      <c r="F238" s="630"/>
      <c r="G238" s="652"/>
    </row>
    <row r="239" spans="1:7" s="2" customFormat="1" x14ac:dyDescent="0.2">
      <c r="A239" s="16"/>
      <c r="D239" s="630"/>
      <c r="E239" s="630"/>
      <c r="F239" s="630"/>
      <c r="G239" s="652"/>
    </row>
    <row r="240" spans="1:7" s="2" customFormat="1" x14ac:dyDescent="0.2">
      <c r="A240" s="16"/>
      <c r="D240" s="630"/>
      <c r="E240" s="630"/>
      <c r="F240" s="630"/>
      <c r="G240" s="652"/>
    </row>
    <row r="241" spans="1:7" s="2" customFormat="1" x14ac:dyDescent="0.2">
      <c r="A241" s="16"/>
      <c r="D241" s="630"/>
      <c r="E241" s="630"/>
      <c r="F241" s="630"/>
      <c r="G241" s="652"/>
    </row>
    <row r="242" spans="1:7" s="2" customFormat="1" x14ac:dyDescent="0.2">
      <c r="A242" s="16"/>
      <c r="D242" s="630"/>
      <c r="E242" s="630"/>
      <c r="F242" s="630"/>
      <c r="G242" s="652"/>
    </row>
    <row r="243" spans="1:7" s="2" customFormat="1" x14ac:dyDescent="0.2">
      <c r="A243" s="16"/>
      <c r="D243" s="630"/>
      <c r="E243" s="630"/>
      <c r="F243" s="630"/>
      <c r="G243" s="652"/>
    </row>
    <row r="244" spans="1:7" s="2" customFormat="1" x14ac:dyDescent="0.2">
      <c r="A244" s="16"/>
      <c r="D244" s="630"/>
      <c r="E244" s="630"/>
      <c r="F244" s="630"/>
      <c r="G244" s="652"/>
    </row>
    <row r="245" spans="1:7" s="2" customFormat="1" x14ac:dyDescent="0.2">
      <c r="A245" s="16"/>
      <c r="D245" s="630"/>
      <c r="E245" s="630"/>
      <c r="F245" s="630"/>
      <c r="G245" s="652"/>
    </row>
    <row r="246" spans="1:7" s="2" customFormat="1" x14ac:dyDescent="0.2">
      <c r="A246" s="16"/>
      <c r="D246" s="630"/>
      <c r="E246" s="630"/>
      <c r="F246" s="630"/>
      <c r="G246" s="652"/>
    </row>
    <row r="247" spans="1:7" s="2" customFormat="1" x14ac:dyDescent="0.2">
      <c r="A247" s="16"/>
      <c r="D247" s="630"/>
      <c r="E247" s="630"/>
      <c r="F247" s="630"/>
      <c r="G247" s="652"/>
    </row>
    <row r="248" spans="1:7" s="2" customFormat="1" x14ac:dyDescent="0.2">
      <c r="A248" s="16"/>
      <c r="D248" s="630"/>
      <c r="E248" s="630"/>
      <c r="F248" s="630"/>
      <c r="G248" s="652"/>
    </row>
    <row r="249" spans="1:7" s="2" customFormat="1" x14ac:dyDescent="0.2">
      <c r="A249" s="16"/>
      <c r="D249" s="630"/>
      <c r="E249" s="630"/>
      <c r="F249" s="630"/>
      <c r="G249" s="652"/>
    </row>
    <row r="250" spans="1:7" s="2" customFormat="1" x14ac:dyDescent="0.2">
      <c r="A250" s="16"/>
      <c r="D250" s="630"/>
      <c r="E250" s="630"/>
      <c r="F250" s="630"/>
      <c r="G250" s="652"/>
    </row>
    <row r="251" spans="1:7" s="2" customFormat="1" x14ac:dyDescent="0.2">
      <c r="A251" s="16"/>
      <c r="D251" s="630"/>
      <c r="E251" s="630"/>
      <c r="F251" s="630"/>
      <c r="G251" s="652"/>
    </row>
    <row r="252" spans="1:7" s="2" customFormat="1" x14ac:dyDescent="0.2">
      <c r="A252" s="16"/>
      <c r="D252" s="630"/>
      <c r="E252" s="630"/>
      <c r="F252" s="630"/>
      <c r="G252" s="652"/>
    </row>
    <row r="253" spans="1:7" s="2" customFormat="1" x14ac:dyDescent="0.2">
      <c r="A253" s="16"/>
      <c r="D253" s="630"/>
      <c r="E253" s="630"/>
      <c r="F253" s="630"/>
      <c r="G253" s="652"/>
    </row>
    <row r="254" spans="1:7" s="2" customFormat="1" x14ac:dyDescent="0.2">
      <c r="A254" s="16"/>
      <c r="D254" s="630"/>
      <c r="E254" s="630"/>
      <c r="F254" s="630"/>
      <c r="G254" s="652"/>
    </row>
    <row r="255" spans="1:7" s="2" customFormat="1" x14ac:dyDescent="0.2">
      <c r="A255" s="16"/>
      <c r="D255" s="630"/>
      <c r="E255" s="630"/>
      <c r="F255" s="630"/>
      <c r="G255" s="652"/>
    </row>
    <row r="256" spans="1:7" s="2" customFormat="1" x14ac:dyDescent="0.2">
      <c r="A256" s="16"/>
      <c r="D256" s="630"/>
      <c r="E256" s="630"/>
      <c r="F256" s="630"/>
      <c r="G256" s="652"/>
    </row>
    <row r="257" spans="1:7" s="2" customFormat="1" x14ac:dyDescent="0.2">
      <c r="A257" s="16"/>
      <c r="D257" s="630"/>
      <c r="E257" s="630"/>
      <c r="F257" s="630"/>
      <c r="G257" s="652"/>
    </row>
    <row r="258" spans="1:7" s="2" customFormat="1" x14ac:dyDescent="0.2">
      <c r="A258" s="16"/>
      <c r="D258" s="630"/>
      <c r="E258" s="630"/>
      <c r="F258" s="630"/>
      <c r="G258" s="652"/>
    </row>
    <row r="259" spans="1:7" s="2" customFormat="1" x14ac:dyDescent="0.2">
      <c r="A259" s="16"/>
      <c r="D259" s="630"/>
      <c r="E259" s="630"/>
      <c r="F259" s="630"/>
      <c r="G259" s="652"/>
    </row>
    <row r="260" spans="1:7" s="2" customFormat="1" x14ac:dyDescent="0.2">
      <c r="A260" s="16"/>
      <c r="D260" s="630"/>
      <c r="E260" s="630"/>
      <c r="F260" s="630"/>
      <c r="G260" s="652"/>
    </row>
    <row r="261" spans="1:7" s="2" customFormat="1" x14ac:dyDescent="0.2">
      <c r="A261" s="16"/>
      <c r="D261" s="630"/>
      <c r="E261" s="630"/>
      <c r="F261" s="630"/>
      <c r="G261" s="652"/>
    </row>
    <row r="262" spans="1:7" s="2" customFormat="1" x14ac:dyDescent="0.2">
      <c r="A262" s="16"/>
      <c r="D262" s="630"/>
      <c r="E262" s="630"/>
      <c r="F262" s="630"/>
      <c r="G262" s="652"/>
    </row>
    <row r="263" spans="1:7" s="2" customFormat="1" x14ac:dyDescent="0.2">
      <c r="A263" s="16"/>
      <c r="D263" s="630"/>
      <c r="E263" s="630"/>
      <c r="F263" s="630"/>
      <c r="G263" s="652"/>
    </row>
    <row r="264" spans="1:7" s="2" customFormat="1" x14ac:dyDescent="0.2">
      <c r="A264" s="16"/>
      <c r="D264" s="630"/>
      <c r="E264" s="630"/>
      <c r="F264" s="630"/>
      <c r="G264" s="652"/>
    </row>
    <row r="265" spans="1:7" s="2" customFormat="1" x14ac:dyDescent="0.2">
      <c r="A265" s="16"/>
      <c r="D265" s="630"/>
      <c r="E265" s="630"/>
      <c r="F265" s="630"/>
      <c r="G265" s="652"/>
    </row>
    <row r="266" spans="1:7" s="2" customFormat="1" x14ac:dyDescent="0.2">
      <c r="A266" s="16"/>
      <c r="D266" s="630"/>
      <c r="E266" s="630"/>
      <c r="F266" s="630"/>
      <c r="G266" s="652"/>
    </row>
    <row r="267" spans="1:7" s="2" customFormat="1" x14ac:dyDescent="0.2">
      <c r="A267" s="16"/>
      <c r="D267" s="630"/>
      <c r="E267" s="630"/>
      <c r="F267" s="630"/>
      <c r="G267" s="652"/>
    </row>
    <row r="268" spans="1:7" s="2" customFormat="1" x14ac:dyDescent="0.2">
      <c r="A268" s="16"/>
      <c r="D268" s="630"/>
      <c r="E268" s="630"/>
      <c r="F268" s="630"/>
      <c r="G268" s="652"/>
    </row>
    <row r="269" spans="1:7" s="2" customFormat="1" x14ac:dyDescent="0.2">
      <c r="A269" s="16"/>
      <c r="D269" s="630"/>
      <c r="E269" s="630"/>
      <c r="F269" s="630"/>
      <c r="G269" s="652"/>
    </row>
    <row r="270" spans="1:7" s="2" customFormat="1" x14ac:dyDescent="0.2">
      <c r="A270" s="16"/>
      <c r="D270" s="630"/>
      <c r="E270" s="630"/>
      <c r="F270" s="630"/>
      <c r="G270" s="652"/>
    </row>
    <row r="271" spans="1:7" s="2" customFormat="1" x14ac:dyDescent="0.2">
      <c r="A271" s="16"/>
      <c r="D271" s="630"/>
      <c r="E271" s="630"/>
      <c r="F271" s="630"/>
      <c r="G271" s="652"/>
    </row>
    <row r="272" spans="1:7" s="2" customFormat="1" x14ac:dyDescent="0.2">
      <c r="A272" s="16"/>
      <c r="D272" s="630"/>
      <c r="E272" s="630"/>
      <c r="F272" s="630"/>
      <c r="G272" s="652"/>
    </row>
    <row r="273" spans="1:7" s="2" customFormat="1" x14ac:dyDescent="0.2">
      <c r="A273" s="16"/>
      <c r="D273" s="630"/>
      <c r="E273" s="630"/>
      <c r="F273" s="630"/>
      <c r="G273" s="652"/>
    </row>
    <row r="274" spans="1:7" s="2" customFormat="1" x14ac:dyDescent="0.2">
      <c r="A274" s="16"/>
      <c r="D274" s="630"/>
      <c r="E274" s="630"/>
      <c r="F274" s="630"/>
      <c r="G274" s="652"/>
    </row>
    <row r="275" spans="1:7" s="2" customFormat="1" x14ac:dyDescent="0.2">
      <c r="A275" s="16"/>
      <c r="D275" s="630"/>
      <c r="E275" s="630"/>
      <c r="F275" s="630"/>
      <c r="G275" s="652"/>
    </row>
    <row r="276" spans="1:7" s="2" customFormat="1" x14ac:dyDescent="0.2">
      <c r="A276" s="16"/>
      <c r="D276" s="630"/>
      <c r="E276" s="630"/>
      <c r="F276" s="630"/>
      <c r="G276" s="652"/>
    </row>
    <row r="277" spans="1:7" s="2" customFormat="1" x14ac:dyDescent="0.2">
      <c r="A277" s="16"/>
      <c r="D277" s="630"/>
      <c r="E277" s="630"/>
      <c r="F277" s="630"/>
      <c r="G277" s="652"/>
    </row>
    <row r="278" spans="1:7" s="2" customFormat="1" x14ac:dyDescent="0.2">
      <c r="A278" s="16"/>
      <c r="D278" s="630"/>
      <c r="E278" s="630"/>
      <c r="F278" s="630"/>
      <c r="G278" s="652"/>
    </row>
    <row r="279" spans="1:7" s="2" customFormat="1" x14ac:dyDescent="0.2">
      <c r="A279" s="16"/>
      <c r="D279" s="630"/>
      <c r="E279" s="630"/>
      <c r="F279" s="630"/>
      <c r="G279" s="652"/>
    </row>
    <row r="280" spans="1:7" s="2" customFormat="1" x14ac:dyDescent="0.2">
      <c r="A280" s="16"/>
      <c r="D280" s="630"/>
      <c r="E280" s="630"/>
      <c r="F280" s="630"/>
      <c r="G280" s="652"/>
    </row>
    <row r="281" spans="1:7" s="2" customFormat="1" x14ac:dyDescent="0.2">
      <c r="A281" s="16"/>
      <c r="D281" s="630"/>
      <c r="E281" s="630"/>
      <c r="F281" s="630"/>
      <c r="G281" s="652"/>
    </row>
    <row r="282" spans="1:7" s="2" customFormat="1" x14ac:dyDescent="0.2">
      <c r="A282" s="16"/>
      <c r="D282" s="630"/>
      <c r="E282" s="630"/>
      <c r="F282" s="630"/>
      <c r="G282" s="652"/>
    </row>
    <row r="283" spans="1:7" s="2" customFormat="1" x14ac:dyDescent="0.2">
      <c r="A283" s="16"/>
      <c r="D283" s="630"/>
      <c r="E283" s="630"/>
      <c r="F283" s="630"/>
      <c r="G283" s="652"/>
    </row>
    <row r="284" spans="1:7" s="2" customFormat="1" x14ac:dyDescent="0.2">
      <c r="A284" s="16"/>
      <c r="D284" s="630"/>
      <c r="E284" s="630"/>
      <c r="F284" s="630"/>
      <c r="G284" s="652"/>
    </row>
    <row r="285" spans="1:7" s="2" customFormat="1" x14ac:dyDescent="0.2">
      <c r="A285" s="16"/>
      <c r="D285" s="630"/>
      <c r="E285" s="630"/>
      <c r="F285" s="630"/>
      <c r="G285" s="652"/>
    </row>
    <row r="286" spans="1:7" s="2" customFormat="1" x14ac:dyDescent="0.2">
      <c r="A286" s="16"/>
      <c r="D286" s="630"/>
      <c r="E286" s="630"/>
      <c r="F286" s="630"/>
      <c r="G286" s="652"/>
    </row>
    <row r="287" spans="1:7" s="2" customFormat="1" x14ac:dyDescent="0.2">
      <c r="A287" s="16"/>
      <c r="D287" s="630"/>
      <c r="E287" s="630"/>
      <c r="F287" s="630"/>
      <c r="G287" s="652"/>
    </row>
    <row r="288" spans="1:7" s="2" customFormat="1" x14ac:dyDescent="0.2">
      <c r="A288" s="16"/>
      <c r="D288" s="630"/>
      <c r="E288" s="630"/>
      <c r="F288" s="630"/>
      <c r="G288" s="652"/>
    </row>
    <row r="289" spans="1:7" s="2" customFormat="1" x14ac:dyDescent="0.2">
      <c r="A289" s="16"/>
      <c r="D289" s="630"/>
      <c r="E289" s="630"/>
      <c r="F289" s="630"/>
      <c r="G289" s="652"/>
    </row>
    <row r="290" spans="1:7" s="2" customFormat="1" x14ac:dyDescent="0.2">
      <c r="A290" s="16"/>
      <c r="D290" s="630"/>
      <c r="E290" s="630"/>
      <c r="F290" s="630"/>
      <c r="G290" s="652"/>
    </row>
    <row r="291" spans="1:7" s="2" customFormat="1" x14ac:dyDescent="0.2">
      <c r="A291" s="16"/>
      <c r="D291" s="630"/>
      <c r="E291" s="630"/>
      <c r="F291" s="630"/>
      <c r="G291" s="652"/>
    </row>
    <row r="292" spans="1:7" s="2" customFormat="1" x14ac:dyDescent="0.2">
      <c r="A292" s="16"/>
      <c r="D292" s="630"/>
      <c r="E292" s="630"/>
      <c r="F292" s="630"/>
      <c r="G292" s="652"/>
    </row>
    <row r="293" spans="1:7" s="2" customFormat="1" x14ac:dyDescent="0.2">
      <c r="A293" s="16"/>
      <c r="D293" s="630"/>
      <c r="E293" s="630"/>
      <c r="F293" s="630"/>
      <c r="G293" s="652"/>
    </row>
    <row r="294" spans="1:7" s="2" customFormat="1" x14ac:dyDescent="0.2">
      <c r="A294" s="16"/>
      <c r="D294" s="630"/>
      <c r="E294" s="630"/>
      <c r="F294" s="630"/>
      <c r="G294" s="652"/>
    </row>
    <row r="295" spans="1:7" s="2" customFormat="1" x14ac:dyDescent="0.2">
      <c r="A295" s="16"/>
      <c r="D295" s="630"/>
      <c r="E295" s="630"/>
      <c r="F295" s="630"/>
      <c r="G295" s="652"/>
    </row>
    <row r="296" spans="1:7" s="2" customFormat="1" x14ac:dyDescent="0.2">
      <c r="A296" s="16"/>
      <c r="D296" s="630"/>
      <c r="E296" s="630"/>
      <c r="F296" s="630"/>
      <c r="G296" s="652"/>
    </row>
    <row r="297" spans="1:7" s="2" customFormat="1" x14ac:dyDescent="0.2">
      <c r="A297" s="16"/>
      <c r="D297" s="630"/>
      <c r="E297" s="630"/>
      <c r="F297" s="630"/>
      <c r="G297" s="652"/>
    </row>
    <row r="298" spans="1:7" s="2" customFormat="1" x14ac:dyDescent="0.2">
      <c r="A298" s="16"/>
      <c r="D298" s="630"/>
      <c r="E298" s="630"/>
      <c r="F298" s="630"/>
      <c r="G298" s="652"/>
    </row>
    <row r="299" spans="1:7" s="2" customFormat="1" x14ac:dyDescent="0.2">
      <c r="A299" s="16"/>
      <c r="D299" s="630"/>
      <c r="E299" s="630"/>
      <c r="F299" s="630"/>
      <c r="G299" s="652"/>
    </row>
    <row r="300" spans="1:7" s="3" customFormat="1" x14ac:dyDescent="0.2">
      <c r="A300" s="12"/>
      <c r="D300" s="659"/>
      <c r="E300" s="659"/>
      <c r="F300" s="659"/>
      <c r="G300" s="653"/>
    </row>
    <row r="301" spans="1:7" s="3" customFormat="1" x14ac:dyDescent="0.2">
      <c r="A301" s="12"/>
      <c r="D301" s="659"/>
      <c r="E301" s="659"/>
      <c r="F301" s="659"/>
      <c r="G301" s="653"/>
    </row>
    <row r="302" spans="1:7" s="3" customFormat="1" x14ac:dyDescent="0.2">
      <c r="A302" s="12"/>
      <c r="D302" s="659"/>
      <c r="E302" s="659"/>
      <c r="F302" s="659"/>
      <c r="G302" s="653"/>
    </row>
    <row r="303" spans="1:7" s="3" customFormat="1" x14ac:dyDescent="0.2">
      <c r="A303" s="12"/>
      <c r="D303" s="659"/>
      <c r="E303" s="659"/>
      <c r="F303" s="659"/>
      <c r="G303" s="653"/>
    </row>
    <row r="304" spans="1:7" s="3" customFormat="1" x14ac:dyDescent="0.2">
      <c r="A304" s="12"/>
      <c r="D304" s="659"/>
      <c r="E304" s="659"/>
      <c r="F304" s="659"/>
      <c r="G304" s="653"/>
    </row>
    <row r="305" spans="1:7" s="3" customFormat="1" x14ac:dyDescent="0.2">
      <c r="A305" s="12"/>
      <c r="D305" s="659"/>
      <c r="E305" s="659"/>
      <c r="F305" s="659"/>
      <c r="G305" s="653"/>
    </row>
    <row r="306" spans="1:7" s="3" customFormat="1" x14ac:dyDescent="0.2">
      <c r="A306" s="12"/>
      <c r="D306" s="659"/>
      <c r="E306" s="659"/>
      <c r="F306" s="659"/>
      <c r="G306" s="653"/>
    </row>
    <row r="307" spans="1:7" s="3" customFormat="1" x14ac:dyDescent="0.2">
      <c r="A307" s="12"/>
      <c r="D307" s="659"/>
      <c r="E307" s="659"/>
      <c r="F307" s="659"/>
      <c r="G307" s="653"/>
    </row>
    <row r="308" spans="1:7" s="3" customFormat="1" x14ac:dyDescent="0.2">
      <c r="A308" s="12"/>
      <c r="D308" s="659"/>
      <c r="E308" s="659"/>
      <c r="F308" s="659"/>
      <c r="G308" s="653"/>
    </row>
    <row r="309" spans="1:7" s="3" customFormat="1" x14ac:dyDescent="0.2">
      <c r="A309" s="12"/>
      <c r="D309" s="659"/>
      <c r="E309" s="659"/>
      <c r="F309" s="659"/>
      <c r="G309" s="653"/>
    </row>
    <row r="310" spans="1:7" s="3" customFormat="1" x14ac:dyDescent="0.2">
      <c r="A310" s="12"/>
      <c r="D310" s="659"/>
      <c r="E310" s="659"/>
      <c r="F310" s="659"/>
      <c r="G310" s="653"/>
    </row>
    <row r="311" spans="1:7" s="3" customFormat="1" x14ac:dyDescent="0.2">
      <c r="A311" s="12"/>
      <c r="D311" s="659"/>
      <c r="E311" s="659"/>
      <c r="F311" s="659"/>
      <c r="G311" s="653"/>
    </row>
    <row r="312" spans="1:7" s="3" customFormat="1" x14ac:dyDescent="0.2">
      <c r="A312" s="12"/>
      <c r="D312" s="659"/>
      <c r="E312" s="659"/>
      <c r="F312" s="659"/>
      <c r="G312" s="653"/>
    </row>
    <row r="313" spans="1:7" s="3" customFormat="1" x14ac:dyDescent="0.2">
      <c r="A313" s="12"/>
      <c r="D313" s="659"/>
      <c r="E313" s="659"/>
      <c r="F313" s="659"/>
      <c r="G313" s="653"/>
    </row>
    <row r="314" spans="1:7" s="3" customFormat="1" x14ac:dyDescent="0.2">
      <c r="A314" s="12"/>
      <c r="D314" s="659"/>
      <c r="E314" s="659"/>
      <c r="F314" s="659"/>
      <c r="G314" s="653"/>
    </row>
    <row r="315" spans="1:7" s="3" customFormat="1" x14ac:dyDescent="0.2">
      <c r="A315" s="12"/>
      <c r="D315" s="659"/>
      <c r="E315" s="659"/>
      <c r="F315" s="659"/>
      <c r="G315" s="653"/>
    </row>
    <row r="316" spans="1:7" s="3" customFormat="1" x14ac:dyDescent="0.2">
      <c r="A316" s="12"/>
      <c r="D316" s="659"/>
      <c r="E316" s="659"/>
      <c r="F316" s="659"/>
      <c r="G316" s="653"/>
    </row>
    <row r="317" spans="1:7" s="3" customFormat="1" x14ac:dyDescent="0.2">
      <c r="A317" s="12"/>
      <c r="D317" s="659"/>
      <c r="E317" s="659"/>
      <c r="F317" s="659"/>
      <c r="G317" s="653"/>
    </row>
    <row r="318" spans="1:7" s="3" customFormat="1" x14ac:dyDescent="0.2">
      <c r="A318" s="12"/>
      <c r="D318" s="659"/>
      <c r="E318" s="659"/>
      <c r="F318" s="659"/>
      <c r="G318" s="653"/>
    </row>
    <row r="319" spans="1:7" s="3" customFormat="1" x14ac:dyDescent="0.2">
      <c r="A319" s="12"/>
      <c r="D319" s="659"/>
      <c r="E319" s="659"/>
      <c r="F319" s="659"/>
      <c r="G319" s="653"/>
    </row>
    <row r="320" spans="1:7" s="3" customFormat="1" x14ac:dyDescent="0.2">
      <c r="A320" s="12"/>
      <c r="D320" s="659"/>
      <c r="E320" s="659"/>
      <c r="F320" s="659"/>
      <c r="G320" s="653"/>
    </row>
    <row r="321" spans="1:7" s="3" customFormat="1" x14ac:dyDescent="0.2">
      <c r="A321" s="12"/>
      <c r="D321" s="659"/>
      <c r="E321" s="659"/>
      <c r="F321" s="659"/>
      <c r="G321" s="653"/>
    </row>
    <row r="322" spans="1:7" s="3" customFormat="1" x14ac:dyDescent="0.2">
      <c r="A322" s="12"/>
      <c r="D322" s="659"/>
      <c r="E322" s="659"/>
      <c r="F322" s="659"/>
      <c r="G322" s="653"/>
    </row>
    <row r="323" spans="1:7" s="3" customFormat="1" x14ac:dyDescent="0.2">
      <c r="A323" s="12"/>
      <c r="D323" s="659"/>
      <c r="E323" s="659"/>
      <c r="F323" s="659"/>
      <c r="G323" s="653"/>
    </row>
    <row r="324" spans="1:7" s="3" customFormat="1" x14ac:dyDescent="0.2">
      <c r="A324" s="12"/>
      <c r="D324" s="659"/>
      <c r="E324" s="659"/>
      <c r="F324" s="659"/>
      <c r="G324" s="653"/>
    </row>
    <row r="325" spans="1:7" s="3" customFormat="1" x14ac:dyDescent="0.2">
      <c r="A325" s="12"/>
      <c r="D325" s="659"/>
      <c r="E325" s="659"/>
      <c r="F325" s="659"/>
      <c r="G325" s="653"/>
    </row>
    <row r="326" spans="1:7" s="3" customFormat="1" x14ac:dyDescent="0.2">
      <c r="A326" s="12"/>
      <c r="D326" s="659"/>
      <c r="E326" s="659"/>
      <c r="F326" s="659"/>
      <c r="G326" s="653"/>
    </row>
    <row r="327" spans="1:7" s="3" customFormat="1" x14ac:dyDescent="0.2">
      <c r="A327" s="12"/>
      <c r="D327" s="659"/>
      <c r="E327" s="659"/>
      <c r="F327" s="659"/>
      <c r="G327" s="653"/>
    </row>
    <row r="328" spans="1:7" s="3" customFormat="1" x14ac:dyDescent="0.2">
      <c r="A328" s="12"/>
      <c r="D328" s="659"/>
      <c r="E328" s="659"/>
      <c r="F328" s="659"/>
      <c r="G328" s="653"/>
    </row>
    <row r="329" spans="1:7" s="3" customFormat="1" x14ac:dyDescent="0.2">
      <c r="A329" s="12"/>
      <c r="D329" s="659"/>
      <c r="E329" s="659"/>
      <c r="F329" s="659"/>
      <c r="G329" s="653"/>
    </row>
    <row r="330" spans="1:7" s="3" customFormat="1" x14ac:dyDescent="0.2">
      <c r="A330" s="12"/>
      <c r="D330" s="659"/>
      <c r="E330" s="659"/>
      <c r="F330" s="659"/>
      <c r="G330" s="653"/>
    </row>
    <row r="331" spans="1:7" s="3" customFormat="1" x14ac:dyDescent="0.2">
      <c r="A331" s="12"/>
      <c r="D331" s="659"/>
      <c r="E331" s="659"/>
      <c r="F331" s="659"/>
      <c r="G331" s="653"/>
    </row>
    <row r="332" spans="1:7" s="3" customFormat="1" x14ac:dyDescent="0.2">
      <c r="A332" s="12"/>
      <c r="D332" s="659"/>
      <c r="E332" s="659"/>
      <c r="F332" s="659"/>
      <c r="G332" s="653"/>
    </row>
    <row r="333" spans="1:7" s="3" customFormat="1" x14ac:dyDescent="0.2">
      <c r="A333" s="12"/>
      <c r="D333" s="659"/>
      <c r="E333" s="659"/>
      <c r="F333" s="659"/>
      <c r="G333" s="653"/>
    </row>
    <row r="334" spans="1:7" s="3" customFormat="1" x14ac:dyDescent="0.2">
      <c r="A334" s="12"/>
      <c r="D334" s="659"/>
      <c r="E334" s="659"/>
      <c r="F334" s="659"/>
      <c r="G334" s="653"/>
    </row>
    <row r="335" spans="1:7" s="3" customFormat="1" x14ac:dyDescent="0.2">
      <c r="A335" s="12"/>
      <c r="D335" s="659"/>
      <c r="E335" s="659"/>
      <c r="F335" s="659"/>
      <c r="G335" s="653"/>
    </row>
    <row r="336" spans="1:7" s="3" customFormat="1" x14ac:dyDescent="0.2">
      <c r="A336" s="12"/>
      <c r="D336" s="659"/>
      <c r="E336" s="659"/>
      <c r="F336" s="659"/>
      <c r="G336" s="653"/>
    </row>
    <row r="337" spans="1:7" s="3" customFormat="1" x14ac:dyDescent="0.2">
      <c r="A337" s="12"/>
      <c r="D337" s="659"/>
      <c r="E337" s="659"/>
      <c r="F337" s="659"/>
      <c r="G337" s="653"/>
    </row>
    <row r="338" spans="1:7" s="3" customFormat="1" x14ac:dyDescent="0.2">
      <c r="A338" s="12"/>
      <c r="D338" s="659"/>
      <c r="E338" s="659"/>
      <c r="F338" s="659"/>
      <c r="G338" s="653"/>
    </row>
    <row r="339" spans="1:7" s="3" customFormat="1" x14ac:dyDescent="0.2">
      <c r="A339" s="12"/>
      <c r="D339" s="659"/>
      <c r="E339" s="659"/>
      <c r="F339" s="659"/>
      <c r="G339" s="653"/>
    </row>
    <row r="340" spans="1:7" s="3" customFormat="1" x14ac:dyDescent="0.2">
      <c r="A340" s="12"/>
      <c r="D340" s="659"/>
      <c r="E340" s="659"/>
      <c r="F340" s="659"/>
      <c r="G340" s="653"/>
    </row>
    <row r="341" spans="1:7" s="3" customFormat="1" x14ac:dyDescent="0.2">
      <c r="A341" s="12"/>
      <c r="D341" s="659"/>
      <c r="E341" s="659"/>
      <c r="F341" s="659"/>
      <c r="G341" s="653"/>
    </row>
    <row r="342" spans="1:7" s="3" customFormat="1" x14ac:dyDescent="0.2">
      <c r="A342" s="12"/>
      <c r="D342" s="659"/>
      <c r="E342" s="659"/>
      <c r="F342" s="659"/>
      <c r="G342" s="653"/>
    </row>
    <row r="343" spans="1:7" s="3" customFormat="1" x14ac:dyDescent="0.2">
      <c r="A343" s="12"/>
      <c r="D343" s="659"/>
      <c r="E343" s="659"/>
      <c r="F343" s="659"/>
      <c r="G343" s="653"/>
    </row>
    <row r="344" spans="1:7" s="3" customFormat="1" x14ac:dyDescent="0.2">
      <c r="A344" s="12"/>
      <c r="D344" s="659"/>
      <c r="E344" s="659"/>
      <c r="F344" s="659"/>
      <c r="G344" s="653"/>
    </row>
    <row r="345" spans="1:7" s="3" customFormat="1" x14ac:dyDescent="0.2">
      <c r="A345" s="12"/>
      <c r="D345" s="659"/>
      <c r="E345" s="659"/>
      <c r="F345" s="659"/>
      <c r="G345" s="653"/>
    </row>
    <row r="346" spans="1:7" s="3" customFormat="1" x14ac:dyDescent="0.2">
      <c r="A346" s="12"/>
      <c r="D346" s="659"/>
      <c r="E346" s="659"/>
      <c r="F346" s="659"/>
      <c r="G346" s="653"/>
    </row>
    <row r="347" spans="1:7" s="3" customFormat="1" x14ac:dyDescent="0.2">
      <c r="A347" s="12"/>
      <c r="D347" s="659"/>
      <c r="E347" s="659"/>
      <c r="F347" s="659"/>
      <c r="G347" s="653"/>
    </row>
    <row r="348" spans="1:7" s="3" customFormat="1" x14ac:dyDescent="0.2">
      <c r="A348" s="12"/>
      <c r="D348" s="659"/>
      <c r="E348" s="659"/>
      <c r="F348" s="659"/>
      <c r="G348" s="653"/>
    </row>
    <row r="349" spans="1:7" s="3" customFormat="1" x14ac:dyDescent="0.2">
      <c r="A349" s="12"/>
      <c r="D349" s="659"/>
      <c r="E349" s="659"/>
      <c r="F349" s="659"/>
      <c r="G349" s="653"/>
    </row>
    <row r="350" spans="1:7" s="3" customFormat="1" x14ac:dyDescent="0.2">
      <c r="A350" s="12"/>
      <c r="D350" s="659"/>
      <c r="E350" s="659"/>
      <c r="F350" s="659"/>
      <c r="G350" s="653"/>
    </row>
    <row r="351" spans="1:7" s="3" customFormat="1" x14ac:dyDescent="0.2">
      <c r="A351" s="12"/>
      <c r="D351" s="659"/>
      <c r="E351" s="659"/>
      <c r="F351" s="659"/>
      <c r="G351" s="653"/>
    </row>
    <row r="352" spans="1:7" s="3" customFormat="1" x14ac:dyDescent="0.2">
      <c r="A352" s="12"/>
      <c r="D352" s="659"/>
      <c r="E352" s="659"/>
      <c r="F352" s="659"/>
      <c r="G352" s="653"/>
    </row>
    <row r="353" spans="1:7" s="3" customFormat="1" x14ac:dyDescent="0.2">
      <c r="A353" s="12"/>
      <c r="D353" s="659"/>
      <c r="E353" s="659"/>
      <c r="F353" s="659"/>
      <c r="G353" s="653"/>
    </row>
    <row r="354" spans="1:7" s="3" customFormat="1" x14ac:dyDescent="0.2">
      <c r="A354" s="12"/>
      <c r="D354" s="659"/>
      <c r="E354" s="659"/>
      <c r="F354" s="659"/>
      <c r="G354" s="653"/>
    </row>
    <row r="355" spans="1:7" s="3" customFormat="1" x14ac:dyDescent="0.2">
      <c r="A355" s="12"/>
      <c r="D355" s="659"/>
      <c r="E355" s="659"/>
      <c r="F355" s="659"/>
      <c r="G355" s="653"/>
    </row>
    <row r="356" spans="1:7" s="3" customFormat="1" x14ac:dyDescent="0.2">
      <c r="A356" s="12"/>
      <c r="D356" s="659"/>
      <c r="E356" s="659"/>
      <c r="F356" s="659"/>
      <c r="G356" s="653"/>
    </row>
    <row r="357" spans="1:7" s="3" customFormat="1" x14ac:dyDescent="0.2">
      <c r="A357" s="12"/>
      <c r="D357" s="659"/>
      <c r="E357" s="659"/>
      <c r="F357" s="659"/>
      <c r="G357" s="653"/>
    </row>
    <row r="358" spans="1:7" s="3" customFormat="1" x14ac:dyDescent="0.2">
      <c r="A358" s="12"/>
      <c r="D358" s="659"/>
      <c r="E358" s="659"/>
      <c r="F358" s="659"/>
      <c r="G358" s="653"/>
    </row>
    <row r="359" spans="1:7" s="3" customFormat="1" x14ac:dyDescent="0.2">
      <c r="A359" s="12"/>
      <c r="D359" s="659"/>
      <c r="E359" s="659"/>
      <c r="F359" s="659"/>
      <c r="G359" s="653"/>
    </row>
    <row r="360" spans="1:7" s="3" customFormat="1" x14ac:dyDescent="0.2">
      <c r="A360" s="12"/>
      <c r="D360" s="659"/>
      <c r="E360" s="659"/>
      <c r="F360" s="659"/>
      <c r="G360" s="653"/>
    </row>
    <row r="361" spans="1:7" s="3" customFormat="1" x14ac:dyDescent="0.2">
      <c r="A361" s="12"/>
      <c r="D361" s="659"/>
      <c r="E361" s="659"/>
      <c r="F361" s="659"/>
      <c r="G361" s="653"/>
    </row>
    <row r="362" spans="1:7" s="3" customFormat="1" x14ac:dyDescent="0.2">
      <c r="A362" s="12"/>
      <c r="D362" s="659"/>
      <c r="E362" s="659"/>
      <c r="F362" s="659"/>
      <c r="G362" s="653"/>
    </row>
    <row r="363" spans="1:7" s="3" customFormat="1" x14ac:dyDescent="0.2">
      <c r="A363" s="12"/>
      <c r="D363" s="659"/>
      <c r="E363" s="659"/>
      <c r="F363" s="659"/>
      <c r="G363" s="653"/>
    </row>
    <row r="364" spans="1:7" s="3" customFormat="1" x14ac:dyDescent="0.2">
      <c r="A364" s="12"/>
      <c r="D364" s="659"/>
      <c r="E364" s="659"/>
      <c r="F364" s="659"/>
      <c r="G364" s="653"/>
    </row>
    <row r="365" spans="1:7" s="3" customFormat="1" x14ac:dyDescent="0.2">
      <c r="A365" s="12"/>
      <c r="D365" s="659"/>
      <c r="E365" s="659"/>
      <c r="F365" s="659"/>
      <c r="G365" s="653"/>
    </row>
    <row r="366" spans="1:7" s="3" customFormat="1" x14ac:dyDescent="0.2">
      <c r="A366" s="12"/>
      <c r="D366" s="659"/>
      <c r="E366" s="659"/>
      <c r="F366" s="659"/>
      <c r="G366" s="653"/>
    </row>
    <row r="367" spans="1:7" s="3" customFormat="1" x14ac:dyDescent="0.2">
      <c r="A367" s="12"/>
      <c r="D367" s="659"/>
      <c r="E367" s="659"/>
      <c r="F367" s="659"/>
      <c r="G367" s="653"/>
    </row>
    <row r="368" spans="1:7" s="3" customFormat="1" x14ac:dyDescent="0.2">
      <c r="A368" s="12"/>
      <c r="D368" s="659"/>
      <c r="E368" s="659"/>
      <c r="F368" s="659"/>
      <c r="G368" s="653"/>
    </row>
    <row r="369" spans="1:7" s="3" customFormat="1" x14ac:dyDescent="0.2">
      <c r="A369" s="12"/>
      <c r="D369" s="659"/>
      <c r="E369" s="659"/>
      <c r="F369" s="659"/>
      <c r="G369" s="653"/>
    </row>
    <row r="370" spans="1:7" s="3" customFormat="1" x14ac:dyDescent="0.2">
      <c r="A370" s="12"/>
      <c r="D370" s="659"/>
      <c r="E370" s="659"/>
      <c r="F370" s="659"/>
      <c r="G370" s="653"/>
    </row>
  </sheetData>
  <sheetProtection algorithmName="SHA-512" hashValue="4d7ba7LkQ3Okbv88mX5xLJrA8O623TGUsHj1gE0FsB18bY6uGd51vZyicQKgj/0WXmXE06qUlaWWe8/Jmr9CXg==" saltValue="8r2qYKQC0pww54LrEu4ZmQ==" spinCount="100000" sheet="1" formatCells="0" formatColumns="0" formatRows="0"/>
  <customSheetViews>
    <customSheetView guid="{B8E02330-2419-4DE6-AD01-7ACC7A5D18DD}" scale="75">
      <pageMargins left="0.75" right="0.75" top="1" bottom="1" header="0.5" footer="0.5"/>
      <pageSetup orientation="portrait" horizontalDpi="300" verticalDpi="300" r:id="rId1"/>
      <headerFooter alignWithMargins="0"/>
    </customSheetView>
  </customSheetViews>
  <mergeCells count="26">
    <mergeCell ref="E1:I1"/>
    <mergeCell ref="I3:I8"/>
    <mergeCell ref="I9:I14"/>
    <mergeCell ref="I15:I18"/>
    <mergeCell ref="I19:I21"/>
    <mergeCell ref="H19:H21"/>
    <mergeCell ref="H9:H14"/>
    <mergeCell ref="H15:H18"/>
    <mergeCell ref="H3:H8"/>
    <mergeCell ref="A22:A27"/>
    <mergeCell ref="A29:B31"/>
    <mergeCell ref="C30:E30"/>
    <mergeCell ref="B22:B27"/>
    <mergeCell ref="I22:I27"/>
    <mergeCell ref="H30:I30"/>
    <mergeCell ref="C29:H29"/>
    <mergeCell ref="H22:H27"/>
    <mergeCell ref="A19:A21"/>
    <mergeCell ref="A15:A18"/>
    <mergeCell ref="A9:A14"/>
    <mergeCell ref="B9:B14"/>
    <mergeCell ref="A1:B1"/>
    <mergeCell ref="B15:B18"/>
    <mergeCell ref="B19:B21"/>
    <mergeCell ref="B3:B8"/>
    <mergeCell ref="A3:A8"/>
  </mergeCells>
  <phoneticPr fontId="3" type="noConversion"/>
  <pageMargins left="0.75" right="0.75" top="1" bottom="1" header="0.5" footer="0.5"/>
  <pageSetup orientation="portrait" horizontalDpi="300" verticalDpi="300"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tabColor indexed="51"/>
  </sheetPr>
  <dimension ref="A1:O351"/>
  <sheetViews>
    <sheetView topLeftCell="B35" zoomScaleNormal="100" workbookViewId="0">
      <selection activeCell="L50" sqref="L50"/>
    </sheetView>
  </sheetViews>
  <sheetFormatPr defaultColWidth="9.33203125" defaultRowHeight="12.75" x14ac:dyDescent="0.2"/>
  <cols>
    <col min="1" max="1" width="5.83203125" style="1768" customWidth="1"/>
    <col min="2" max="2" width="18.83203125" style="1769" customWidth="1"/>
    <col min="3" max="3" width="75.83203125" style="1770" customWidth="1"/>
    <col min="4" max="6" width="7.83203125" style="1771" customWidth="1"/>
    <col min="7" max="7" width="8.83203125" style="1766" customWidth="1"/>
    <col min="8" max="8" width="64.83203125" style="1768" customWidth="1"/>
    <col min="9" max="9" width="11" style="1641" customWidth="1"/>
    <col min="10" max="16384" width="9.33203125" style="1641"/>
  </cols>
  <sheetData>
    <row r="1" spans="1:9" s="2134" customFormat="1" ht="45" customHeight="1" thickBot="1" x14ac:dyDescent="0.25">
      <c r="A1" s="2584" t="s">
        <v>2341</v>
      </c>
      <c r="B1" s="2585"/>
      <c r="C1" s="1629" t="s">
        <v>1076</v>
      </c>
      <c r="D1" s="2133" t="s">
        <v>1077</v>
      </c>
      <c r="E1" s="3099"/>
      <c r="F1" s="3100"/>
      <c r="G1" s="3100"/>
      <c r="H1" s="3100"/>
      <c r="I1" s="3100"/>
    </row>
    <row r="2" spans="1:9" s="1635" customFormat="1" ht="36" customHeight="1" thickBot="1" x14ac:dyDescent="0.25">
      <c r="A2" s="1630" t="s">
        <v>88</v>
      </c>
      <c r="B2" s="1630" t="s">
        <v>959</v>
      </c>
      <c r="C2" s="1631" t="s">
        <v>1165</v>
      </c>
      <c r="D2" s="1632" t="s">
        <v>45</v>
      </c>
      <c r="E2" s="1633" t="s">
        <v>1189</v>
      </c>
      <c r="F2" s="1634" t="s">
        <v>1190</v>
      </c>
      <c r="G2" s="1319" t="s">
        <v>2555</v>
      </c>
      <c r="H2" s="1630" t="s">
        <v>1118</v>
      </c>
      <c r="I2" s="1288" t="s">
        <v>2424</v>
      </c>
    </row>
    <row r="3" spans="1:9" ht="30" customHeight="1" thickBot="1" x14ac:dyDescent="0.25">
      <c r="A3" s="3062" t="str">
        <f>OF!A16</f>
        <v>OF3</v>
      </c>
      <c r="B3" s="3062" t="str">
        <f>OF!B16</f>
        <v>Ponded Water &amp; Wetland Within 1 km.</v>
      </c>
      <c r="C3" s="1636" t="str">
        <f>OF!C16</f>
        <v>The area of wetlands and surface water ponded during most of the growing season that is both (1) in or adjacent to the AA and (2) within 1 km is:</v>
      </c>
      <c r="D3" s="1637"/>
      <c r="E3" s="1638"/>
      <c r="F3" s="1639"/>
      <c r="G3" s="1640">
        <f>MAX(F4:F9)/MAX(E4:E9)</f>
        <v>0.4</v>
      </c>
      <c r="H3" s="3052" t="s">
        <v>1485</v>
      </c>
      <c r="I3" s="3090" t="s">
        <v>1322</v>
      </c>
    </row>
    <row r="4" spans="1:9" ht="15" customHeight="1" x14ac:dyDescent="0.2">
      <c r="A4" s="3048"/>
      <c r="B4" s="3048"/>
      <c r="C4" s="1642" t="str">
        <f>OF!C17</f>
        <v>&lt;0.01 hectare (about 10 m x 10 m).</v>
      </c>
      <c r="D4" s="1643">
        <f>OF!D17</f>
        <v>0</v>
      </c>
      <c r="E4" s="1644">
        <v>5</v>
      </c>
      <c r="F4" s="1645">
        <f t="shared" ref="F4:F9" si="0">D4*E4</f>
        <v>0</v>
      </c>
      <c r="G4" s="1646"/>
      <c r="H4" s="3053"/>
      <c r="I4" s="3091"/>
    </row>
    <row r="5" spans="1:9" ht="15" customHeight="1" x14ac:dyDescent="0.2">
      <c r="A5" s="3048"/>
      <c r="B5" s="3048"/>
      <c r="C5" s="1647" t="str">
        <f>OF!C18</f>
        <v>0.01 - 0.1 hectare.</v>
      </c>
      <c r="D5" s="1643">
        <f>OF!D18</f>
        <v>0</v>
      </c>
      <c r="E5" s="1644">
        <v>4</v>
      </c>
      <c r="F5" s="1645">
        <f t="shared" si="0"/>
        <v>0</v>
      </c>
      <c r="G5" s="1648"/>
      <c r="H5" s="3053"/>
      <c r="I5" s="3091"/>
    </row>
    <row r="6" spans="1:9" ht="15" customHeight="1" x14ac:dyDescent="0.2">
      <c r="A6" s="3048"/>
      <c r="B6" s="3048"/>
      <c r="C6" s="1647" t="str">
        <f>OF!C19</f>
        <v>0.1 - 1 hectare.</v>
      </c>
      <c r="D6" s="1649">
        <f>OF!D19</f>
        <v>0</v>
      </c>
      <c r="E6" s="1644">
        <v>3</v>
      </c>
      <c r="F6" s="1645">
        <f t="shared" si="0"/>
        <v>0</v>
      </c>
      <c r="G6" s="1648"/>
      <c r="H6" s="3053"/>
      <c r="I6" s="3091"/>
    </row>
    <row r="7" spans="1:9" ht="15" customHeight="1" x14ac:dyDescent="0.2">
      <c r="A7" s="3048"/>
      <c r="B7" s="3048"/>
      <c r="C7" s="1647" t="str">
        <f>OF!C20</f>
        <v>1 to 10 hectares.</v>
      </c>
      <c r="D7" s="1650">
        <f>OF!D20</f>
        <v>0</v>
      </c>
      <c r="E7" s="1644">
        <v>3</v>
      </c>
      <c r="F7" s="1645">
        <f t="shared" si="0"/>
        <v>0</v>
      </c>
      <c r="G7" s="1648"/>
      <c r="H7" s="3053"/>
      <c r="I7" s="3091"/>
    </row>
    <row r="8" spans="1:9" ht="15" customHeight="1" x14ac:dyDescent="0.2">
      <c r="A8" s="3048"/>
      <c r="B8" s="3048"/>
      <c r="C8" s="1647" t="str">
        <f>OF!C21</f>
        <v>10 to 100 hectares.</v>
      </c>
      <c r="D8" s="1643">
        <f>OF!D21</f>
        <v>1</v>
      </c>
      <c r="E8" s="1644">
        <v>2</v>
      </c>
      <c r="F8" s="1645">
        <f t="shared" si="0"/>
        <v>2</v>
      </c>
      <c r="G8" s="1648"/>
      <c r="H8" s="3053"/>
      <c r="I8" s="3091"/>
    </row>
    <row r="9" spans="1:9" ht="15" customHeight="1" thickBot="1" x14ac:dyDescent="0.25">
      <c r="A9" s="3048"/>
      <c r="B9" s="3073"/>
      <c r="C9" s="1651" t="str">
        <f>OF!C22</f>
        <v>&gt;100 hectares.</v>
      </c>
      <c r="D9" s="1652">
        <f>OF!D22</f>
        <v>0</v>
      </c>
      <c r="E9" s="1653">
        <v>0</v>
      </c>
      <c r="F9" s="1654">
        <f t="shared" si="0"/>
        <v>0</v>
      </c>
      <c r="G9" s="1655"/>
      <c r="H9" s="3053"/>
      <c r="I9" s="3092"/>
    </row>
    <row r="10" spans="1:9" ht="30" customHeight="1" thickBot="1" x14ac:dyDescent="0.25">
      <c r="A10" s="3067" t="str">
        <f>OF!A23</f>
        <v>OF4</v>
      </c>
      <c r="B10" s="3062" t="str">
        <f>OF!B23</f>
        <v xml:space="preserve">Size of Largest Nearby Vegetated Tract or Corridor </v>
      </c>
      <c r="C10" s="1636" t="str">
        <f>OF!C23</f>
        <v>The largest vegetated patch or corridor that includes the AA's vegetation plus all adjacent upland vegetation that is not lawn, row crops, heavily grazed lands, conifer plantation is:</v>
      </c>
      <c r="D10" s="1638"/>
      <c r="E10" s="1638"/>
      <c r="F10" s="1639"/>
      <c r="G10" s="1640">
        <f>MAX(F11:F15)/MAX(E11:E15)</f>
        <v>0</v>
      </c>
      <c r="H10" s="3055" t="s">
        <v>87</v>
      </c>
      <c r="I10" s="3090" t="s">
        <v>567</v>
      </c>
    </row>
    <row r="11" spans="1:9" ht="15" customHeight="1" x14ac:dyDescent="0.2">
      <c r="A11" s="3068"/>
      <c r="B11" s="3048"/>
      <c r="C11" s="1642" t="str">
        <f>OF!C24</f>
        <v>&lt;0.01 hectare (about 10 m x 10 m).</v>
      </c>
      <c r="D11" s="1656">
        <f>OF!D24</f>
        <v>0</v>
      </c>
      <c r="E11" s="1657">
        <v>5</v>
      </c>
      <c r="F11" s="1645">
        <f>D11*E11</f>
        <v>0</v>
      </c>
      <c r="G11" s="1646"/>
      <c r="H11" s="3046"/>
      <c r="I11" s="3091"/>
    </row>
    <row r="12" spans="1:9" ht="15" customHeight="1" x14ac:dyDescent="0.2">
      <c r="A12" s="3068"/>
      <c r="B12" s="3048"/>
      <c r="C12" s="1647" t="str">
        <f>OF!C25</f>
        <v>0.01 - 0.1 hectare.</v>
      </c>
      <c r="D12" s="1643">
        <f>OF!D25</f>
        <v>0</v>
      </c>
      <c r="E12" s="1657">
        <v>4</v>
      </c>
      <c r="F12" s="1645">
        <f>D12*E12</f>
        <v>0</v>
      </c>
      <c r="G12" s="1648"/>
      <c r="H12" s="3046"/>
      <c r="I12" s="3091"/>
    </row>
    <row r="13" spans="1:9" ht="15" customHeight="1" x14ac:dyDescent="0.2">
      <c r="A13" s="3068"/>
      <c r="B13" s="3048"/>
      <c r="C13" s="1647" t="str">
        <f>OF!C26</f>
        <v>0.1 - 1 hectare.</v>
      </c>
      <c r="D13" s="1643">
        <f>OF!D26</f>
        <v>0</v>
      </c>
      <c r="E13" s="1657">
        <v>3</v>
      </c>
      <c r="F13" s="1645">
        <f>D13*E13</f>
        <v>0</v>
      </c>
      <c r="G13" s="1648"/>
      <c r="H13" s="3046"/>
      <c r="I13" s="3091"/>
    </row>
    <row r="14" spans="1:9" ht="15" customHeight="1" x14ac:dyDescent="0.2">
      <c r="A14" s="3068"/>
      <c r="B14" s="3048"/>
      <c r="C14" s="1647" t="str">
        <f>OF!C29</f>
        <v>100 to 1000 hectares.</v>
      </c>
      <c r="D14" s="1643">
        <f>OF!D29</f>
        <v>0</v>
      </c>
      <c r="E14" s="1657">
        <v>2</v>
      </c>
      <c r="F14" s="1645">
        <f>D14*E14</f>
        <v>0</v>
      </c>
      <c r="G14" s="1648"/>
      <c r="H14" s="3046"/>
      <c r="I14" s="3091"/>
    </row>
    <row r="15" spans="1:9" ht="15" customHeight="1" thickBot="1" x14ac:dyDescent="0.25">
      <c r="A15" s="3069"/>
      <c r="B15" s="3073"/>
      <c r="C15" s="1658" t="str">
        <f>OF!C30</f>
        <v>&gt;1000 hectares. [This is nearly always the answer in relatively undeveloped landscapes.]</v>
      </c>
      <c r="D15" s="1652">
        <f>OF!D30</f>
        <v>0</v>
      </c>
      <c r="E15" s="1659">
        <v>0</v>
      </c>
      <c r="F15" s="1660">
        <f>D15*E15</f>
        <v>0</v>
      </c>
      <c r="G15" s="1661"/>
      <c r="H15" s="3056"/>
      <c r="I15" s="3092"/>
    </row>
    <row r="16" spans="1:9" ht="30" customHeight="1" thickBot="1" x14ac:dyDescent="0.25">
      <c r="A16" s="3052" t="str">
        <f>OF!A31</f>
        <v>OF5</v>
      </c>
      <c r="B16" s="3062" t="str">
        <f>OF!B31</f>
        <v>Distance to Large Vegetated Tract</v>
      </c>
      <c r="C16" s="1636" t="str">
        <f>OF!C31</f>
        <v>The minimum distance from the edge of the AA to the edge of the closest vegetated land (but excluding row crops, lawn, conifer plantation) larger than 375 hectares (about 2 km on a side), is:</v>
      </c>
      <c r="D16" s="1637"/>
      <c r="E16" s="1638"/>
      <c r="F16" s="1639"/>
      <c r="G16" s="1640">
        <f>MAX(F17:F23)/MAX(E17:E23)</f>
        <v>0.83333333333333337</v>
      </c>
      <c r="H16" s="3055" t="s">
        <v>1484</v>
      </c>
      <c r="I16" s="3090" t="s">
        <v>566</v>
      </c>
    </row>
    <row r="17" spans="1:15" ht="42" customHeight="1" x14ac:dyDescent="0.2">
      <c r="A17" s="3053"/>
      <c r="B17" s="3047"/>
      <c r="C17" s="1662" t="str">
        <f>OF!C32</f>
        <v>&lt;50 m, and not separated from the 375-ha vegetated area by any width of paved roads, stretches of open water, row crops, bare ground, lawn, or impervious surface. Or the AA itself contains &gt;375 ha of vegetation. [This is often the answer in relatively undeveloped landscapes.]</v>
      </c>
      <c r="D17" s="1643">
        <f>OF!D32</f>
        <v>0</v>
      </c>
      <c r="E17" s="1644">
        <v>0</v>
      </c>
      <c r="F17" s="1645">
        <f t="shared" ref="F17:F23" si="1">D17*E17</f>
        <v>0</v>
      </c>
      <c r="G17" s="1646"/>
      <c r="H17" s="3046"/>
      <c r="I17" s="3091"/>
    </row>
    <row r="18" spans="1:15" ht="27" customHeight="1" x14ac:dyDescent="0.2">
      <c r="A18" s="3053"/>
      <c r="B18" s="3047"/>
      <c r="C18" s="1663" t="str">
        <f>OF!C33</f>
        <v>&lt;50 m, but completely separated from the 375-ha vegetated area by those features, and AA does not contain &gt;375 ha of vegetation.</v>
      </c>
      <c r="D18" s="1664">
        <f>OF!D33</f>
        <v>0</v>
      </c>
      <c r="E18" s="1644">
        <v>1</v>
      </c>
      <c r="F18" s="1645">
        <f t="shared" si="1"/>
        <v>0</v>
      </c>
      <c r="G18" s="1648"/>
      <c r="H18" s="3046"/>
      <c r="I18" s="3091"/>
    </row>
    <row r="19" spans="1:15" ht="15" customHeight="1" x14ac:dyDescent="0.2">
      <c r="A19" s="3053"/>
      <c r="B19" s="3047"/>
      <c r="C19" s="1665" t="str">
        <f>OF!C34</f>
        <v>50-500 m, and not separated.</v>
      </c>
      <c r="D19" s="1643">
        <f>OF!D34</f>
        <v>0</v>
      </c>
      <c r="E19" s="1644">
        <v>2</v>
      </c>
      <c r="F19" s="1645">
        <f t="shared" si="1"/>
        <v>0</v>
      </c>
      <c r="G19" s="1648"/>
      <c r="H19" s="3046"/>
      <c r="I19" s="3091"/>
    </row>
    <row r="20" spans="1:15" ht="15" customHeight="1" x14ac:dyDescent="0.2">
      <c r="A20" s="3053"/>
      <c r="B20" s="3047"/>
      <c r="C20" s="1663" t="str">
        <f>OF!C35</f>
        <v>50-500 m, but separated by those features.</v>
      </c>
      <c r="D20" s="1643">
        <f>OF!D35</f>
        <v>0</v>
      </c>
      <c r="E20" s="1644">
        <v>3</v>
      </c>
      <c r="F20" s="1645">
        <f t="shared" si="1"/>
        <v>0</v>
      </c>
      <c r="G20" s="1648"/>
      <c r="H20" s="3046"/>
      <c r="I20" s="3091"/>
    </row>
    <row r="21" spans="1:15" ht="15" customHeight="1" x14ac:dyDescent="0.2">
      <c r="A21" s="3053"/>
      <c r="B21" s="3047"/>
      <c r="C21" s="1665" t="str">
        <f>OF!C36</f>
        <v>0.5 - 5 km, and not separated.</v>
      </c>
      <c r="D21" s="1643">
        <f>OF!D36</f>
        <v>0</v>
      </c>
      <c r="E21" s="1644">
        <v>4</v>
      </c>
      <c r="F21" s="1645">
        <f t="shared" si="1"/>
        <v>0</v>
      </c>
      <c r="G21" s="1648"/>
      <c r="H21" s="3046"/>
      <c r="I21" s="3091"/>
    </row>
    <row r="22" spans="1:15" ht="15" customHeight="1" x14ac:dyDescent="0.2">
      <c r="A22" s="3053"/>
      <c r="B22" s="3047"/>
      <c r="C22" s="1665" t="str">
        <f>OF!C37</f>
        <v>0.5 - 5 km, but separated by those features.</v>
      </c>
      <c r="D22" s="1643">
        <f>OF!D37</f>
        <v>1</v>
      </c>
      <c r="E22" s="1644">
        <v>5</v>
      </c>
      <c r="F22" s="1645">
        <f t="shared" si="1"/>
        <v>5</v>
      </c>
      <c r="G22" s="1648"/>
      <c r="H22" s="3046"/>
      <c r="I22" s="3091"/>
    </row>
    <row r="23" spans="1:15" ht="15" customHeight="1" thickBot="1" x14ac:dyDescent="0.25">
      <c r="A23" s="3054"/>
      <c r="B23" s="3070"/>
      <c r="C23" s="1666" t="str">
        <f>OF!C38</f>
        <v>None of the above (the closest patches or corridors which are that large are &gt;5 km away).</v>
      </c>
      <c r="D23" s="1652">
        <f>OF!D38</f>
        <v>0</v>
      </c>
      <c r="E23" s="1667">
        <v>6</v>
      </c>
      <c r="F23" s="1660">
        <f t="shared" si="1"/>
        <v>0</v>
      </c>
      <c r="G23" s="1661"/>
      <c r="H23" s="3056"/>
      <c r="I23" s="3092"/>
    </row>
    <row r="24" spans="1:15" ht="45" customHeight="1" thickBot="1" x14ac:dyDescent="0.25">
      <c r="A24" s="3052" t="str">
        <f>OF!A41</f>
        <v>OF8</v>
      </c>
      <c r="B24" s="3052" t="str">
        <f>OF!B41</f>
        <v>Local Vegetated Cover Percentage</v>
      </c>
      <c r="C24" s="1668" t="str">
        <f>OF!C41</f>
        <v>Draw a 5-km radius circle measured from the center of the AA.  Ignoring all permanent water in the circle, the percent of the remaining area that is wooded or unmanaged herbaceous vegetation (NOT lawn, row crops, bare or heavily grazed land, clearcuts, or conifer plantations) is:</v>
      </c>
      <c r="D24" s="1669"/>
      <c r="E24" s="1670"/>
      <c r="F24" s="1671"/>
      <c r="G24" s="1640">
        <f>MAX(F25:F29)/MAX(E25:E29)</f>
        <v>0.6</v>
      </c>
      <c r="H24" s="3052"/>
      <c r="I24" s="3090" t="s">
        <v>1321</v>
      </c>
    </row>
    <row r="25" spans="1:15" ht="15" customHeight="1" x14ac:dyDescent="0.2">
      <c r="A25" s="3053"/>
      <c r="B25" s="3053"/>
      <c r="C25" s="1672" t="str">
        <f>OF!C42</f>
        <v xml:space="preserve">&lt;5% of the land. </v>
      </c>
      <c r="D25" s="1643">
        <f>OF!D42</f>
        <v>0</v>
      </c>
      <c r="E25" s="1657">
        <v>5</v>
      </c>
      <c r="F25" s="1645">
        <f>D25*E25</f>
        <v>0</v>
      </c>
      <c r="G25" s="1648"/>
      <c r="H25" s="3053"/>
      <c r="I25" s="3091"/>
    </row>
    <row r="26" spans="1:15" ht="15" customHeight="1" x14ac:dyDescent="0.2">
      <c r="A26" s="3053"/>
      <c r="B26" s="3053"/>
      <c r="C26" s="1673" t="str">
        <f>OF!C43</f>
        <v>5 to 20% of the land.</v>
      </c>
      <c r="D26" s="1643">
        <f>OF!D43</f>
        <v>0</v>
      </c>
      <c r="E26" s="1657">
        <v>4</v>
      </c>
      <c r="F26" s="1645">
        <f>D26*E26</f>
        <v>0</v>
      </c>
      <c r="G26" s="1648"/>
      <c r="H26" s="3053"/>
      <c r="I26" s="3091"/>
    </row>
    <row r="27" spans="1:15" ht="15" customHeight="1" x14ac:dyDescent="0.2">
      <c r="A27" s="3053"/>
      <c r="B27" s="3053"/>
      <c r="C27" s="1665" t="str">
        <f>OF!C44</f>
        <v>20 to 60% of the land.</v>
      </c>
      <c r="D27" s="1643">
        <f>OF!D44</f>
        <v>1</v>
      </c>
      <c r="E27" s="1657">
        <v>3</v>
      </c>
      <c r="F27" s="1645">
        <f>D27*E27</f>
        <v>3</v>
      </c>
      <c r="G27" s="1648"/>
      <c r="H27" s="3053"/>
      <c r="I27" s="3091"/>
    </row>
    <row r="28" spans="1:15" ht="15" customHeight="1" x14ac:dyDescent="0.2">
      <c r="A28" s="3053"/>
      <c r="B28" s="3053"/>
      <c r="C28" s="1665" t="str">
        <f>OF!C45</f>
        <v>60 to 90% of the land.</v>
      </c>
      <c r="D28" s="1643">
        <f>OF!D45</f>
        <v>0</v>
      </c>
      <c r="E28" s="1657">
        <v>2</v>
      </c>
      <c r="F28" s="1645">
        <f>D28*E28</f>
        <v>0</v>
      </c>
      <c r="G28" s="1648"/>
      <c r="H28" s="3053"/>
      <c r="I28" s="3091"/>
    </row>
    <row r="29" spans="1:15" ht="15" customHeight="1" thickBot="1" x14ac:dyDescent="0.25">
      <c r="A29" s="3053"/>
      <c r="B29" s="3053"/>
      <c r="C29" s="1672" t="str">
        <f>OF!C46</f>
        <v>&gt;90% of the land. SKIP to OF10.</v>
      </c>
      <c r="D29" s="1650">
        <f>OF!D46</f>
        <v>0</v>
      </c>
      <c r="E29" s="1674">
        <v>0</v>
      </c>
      <c r="F29" s="1654">
        <f>D29*E29</f>
        <v>0</v>
      </c>
      <c r="G29" s="1655"/>
      <c r="H29" s="3054"/>
      <c r="I29" s="3092"/>
    </row>
    <row r="30" spans="1:15" ht="30" customHeight="1" thickBot="1" x14ac:dyDescent="0.25">
      <c r="A30" s="3077" t="str">
        <f>OF!A64</f>
        <v>OF13</v>
      </c>
      <c r="B30" s="3055" t="str">
        <f>OF!B64</f>
        <v>Distance to Ponded Water</v>
      </c>
      <c r="C30" s="1636" t="str">
        <f>OF!C64</f>
        <v>The distance from the AA center to the closest (but separate) ponded water body visible in GoogleEarth imagery is:</v>
      </c>
      <c r="D30" s="1638"/>
      <c r="E30" s="1638"/>
      <c r="F30" s="1639"/>
      <c r="G30" s="1640">
        <f>MAX(F31:F37)/MAX(E31:E37)</f>
        <v>0.83333333333333337</v>
      </c>
      <c r="H30" s="3052" t="s">
        <v>87</v>
      </c>
      <c r="I30" s="3090" t="s">
        <v>568</v>
      </c>
      <c r="O30" s="1675"/>
    </row>
    <row r="31" spans="1:15" ht="27" customHeight="1" x14ac:dyDescent="0.2">
      <c r="A31" s="3078"/>
      <c r="B31" s="3046"/>
      <c r="C31" s="1662" t="str">
        <f>OF!C65</f>
        <v xml:space="preserve">&lt;50 m, and not separated by any width of paved roads, stretches of open water, row crops, lawn, bare ground, or impervious surface. </v>
      </c>
      <c r="D31" s="1676">
        <f>OF!D65</f>
        <v>0</v>
      </c>
      <c r="E31" s="1657">
        <v>0</v>
      </c>
      <c r="F31" s="1645">
        <f t="shared" ref="F31:F37" si="2">D31*E31</f>
        <v>0</v>
      </c>
      <c r="G31" s="1646"/>
      <c r="H31" s="3053"/>
      <c r="I31" s="3091"/>
    </row>
    <row r="32" spans="1:15" ht="15" customHeight="1" x14ac:dyDescent="0.2">
      <c r="A32" s="3078"/>
      <c r="B32" s="3046"/>
      <c r="C32" s="1677" t="str">
        <f>OF!C66</f>
        <v>&lt;50 m, but completely separated by those features.</v>
      </c>
      <c r="D32" s="1678">
        <f>OF!D66</f>
        <v>0</v>
      </c>
      <c r="E32" s="1657">
        <v>1</v>
      </c>
      <c r="F32" s="1645">
        <f t="shared" si="2"/>
        <v>0</v>
      </c>
      <c r="G32" s="1648"/>
      <c r="H32" s="3053"/>
      <c r="I32" s="3091"/>
    </row>
    <row r="33" spans="1:9" ht="15" customHeight="1" x14ac:dyDescent="0.2">
      <c r="A33" s="3078"/>
      <c r="B33" s="3046"/>
      <c r="C33" s="1663" t="str">
        <f>OF!C67</f>
        <v>50-500 m, and not separated.</v>
      </c>
      <c r="D33" s="1678">
        <f>OF!D67</f>
        <v>0</v>
      </c>
      <c r="E33" s="1657">
        <v>2</v>
      </c>
      <c r="F33" s="1645">
        <f t="shared" si="2"/>
        <v>0</v>
      </c>
      <c r="G33" s="1648"/>
      <c r="H33" s="3053"/>
      <c r="I33" s="3091"/>
    </row>
    <row r="34" spans="1:9" ht="15" customHeight="1" x14ac:dyDescent="0.2">
      <c r="A34" s="3078"/>
      <c r="B34" s="3046"/>
      <c r="C34" s="1665" t="str">
        <f>OF!C68</f>
        <v>50-500 m, but separated by those features.</v>
      </c>
      <c r="D34" s="1678">
        <f>OF!D69</f>
        <v>0</v>
      </c>
      <c r="E34" s="1657">
        <v>3</v>
      </c>
      <c r="F34" s="1645">
        <f t="shared" si="2"/>
        <v>0</v>
      </c>
      <c r="G34" s="1648"/>
      <c r="H34" s="3053"/>
      <c r="I34" s="3091"/>
    </row>
    <row r="35" spans="1:9" ht="15" customHeight="1" x14ac:dyDescent="0.2">
      <c r="A35" s="3078"/>
      <c r="B35" s="3046"/>
      <c r="C35" s="1663" t="str">
        <f>OF!C69</f>
        <v>0.5 - 1 km, and not separated.</v>
      </c>
      <c r="D35" s="1678">
        <f>OF!D70</f>
        <v>1</v>
      </c>
      <c r="E35" s="1657">
        <v>4</v>
      </c>
      <c r="F35" s="1645">
        <f t="shared" si="2"/>
        <v>4</v>
      </c>
      <c r="G35" s="1648"/>
      <c r="H35" s="3053"/>
      <c r="I35" s="3091"/>
    </row>
    <row r="36" spans="1:9" ht="15" customHeight="1" x14ac:dyDescent="0.2">
      <c r="A36" s="3078"/>
      <c r="B36" s="3046"/>
      <c r="C36" s="1665" t="str">
        <f>OF!C70</f>
        <v>0.5 - 1 km, but separated by those features.</v>
      </c>
      <c r="D36" s="1643">
        <f>OF!D70</f>
        <v>1</v>
      </c>
      <c r="E36" s="1653">
        <v>5</v>
      </c>
      <c r="F36" s="1654">
        <f t="shared" si="2"/>
        <v>5</v>
      </c>
      <c r="G36" s="1655"/>
      <c r="H36" s="3053"/>
      <c r="I36" s="3091"/>
    </row>
    <row r="37" spans="1:9" ht="15" customHeight="1" thickBot="1" x14ac:dyDescent="0.25">
      <c r="A37" s="3079"/>
      <c r="B37" s="3056"/>
      <c r="C37" s="1666" t="str">
        <f>OF!C71</f>
        <v>None of the above (the closest patches or corridors that large are &gt;1 km away).</v>
      </c>
      <c r="D37" s="1679">
        <f>OF!D71</f>
        <v>0</v>
      </c>
      <c r="E37" s="1680">
        <v>6</v>
      </c>
      <c r="F37" s="1660">
        <f t="shared" si="2"/>
        <v>0</v>
      </c>
      <c r="G37" s="1661"/>
      <c r="H37" s="3054"/>
      <c r="I37" s="3092"/>
    </row>
    <row r="38" spans="1:9" ht="30" customHeight="1" thickBot="1" x14ac:dyDescent="0.25">
      <c r="A38" s="3076" t="str">
        <f>OF!A72</f>
        <v>OF14</v>
      </c>
      <c r="B38" s="3062" t="str">
        <f>OF!B72</f>
        <v>Distance to Large Ponded Water</v>
      </c>
      <c r="C38" s="1636" t="str">
        <f>OF!C72</f>
        <v>The distance from the AA center to the closest (but separate) non-tidal body of water that is ponded during most of the year and is larger than 8 hectares during most of a normal year is:</v>
      </c>
      <c r="D38" s="1638"/>
      <c r="E38" s="1638"/>
      <c r="F38" s="1639"/>
      <c r="G38" s="1640">
        <f>MAX(F39:F44)/MAX(E39:E44)</f>
        <v>0.66666666666666663</v>
      </c>
      <c r="H38" s="3052" t="s">
        <v>1110</v>
      </c>
      <c r="I38" s="3090" t="s">
        <v>569</v>
      </c>
    </row>
    <row r="39" spans="1:9" ht="15" customHeight="1" x14ac:dyDescent="0.2">
      <c r="A39" s="3068"/>
      <c r="B39" s="3048"/>
      <c r="C39" s="1642" t="str">
        <f>OF!C73</f>
        <v>&lt;100 m.</v>
      </c>
      <c r="D39" s="1656">
        <f>OF!D73</f>
        <v>0</v>
      </c>
      <c r="E39" s="1657">
        <v>0</v>
      </c>
      <c r="F39" s="1645">
        <f t="shared" ref="F39:F44" si="3">D39*E39</f>
        <v>0</v>
      </c>
      <c r="G39" s="1646"/>
      <c r="H39" s="3053"/>
      <c r="I39" s="3091"/>
    </row>
    <row r="40" spans="1:9" ht="15" customHeight="1" x14ac:dyDescent="0.2">
      <c r="A40" s="3068"/>
      <c r="B40" s="3048"/>
      <c r="C40" s="1642" t="str">
        <f>OF!C74</f>
        <v>100 m - 1 km.</v>
      </c>
      <c r="D40" s="1656">
        <f>OF!D74</f>
        <v>0</v>
      </c>
      <c r="E40" s="1657">
        <v>1</v>
      </c>
      <c r="F40" s="1645">
        <f t="shared" si="3"/>
        <v>0</v>
      </c>
      <c r="G40" s="1648"/>
      <c r="H40" s="3053"/>
      <c r="I40" s="3091"/>
    </row>
    <row r="41" spans="1:9" ht="15" customHeight="1" x14ac:dyDescent="0.2">
      <c r="A41" s="3068"/>
      <c r="B41" s="3048"/>
      <c r="C41" s="1642" t="str">
        <f>OF!C75</f>
        <v>1 -2 km.</v>
      </c>
      <c r="D41" s="1656">
        <f>OF!D75</f>
        <v>0</v>
      </c>
      <c r="E41" s="1674">
        <v>2</v>
      </c>
      <c r="F41" s="1654">
        <f t="shared" si="3"/>
        <v>0</v>
      </c>
      <c r="G41" s="1655"/>
      <c r="H41" s="3053"/>
      <c r="I41" s="3091"/>
    </row>
    <row r="42" spans="1:9" ht="15" customHeight="1" x14ac:dyDescent="0.2">
      <c r="A42" s="3068"/>
      <c r="B42" s="3048"/>
      <c r="C42" s="1642" t="str">
        <f>OF!C76</f>
        <v>2-5 km.</v>
      </c>
      <c r="D42" s="1656">
        <f>OF!D76</f>
        <v>0</v>
      </c>
      <c r="E42" s="1674">
        <v>3</v>
      </c>
      <c r="F42" s="1654">
        <f t="shared" si="3"/>
        <v>0</v>
      </c>
      <c r="G42" s="1655"/>
      <c r="H42" s="3053"/>
      <c r="I42" s="3091"/>
    </row>
    <row r="43" spans="1:9" ht="15" customHeight="1" x14ac:dyDescent="0.2">
      <c r="A43" s="3068"/>
      <c r="B43" s="3048"/>
      <c r="C43" s="1642" t="str">
        <f>OF!C77</f>
        <v>5-10 km.</v>
      </c>
      <c r="D43" s="1656">
        <f>OF!D77</f>
        <v>1</v>
      </c>
      <c r="E43" s="1674">
        <v>4</v>
      </c>
      <c r="F43" s="1654">
        <f t="shared" si="3"/>
        <v>4</v>
      </c>
      <c r="G43" s="1655"/>
      <c r="H43" s="3053"/>
      <c r="I43" s="3091"/>
    </row>
    <row r="44" spans="1:9" ht="15" customHeight="1" thickBot="1" x14ac:dyDescent="0.25">
      <c r="A44" s="3069"/>
      <c r="B44" s="3073"/>
      <c r="C44" s="1642" t="str">
        <f>OF!C78</f>
        <v>&gt;10 km.</v>
      </c>
      <c r="D44" s="1656">
        <f>OF!D78</f>
        <v>0</v>
      </c>
      <c r="E44" s="1659">
        <v>6</v>
      </c>
      <c r="F44" s="1660">
        <f t="shared" si="3"/>
        <v>0</v>
      </c>
      <c r="G44" s="1661"/>
      <c r="H44" s="3054"/>
      <c r="I44" s="3092"/>
    </row>
    <row r="45" spans="1:9" ht="21" customHeight="1" thickBot="1" x14ac:dyDescent="0.25">
      <c r="A45" s="3067" t="str">
        <f>OF!A86</f>
        <v>OF16</v>
      </c>
      <c r="B45" s="3052" t="str">
        <f>OF!B86</f>
        <v>Upland Edge Contact</v>
      </c>
      <c r="C45" s="1681" t="str">
        <f>OF!C86</f>
        <v>Select one:</v>
      </c>
      <c r="D45" s="1638"/>
      <c r="E45" s="1670"/>
      <c r="F45" s="1639"/>
      <c r="G45" s="1640">
        <f>MAX(F46:F48)/MAX(E46:E48)</f>
        <v>0</v>
      </c>
      <c r="H45" s="3052" t="s">
        <v>549</v>
      </c>
      <c r="I45" s="3090" t="s">
        <v>570</v>
      </c>
    </row>
    <row r="46" spans="1:9" ht="27" customHeight="1" x14ac:dyDescent="0.2">
      <c r="A46" s="3068"/>
      <c r="B46" s="3053"/>
      <c r="C46" s="1682" t="str">
        <f>OF!C87</f>
        <v>The AA has no upland edge (or upland is &lt;1% of perimeter). The AA is entirely surrounded by (&amp; contiguous with) other wetlands or water.</v>
      </c>
      <c r="D46" s="1656">
        <f>OF!D87</f>
        <v>1</v>
      </c>
      <c r="E46" s="1683">
        <v>0</v>
      </c>
      <c r="F46" s="1645">
        <f>D46*E46</f>
        <v>0</v>
      </c>
      <c r="G46" s="1646"/>
      <c r="H46" s="3053"/>
      <c r="I46" s="3091"/>
    </row>
    <row r="47" spans="1:9" ht="27" customHeight="1" x14ac:dyDescent="0.2">
      <c r="A47" s="3068"/>
      <c r="B47" s="3053"/>
      <c r="C47" s="1682" t="str">
        <f>OF!C90</f>
        <v>50-75% of the AA's perimeter abuts upland. The rest adjoins other wetlands or water that is mostly wider than the AA.</v>
      </c>
      <c r="D47" s="1656">
        <f>OF!D90</f>
        <v>0</v>
      </c>
      <c r="E47" s="1683">
        <v>2</v>
      </c>
      <c r="F47" s="1645">
        <f>D47*E47</f>
        <v>0</v>
      </c>
      <c r="G47" s="1648"/>
      <c r="H47" s="3053"/>
      <c r="I47" s="3091"/>
    </row>
    <row r="48" spans="1:9" ht="27" customHeight="1" thickBot="1" x14ac:dyDescent="0.25">
      <c r="A48" s="3069"/>
      <c r="B48" s="3054"/>
      <c r="C48" s="1684" t="str">
        <f>OF!C91</f>
        <v>More than 75% of the AA's perimeter abuts upland. Any remainder adjoins other wetlands or water that is mostly wider than the AA.  This will be true for most assessments done with WESP-AC.</v>
      </c>
      <c r="D48" s="1679">
        <f>OF!D91</f>
        <v>0</v>
      </c>
      <c r="E48" s="1685">
        <v>1</v>
      </c>
      <c r="F48" s="1660">
        <f>D48*E48</f>
        <v>0</v>
      </c>
      <c r="G48" s="1661"/>
      <c r="H48" s="3054"/>
      <c r="I48" s="3092"/>
    </row>
    <row r="49" spans="1:9" ht="60" customHeight="1" thickBot="1" x14ac:dyDescent="0.25">
      <c r="A49" s="1862" t="str">
        <f>OF!A97</f>
        <v>OF18</v>
      </c>
      <c r="B49" s="1668" t="str">
        <f>OF!B97</f>
        <v>Relative Elevation in Watershed</v>
      </c>
      <c r="C49" s="1862" t="str">
        <f>OF!C97</f>
        <v>In Google Earth, enable the Terrain layer (lower left menu) and open the NB_Watersheds KMZ file that accompanies this calculator. Then determine the AA's approximate elevation (bottom right, NOT the "eye alt").  Then move cursor around to determine the watershed's maximum and minimum elevation.  Divide the AA's elevation by the (max-min).</v>
      </c>
      <c r="D49" s="1863"/>
      <c r="E49" s="1863"/>
      <c r="F49" s="1864"/>
      <c r="G49" s="1686">
        <f>ShedPos</f>
        <v>0.01</v>
      </c>
      <c r="H49" s="1731" t="s">
        <v>1326</v>
      </c>
      <c r="I49" s="1865" t="s">
        <v>1325</v>
      </c>
    </row>
    <row r="50" spans="1:9" ht="90.75" customHeight="1" thickBot="1" x14ac:dyDescent="0.25">
      <c r="A50" s="3047" t="str">
        <f>OF!A109</f>
        <v>OF22</v>
      </c>
      <c r="B50" s="3071" t="str">
        <f>OF!B109</f>
        <v>Wetland as a % of Its Contributing Area (Catchment)</v>
      </c>
      <c r="C50" s="1668" t="str">
        <f>OF!C109</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50" s="1707"/>
      <c r="E50" s="1692"/>
      <c r="F50" s="1693"/>
      <c r="G50" s="1694">
        <f>MAX(F51:F54)/MAX(E51:E54)</f>
        <v>0</v>
      </c>
      <c r="H50" s="3053" t="s">
        <v>1006</v>
      </c>
      <c r="I50" s="3091" t="s">
        <v>284</v>
      </c>
    </row>
    <row r="51" spans="1:9" ht="15" customHeight="1" x14ac:dyDescent="0.2">
      <c r="A51" s="3048"/>
      <c r="B51" s="3064"/>
      <c r="C51" s="1996" t="str">
        <f>OF!C110</f>
        <v>&lt;0.01, or catchment size unknown due to stormwater pipes that collect water from an indeterminate area.</v>
      </c>
      <c r="D51" s="1676">
        <f>OF!D110</f>
        <v>0</v>
      </c>
      <c r="E51" s="1657">
        <v>0</v>
      </c>
      <c r="F51" s="1645">
        <f>D51*E51</f>
        <v>0</v>
      </c>
      <c r="G51" s="1646"/>
      <c r="H51" s="3053"/>
      <c r="I51" s="3091"/>
    </row>
    <row r="52" spans="1:9" ht="15" customHeight="1" x14ac:dyDescent="0.2">
      <c r="A52" s="3048"/>
      <c r="B52" s="3064"/>
      <c r="C52" s="1995" t="str">
        <f>OF!C111</f>
        <v>0.01 to 0.1.</v>
      </c>
      <c r="D52" s="1678">
        <f>OF!D111</f>
        <v>0</v>
      </c>
      <c r="E52" s="1657">
        <v>1</v>
      </c>
      <c r="F52" s="1645">
        <f>D52*E52</f>
        <v>0</v>
      </c>
      <c r="G52" s="1648"/>
      <c r="H52" s="3053"/>
      <c r="I52" s="3091"/>
    </row>
    <row r="53" spans="1:9" ht="15" customHeight="1" x14ac:dyDescent="0.2">
      <c r="A53" s="3048"/>
      <c r="B53" s="3064"/>
      <c r="C53" s="1995" t="str">
        <f>OF!C112</f>
        <v>0.1 to 1.</v>
      </c>
      <c r="D53" s="1678">
        <f>OF!D112</f>
        <v>0</v>
      </c>
      <c r="E53" s="1657">
        <v>2</v>
      </c>
      <c r="F53" s="1645">
        <f>D53*E53</f>
        <v>0</v>
      </c>
      <c r="G53" s="1648"/>
      <c r="H53" s="3053"/>
      <c r="I53" s="3091"/>
    </row>
    <row r="54" spans="1:9" ht="27" customHeight="1" thickBot="1" x14ac:dyDescent="0.25">
      <c r="A54" s="3048"/>
      <c r="B54" s="3064"/>
      <c r="C54" s="1666" t="str">
        <f>OF!C113</f>
        <v xml:space="preserve">&gt;1 (wetland is larger than its catchment (e.g., wetland with flat surrounding terrain and no inlet, or is entirely isolated by dikes, or is a raised bog). </v>
      </c>
      <c r="D54" s="1879">
        <f>OF!D113</f>
        <v>0</v>
      </c>
      <c r="E54" s="1674">
        <v>3</v>
      </c>
      <c r="F54" s="1654">
        <f>D54*E54</f>
        <v>0</v>
      </c>
      <c r="G54" s="1655"/>
      <c r="H54" s="3053"/>
      <c r="I54" s="3092"/>
    </row>
    <row r="55" spans="1:9" ht="45" customHeight="1" thickBot="1" x14ac:dyDescent="0.25">
      <c r="A55" s="1882" t="str">
        <f>OF!A133</f>
        <v>OF27</v>
      </c>
      <c r="B55" s="1880" t="str">
        <f>OF!B133</f>
        <v>Growing Degree Days</v>
      </c>
      <c r="C55" s="1880" t="str">
        <f>OF!C133</f>
        <v>In Google Earth, open the KMZ file that accompanies this calculator, called NB-PEI_GrowingDegreeDays. Place your cursor over the AA and left-click. From the pop-up, enter the GRIDCODE in the next column.</v>
      </c>
      <c r="D55" s="2146">
        <f>OF!D133</f>
        <v>2135</v>
      </c>
      <c r="E55" s="1863"/>
      <c r="F55" s="1881"/>
      <c r="G55" s="1686">
        <f>IF((GrowD&lt;1),"",1-((GrowD-1305)/1328))</f>
        <v>0.375</v>
      </c>
      <c r="H55" s="1731" t="s">
        <v>969</v>
      </c>
      <c r="I55" s="1696" t="s">
        <v>283</v>
      </c>
    </row>
    <row r="56" spans="1:9" ht="30" customHeight="1" thickBot="1" x14ac:dyDescent="0.25">
      <c r="A56" s="3053" t="str">
        <f>OF!A139</f>
        <v>OF29</v>
      </c>
      <c r="B56" s="3068" t="str">
        <f>OF!B139</f>
        <v>Species of Conservation Concern</v>
      </c>
      <c r="C56" s="1668" t="str">
        <f>OF!C139</f>
        <v>Within the past 10 years, in the AA (or in its adjoining waters or wetland), qualified observers have documented [mark all applicable]:</v>
      </c>
      <c r="D56" s="2292"/>
      <c r="E56" s="2293"/>
      <c r="F56" s="2294"/>
      <c r="G56" s="2295">
        <f>IF((D61=1),"",MAX(F57:F60)/MAX(E57:E60))</f>
        <v>1</v>
      </c>
      <c r="H56" s="3053" t="s">
        <v>608</v>
      </c>
      <c r="I56" s="3090" t="s">
        <v>1323</v>
      </c>
    </row>
    <row r="57" spans="1:9" ht="31.5" customHeight="1" x14ac:dyDescent="0.2">
      <c r="A57" s="3053"/>
      <c r="B57" s="3068"/>
      <c r="C57" s="2291" t="str">
        <f>OF!C140</f>
        <v xml:space="preserve">Presence of one or more of the plant species listed in the Plants_Rare worksheet of the accompanying SuppInfo file, or the AA is within a mapped Atlantic Coastal Plain Flora Buffer </v>
      </c>
      <c r="D57" s="1678">
        <f>OF!D140</f>
        <v>1</v>
      </c>
      <c r="E57" s="1697">
        <v>1</v>
      </c>
      <c r="F57" s="1645">
        <f>D57*E57</f>
        <v>1</v>
      </c>
      <c r="G57" s="2296"/>
      <c r="H57" s="3053"/>
      <c r="I57" s="3091"/>
    </row>
    <row r="58" spans="1:9" ht="27" customHeight="1" x14ac:dyDescent="0.2">
      <c r="A58" s="3053"/>
      <c r="B58" s="3068"/>
      <c r="C58" s="2290" t="str">
        <f>OF!C141</f>
        <v>Presence of one or more of the amphibian or reptile species (AM) of conservation concern as listed in the Wildlife_Rare worksheet of the accompanying SuppInfo file.</v>
      </c>
      <c r="D58" s="1649">
        <f>OF!D141</f>
        <v>0</v>
      </c>
      <c r="E58" s="1697">
        <v>1</v>
      </c>
      <c r="F58" s="1645">
        <f>D58*E58</f>
        <v>0</v>
      </c>
      <c r="G58" s="2297"/>
      <c r="H58" s="3053"/>
      <c r="I58" s="3091"/>
    </row>
    <row r="59" spans="1:9" ht="27" customHeight="1" x14ac:dyDescent="0.2">
      <c r="A59" s="3053"/>
      <c r="B59" s="3068"/>
      <c r="C59" s="2290" t="str">
        <f>OF!C142</f>
        <v>Presence of one or more of the waterbird species (WBF, WBN) of conservation concern as listed in the Wildlife_Rare worksheet of the accompanying SuppInfo file.</v>
      </c>
      <c r="D59" s="1643">
        <f>OF!D142</f>
        <v>0</v>
      </c>
      <c r="E59" s="1697">
        <v>1</v>
      </c>
      <c r="F59" s="1645">
        <f t="shared" ref="F59:F61" si="4">D59*E59</f>
        <v>0</v>
      </c>
      <c r="G59" s="2297"/>
      <c r="H59" s="3053"/>
      <c r="I59" s="3091"/>
    </row>
    <row r="60" spans="1:9" ht="27" customHeight="1" x14ac:dyDescent="0.2">
      <c r="A60" s="3053"/>
      <c r="B60" s="3068"/>
      <c r="C60" s="2290" t="str">
        <f>OF!C143</f>
        <v>Presence of one or more of the nesting songbird or raptor species (SBM) of conservation concern as listed in the Wildlife_Rare worksheet of the accompanying SuppInfo file, during their nesting season (May-July for most species).</v>
      </c>
      <c r="D60" s="1643">
        <f>OF!D143</f>
        <v>1</v>
      </c>
      <c r="E60" s="1697">
        <v>1</v>
      </c>
      <c r="F60" s="1645">
        <f t="shared" si="4"/>
        <v>1</v>
      </c>
      <c r="G60" s="2297"/>
      <c r="H60" s="3053"/>
      <c r="I60" s="3091"/>
    </row>
    <row r="61" spans="1:9" ht="21.75" customHeight="1" thickBot="1" x14ac:dyDescent="0.25">
      <c r="A61" s="3054"/>
      <c r="B61" s="3069"/>
      <c r="C61" s="1666" t="str">
        <f>OF!C144</f>
        <v>None of the above, or no data.</v>
      </c>
      <c r="D61" s="1652">
        <f>OF!D144</f>
        <v>0</v>
      </c>
      <c r="E61" s="1698">
        <v>1</v>
      </c>
      <c r="F61" s="1660">
        <f t="shared" si="4"/>
        <v>0</v>
      </c>
      <c r="G61" s="2298"/>
      <c r="H61" s="3054"/>
      <c r="I61" s="3092"/>
    </row>
    <row r="62" spans="1:9" s="1675" customFormat="1" ht="26.25" customHeight="1" thickBot="1" x14ac:dyDescent="0.25">
      <c r="A62" s="3049" t="str">
        <f>F!A4</f>
        <v>F1</v>
      </c>
      <c r="B62" s="3055" t="str">
        <f>F!B4</f>
        <v>Wetland Type</v>
      </c>
      <c r="C62" s="2289" t="str">
        <f>F!C4</f>
        <v>Follow the key below and mark the ONE row that best describes MOST of the vegetated part of the AA:</v>
      </c>
      <c r="D62" s="1707"/>
      <c r="E62" s="1710"/>
      <c r="F62" s="1693"/>
      <c r="G62" s="1694">
        <f>MAX(F63:F68)/MAX(E63:E68)</f>
        <v>0.25</v>
      </c>
      <c r="H62" s="3055" t="s">
        <v>2242</v>
      </c>
      <c r="I62" s="3101" t="s">
        <v>548</v>
      </c>
    </row>
    <row r="63" spans="1:9" s="1675" customFormat="1" ht="42" customHeight="1" thickBot="1" x14ac:dyDescent="0.25">
      <c r="A63" s="3050"/>
      <c r="B63" s="3046"/>
      <c r="C63" s="1699"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63" s="1701"/>
      <c r="E63" s="1645"/>
      <c r="F63" s="1645"/>
      <c r="G63" s="1646"/>
      <c r="H63" s="3046"/>
      <c r="I63" s="3102"/>
    </row>
    <row r="64" spans="1:9" s="1675" customFormat="1" ht="81.75" customHeight="1" x14ac:dyDescent="0.2">
      <c r="A64" s="3050"/>
      <c r="B64" s="3046"/>
      <c r="C64" s="2139"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64" s="1718">
        <f>F!D6</f>
        <v>0</v>
      </c>
      <c r="E64" s="1645">
        <v>4</v>
      </c>
      <c r="F64" s="1645">
        <f>D64*E64</f>
        <v>0</v>
      </c>
      <c r="G64" s="1648"/>
      <c r="H64" s="3046"/>
      <c r="I64" s="3102"/>
    </row>
    <row r="65" spans="1:9" s="1675" customFormat="1" ht="57" customHeight="1" thickBot="1" x14ac:dyDescent="0.25">
      <c r="A65" s="3050"/>
      <c r="B65" s="3046"/>
      <c r="C65" s="2140"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65" s="1702">
        <f>F!D7</f>
        <v>0</v>
      </c>
      <c r="E65" s="1645">
        <v>2</v>
      </c>
      <c r="F65" s="1645">
        <f>D65*E65</f>
        <v>0</v>
      </c>
      <c r="G65" s="1648"/>
      <c r="H65" s="3046"/>
      <c r="I65" s="3102"/>
    </row>
    <row r="66" spans="1:9" s="1675" customFormat="1" ht="30" customHeight="1" thickBot="1" x14ac:dyDescent="0.25">
      <c r="A66" s="3050"/>
      <c r="B66" s="3046"/>
      <c r="C66" s="1699" t="str">
        <f>F!C8</f>
        <v>B. Moss and/or lichen cover less than 25% of the ground. Soil is mineral or decomposed organic (muck). Choose between B1 and B2 and mark the choice with a 1 in their adjoining column:</v>
      </c>
      <c r="D66" s="1701"/>
      <c r="E66" s="1645"/>
      <c r="F66" s="1645"/>
      <c r="G66" s="1646"/>
      <c r="H66" s="3046"/>
      <c r="I66" s="3102"/>
    </row>
    <row r="67" spans="1:9" s="1675" customFormat="1" ht="27" customHeight="1" x14ac:dyDescent="0.2">
      <c r="A67" s="3050"/>
      <c r="B67" s="3046"/>
      <c r="C67" s="2139" t="str">
        <f>F!C9</f>
        <v>B1. Trees and shrubs taller than 1 m comprise more than 25% of the vegetated cover. Surface water is mostly absent or inundates the vegetation only seasonally (e.g., vernal pools or floodplain).</v>
      </c>
      <c r="D67" s="1718">
        <f>F!D9</f>
        <v>0</v>
      </c>
      <c r="E67" s="1645">
        <v>3</v>
      </c>
      <c r="F67" s="1645">
        <f>D67*E67</f>
        <v>0</v>
      </c>
      <c r="G67" s="1646"/>
      <c r="H67" s="3046"/>
      <c r="I67" s="3102"/>
    </row>
    <row r="68" spans="1:9" s="1675" customFormat="1" ht="42" customHeight="1" thickBot="1" x14ac:dyDescent="0.25">
      <c r="A68" s="3051"/>
      <c r="B68" s="3056"/>
      <c r="C68" s="2140"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68" s="1703">
        <f>F!D10</f>
        <v>1</v>
      </c>
      <c r="E68" s="1660">
        <v>1</v>
      </c>
      <c r="F68" s="1660">
        <f>D68*E68</f>
        <v>1</v>
      </c>
      <c r="G68" s="1661"/>
      <c r="H68" s="3056"/>
      <c r="I68" s="3103"/>
    </row>
    <row r="69" spans="1:9" ht="45" customHeight="1" thickBot="1" x14ac:dyDescent="0.25">
      <c r="A69" s="1704" t="str">
        <f>F!A17</f>
        <v>F3</v>
      </c>
      <c r="B69" s="1704" t="str">
        <f>F!B17</f>
        <v>Woody Height &amp; Form Diversity</v>
      </c>
      <c r="C69" s="1705" t="str">
        <f>F!C17</f>
        <v>Following EACH row below, indicate with a number code the percentage of the living vegetation in the AA which is occupied by that feature (6 if &gt;95%, 5 if 75-95%, 4 if 50-75%, 3 if 25-50%, 2 if 5-25%, 1 if &lt;5%, 0 if none). If the vegetated part of the AA is largely herbaceous (non-woody) vegetation, these percentages should not sum to 100%.</v>
      </c>
      <c r="D69" s="1701"/>
      <c r="E69" s="1645"/>
      <c r="F69" s="1693"/>
      <c r="G69" s="1640">
        <f>MAX(F!D18:'F'!D19)/6</f>
        <v>0.16666666666666666</v>
      </c>
      <c r="H69" s="2154" t="s">
        <v>2917</v>
      </c>
      <c r="I69" s="1708" t="s">
        <v>285</v>
      </c>
    </row>
    <row r="70" spans="1:9" ht="45" customHeight="1" thickBot="1" x14ac:dyDescent="0.25">
      <c r="A70" s="3066" t="str">
        <f>F!A28</f>
        <v>F5</v>
      </c>
      <c r="B70" s="3062" t="str">
        <f>F!B28</f>
        <v>Woody Diameter Classes</v>
      </c>
      <c r="C70" s="1636" t="str">
        <f>F!C28</f>
        <v>Mark ALL the types that comprise &gt;5% of the woody canopy cover in the AA or &gt;5% of the wooded areas (if any) along its upland edge (perimeter).  The edge should include only the trees whose canopies extend into the AA.</v>
      </c>
      <c r="D70" s="1638"/>
      <c r="E70" s="1638"/>
      <c r="F70" s="1639"/>
      <c r="G70" s="1640" t="str">
        <f>IF((MAX(F!D18:D21)&lt;3),"",(MAX(F71:F78))/MAX(E71:E78))</f>
        <v/>
      </c>
      <c r="H70" s="3057" t="s">
        <v>2514</v>
      </c>
      <c r="I70" s="3090" t="s">
        <v>559</v>
      </c>
    </row>
    <row r="71" spans="1:9" ht="15" customHeight="1" x14ac:dyDescent="0.2">
      <c r="A71" s="3071"/>
      <c r="B71" s="3047"/>
      <c r="C71" s="1642" t="str">
        <f>F!C29</f>
        <v>coniferous, 1-9 cm diameter and &gt;1 m tall.</v>
      </c>
      <c r="D71" s="1656">
        <f>F!D29</f>
        <v>0</v>
      </c>
      <c r="E71" s="1687">
        <v>0</v>
      </c>
      <c r="F71" s="1645">
        <f t="shared" ref="F71:F78" si="5">D71*E71</f>
        <v>0</v>
      </c>
      <c r="G71" s="1646"/>
      <c r="H71" s="3058"/>
      <c r="I71" s="3091"/>
    </row>
    <row r="72" spans="1:9" ht="15" customHeight="1" x14ac:dyDescent="0.2">
      <c r="A72" s="3071"/>
      <c r="B72" s="3047"/>
      <c r="C72" s="1647" t="str">
        <f>F!C30</f>
        <v>broad-leaved deciduous 1-9 cm diameter and &gt;1 m tall.</v>
      </c>
      <c r="D72" s="1643">
        <f>F!D30</f>
        <v>0</v>
      </c>
      <c r="E72" s="1687">
        <v>0</v>
      </c>
      <c r="F72" s="1645">
        <f t="shared" si="5"/>
        <v>0</v>
      </c>
      <c r="G72" s="1648"/>
      <c r="H72" s="3058"/>
      <c r="I72" s="3091"/>
    </row>
    <row r="73" spans="1:9" ht="15" customHeight="1" x14ac:dyDescent="0.2">
      <c r="A73" s="3071"/>
      <c r="B73" s="3047"/>
      <c r="C73" s="1647" t="str">
        <f>F!C31</f>
        <v>coniferous, 10-19 cm diameter.</v>
      </c>
      <c r="D73" s="1643">
        <f>F!D31</f>
        <v>0</v>
      </c>
      <c r="E73" s="1687">
        <v>1</v>
      </c>
      <c r="F73" s="1645">
        <f t="shared" si="5"/>
        <v>0</v>
      </c>
      <c r="G73" s="1648"/>
      <c r="H73" s="3058"/>
      <c r="I73" s="3091"/>
    </row>
    <row r="74" spans="1:9" ht="15" customHeight="1" x14ac:dyDescent="0.2">
      <c r="A74" s="3071"/>
      <c r="B74" s="3047"/>
      <c r="C74" s="1647" t="str">
        <f>F!C32</f>
        <v>broad-leaved deciduous 10-19 cm diameter.</v>
      </c>
      <c r="D74" s="1643">
        <f>F!D32</f>
        <v>0</v>
      </c>
      <c r="E74" s="1687">
        <v>1</v>
      </c>
      <c r="F74" s="1645">
        <f t="shared" si="5"/>
        <v>0</v>
      </c>
      <c r="G74" s="1648"/>
      <c r="H74" s="3058"/>
      <c r="I74" s="3091"/>
    </row>
    <row r="75" spans="1:9" ht="15" customHeight="1" x14ac:dyDescent="0.2">
      <c r="A75" s="3071"/>
      <c r="B75" s="3047"/>
      <c r="C75" s="1647" t="str">
        <f>F!C33</f>
        <v>coniferous, 20-40 cm diameter.</v>
      </c>
      <c r="D75" s="1643">
        <f>F!D33</f>
        <v>0</v>
      </c>
      <c r="E75" s="1687">
        <v>2</v>
      </c>
      <c r="F75" s="1645">
        <f t="shared" si="5"/>
        <v>0</v>
      </c>
      <c r="G75" s="1648"/>
      <c r="H75" s="3058"/>
      <c r="I75" s="3091"/>
    </row>
    <row r="76" spans="1:9" ht="15" customHeight="1" x14ac:dyDescent="0.2">
      <c r="A76" s="3071"/>
      <c r="B76" s="3047"/>
      <c r="C76" s="1647" t="str">
        <f>F!C34</f>
        <v>broad-leaved deciduous 20-40 cm diameter.</v>
      </c>
      <c r="D76" s="1643">
        <f>F!D34</f>
        <v>0</v>
      </c>
      <c r="E76" s="1687">
        <v>2</v>
      </c>
      <c r="F76" s="1645">
        <f t="shared" si="5"/>
        <v>0</v>
      </c>
      <c r="G76" s="1648"/>
      <c r="H76" s="3058"/>
      <c r="I76" s="3091"/>
    </row>
    <row r="77" spans="1:9" ht="15" customHeight="1" x14ac:dyDescent="0.2">
      <c r="A77" s="3071"/>
      <c r="B77" s="3047"/>
      <c r="C77" s="1647" t="str">
        <f>F!C35</f>
        <v>coniferous, &gt;40 cm diameter.</v>
      </c>
      <c r="D77" s="1643">
        <f>F!D35</f>
        <v>0</v>
      </c>
      <c r="E77" s="1687">
        <v>3</v>
      </c>
      <c r="F77" s="1645">
        <f t="shared" si="5"/>
        <v>0</v>
      </c>
      <c r="G77" s="1648"/>
      <c r="H77" s="3058"/>
      <c r="I77" s="3091"/>
    </row>
    <row r="78" spans="1:9" ht="15" customHeight="1" thickBot="1" x14ac:dyDescent="0.25">
      <c r="A78" s="3075"/>
      <c r="B78" s="3070"/>
      <c r="C78" s="1658" t="str">
        <f>F!C36</f>
        <v>broad-leaved deciduous &gt;40 cm diameter.</v>
      </c>
      <c r="D78" s="1652">
        <f>F!D36</f>
        <v>0</v>
      </c>
      <c r="E78" s="1689">
        <v>3</v>
      </c>
      <c r="F78" s="1660">
        <f t="shared" si="5"/>
        <v>0</v>
      </c>
      <c r="G78" s="1661"/>
      <c r="H78" s="3059"/>
      <c r="I78" s="3092"/>
    </row>
    <row r="79" spans="1:9" ht="30" customHeight="1" thickBot="1" x14ac:dyDescent="0.25">
      <c r="A79" s="3063" t="str">
        <f>F!A25</f>
        <v>F4</v>
      </c>
      <c r="B79" s="3072" t="str">
        <f>F!B25</f>
        <v xml:space="preserve">Dominance of Most Abundant Shrub Species </v>
      </c>
      <c r="C79" s="1636" t="str">
        <f>F!C25</f>
        <v>Determine which two woody plant species comprise the greatest portion of the low (&lt;3 m) woody cover . Then choose one:</v>
      </c>
      <c r="D79" s="1638"/>
      <c r="E79" s="1638"/>
      <c r="F79" s="1639"/>
      <c r="G79" s="1640" t="str">
        <f>IF((MAX(F!D20:'F'!D21)&lt;2),"", MAX(F80:F81))</f>
        <v/>
      </c>
      <c r="H79" s="3057" t="s">
        <v>2515</v>
      </c>
      <c r="I79" s="3090" t="s">
        <v>558</v>
      </c>
    </row>
    <row r="80" spans="1:9" ht="15" customHeight="1" x14ac:dyDescent="0.2">
      <c r="A80" s="3064"/>
      <c r="B80" s="3048"/>
      <c r="C80" s="1642" t="str">
        <f>F!C26</f>
        <v>those species together comprise &gt; 50% of such cover.</v>
      </c>
      <c r="D80" s="1656">
        <f>F!D26</f>
        <v>0</v>
      </c>
      <c r="E80" s="1688">
        <v>0</v>
      </c>
      <c r="F80" s="1645">
        <f>D80*E80</f>
        <v>0</v>
      </c>
      <c r="G80" s="1646"/>
      <c r="H80" s="3058"/>
      <c r="I80" s="3091"/>
    </row>
    <row r="81" spans="1:9" ht="15" customHeight="1" thickBot="1" x14ac:dyDescent="0.25">
      <c r="A81" s="3065"/>
      <c r="B81" s="3073"/>
      <c r="C81" s="1658" t="str">
        <f>F!C27</f>
        <v>those species together do not comprise &gt; 50% of such cover.</v>
      </c>
      <c r="D81" s="1652">
        <f>F!D27</f>
        <v>0</v>
      </c>
      <c r="E81" s="1690">
        <v>1</v>
      </c>
      <c r="F81" s="1660">
        <f>D81*E81</f>
        <v>0</v>
      </c>
      <c r="G81" s="1661"/>
      <c r="H81" s="3059"/>
      <c r="I81" s="3092"/>
    </row>
    <row r="82" spans="1:9" ht="21" customHeight="1" thickBot="1" x14ac:dyDescent="0.25">
      <c r="A82" s="3066" t="str">
        <f>F!A37</f>
        <v>F6</v>
      </c>
      <c r="B82" s="3062" t="str">
        <f>F!B37</f>
        <v>Height Class Interspersion</v>
      </c>
      <c r="C82" s="1709" t="str">
        <f>F!C37</f>
        <v>Follow the key below and mark the ONE row that best describes MOST of the AA:</v>
      </c>
      <c r="D82" s="1638"/>
      <c r="E82" s="1700"/>
      <c r="F82" s="1671"/>
      <c r="G82" s="1640" t="str">
        <f>IF((MAX(F!D18:D21)&lt;2),"",(MAX(F84:F88))/MAX(E84:E88))</f>
        <v/>
      </c>
      <c r="H82" s="3052" t="s">
        <v>2516</v>
      </c>
      <c r="I82" s="3090" t="s">
        <v>557</v>
      </c>
    </row>
    <row r="83" spans="1:9" ht="45" customHeight="1" thickBot="1" x14ac:dyDescent="0.25">
      <c r="A83" s="3071"/>
      <c r="B83" s="3047"/>
      <c r="C83" s="1699" t="str">
        <f>F!C38</f>
        <v xml:space="preserve">A. Neither the vegetation taller than 1 m nor the vegetation shorter than that comprise &gt;70% of the vegetated part of the AA.  They each comprise 30-70%.  Choose between A1 and A2 and mark the choice with a 1 in the adjoining column.  Otherwise go to B below. </v>
      </c>
      <c r="D83" s="1692"/>
      <c r="E83" s="1707"/>
      <c r="F83" s="1710"/>
      <c r="G83" s="1648"/>
      <c r="H83" s="3053"/>
      <c r="I83" s="3091"/>
    </row>
    <row r="84" spans="1:9" ht="15" customHeight="1" x14ac:dyDescent="0.2">
      <c r="A84" s="3071"/>
      <c r="B84" s="3047"/>
      <c r="C84" s="1711" t="str">
        <f>F!C39</f>
        <v>A1. The two height classes are mostly scattered and intermixed throughout the AA.</v>
      </c>
      <c r="D84" s="1712">
        <f>F!D39</f>
        <v>0</v>
      </c>
      <c r="E84" s="1707">
        <v>3</v>
      </c>
      <c r="F84" s="1645">
        <f>D84*E84</f>
        <v>0</v>
      </c>
      <c r="G84" s="1648"/>
      <c r="H84" s="3053"/>
      <c r="I84" s="3091"/>
    </row>
    <row r="85" spans="1:9" ht="27" customHeight="1" thickBot="1" x14ac:dyDescent="0.25">
      <c r="A85" s="3071"/>
      <c r="B85" s="3047"/>
      <c r="C85" s="2136" t="str">
        <f>F!C40</f>
        <v>A2. Not A1.  The two height classes are mostly in separate zones or bands, or in proportionately large clumps.</v>
      </c>
      <c r="D85" s="1712">
        <f>F!D40</f>
        <v>0</v>
      </c>
      <c r="E85" s="1713">
        <v>2</v>
      </c>
      <c r="F85" s="1645">
        <f>D85*E85</f>
        <v>0</v>
      </c>
      <c r="G85" s="1648"/>
      <c r="H85" s="3053"/>
      <c r="I85" s="3091"/>
    </row>
    <row r="86" spans="1:9" ht="45" customHeight="1" thickBot="1" x14ac:dyDescent="0.25">
      <c r="A86" s="3071"/>
      <c r="B86" s="3047"/>
      <c r="C86" s="1699" t="str">
        <f>F!C41</f>
        <v>B. Either the vegetation shorter than 1 m comprises &gt;70% of the vegetated part of the AA, or the vegetation taller than that does.  One size class might even be totally absent.  Choose between B1 and B2 and mark the choice with a 1 in the adjoining column:</v>
      </c>
      <c r="D86" s="1713"/>
      <c r="E86" s="1713"/>
      <c r="F86" s="1645"/>
      <c r="G86" s="1648"/>
      <c r="H86" s="3053"/>
      <c r="I86" s="3091"/>
    </row>
    <row r="87" spans="1:9" ht="15" customHeight="1" x14ac:dyDescent="0.2">
      <c r="A87" s="3071"/>
      <c r="B87" s="3047"/>
      <c r="C87" s="1711" t="str">
        <f>F!C42</f>
        <v>B1. The less prevalent height class is mostly scattered and intermixed within the prevalent one.</v>
      </c>
      <c r="D87" s="1712">
        <f>F!D42</f>
        <v>0</v>
      </c>
      <c r="E87" s="1713">
        <v>1</v>
      </c>
      <c r="F87" s="1645">
        <f>D87*E87</f>
        <v>0</v>
      </c>
      <c r="G87" s="1648"/>
      <c r="H87" s="3053"/>
      <c r="I87" s="3091"/>
    </row>
    <row r="88" spans="1:9" ht="27" customHeight="1" thickBot="1" x14ac:dyDescent="0.25">
      <c r="A88" s="3075"/>
      <c r="B88" s="3070"/>
      <c r="C88" s="1714" t="str">
        <f>F!C43</f>
        <v>B2. Not B1.  The less prevalent height class is mostly located apart from the prevalent one, in separate zones or clumps, or is completely absent.</v>
      </c>
      <c r="D88" s="1706">
        <f>F!D43</f>
        <v>0</v>
      </c>
      <c r="E88" s="1667">
        <v>0</v>
      </c>
      <c r="F88" s="1660">
        <f>D88*E88</f>
        <v>0</v>
      </c>
      <c r="G88" s="1661"/>
      <c r="H88" s="3054"/>
      <c r="I88" s="3092"/>
    </row>
    <row r="89" spans="1:9" ht="30" customHeight="1" thickBot="1" x14ac:dyDescent="0.25">
      <c r="A89" s="3074" t="str">
        <f>F!A51</f>
        <v>F9</v>
      </c>
      <c r="B89" s="3046" t="str">
        <f>F!B51</f>
        <v>N Fixers</v>
      </c>
      <c r="C89" s="1715" t="str">
        <f>F!C51</f>
        <v>The percentage of the AA's vegetated cover that contains nitrogen-fixing plants (e.g., alder, sweetgale, clover, lupine, alfalfa, other legumes) is:</v>
      </c>
      <c r="D89" s="1692"/>
      <c r="E89" s="1716"/>
      <c r="F89" s="1693"/>
      <c r="G89" s="1694">
        <f>MAX(F90:F94)/MAX(E90:E94)</f>
        <v>0</v>
      </c>
      <c r="H89" s="3060" t="s">
        <v>1488</v>
      </c>
      <c r="I89" s="3090" t="s">
        <v>560</v>
      </c>
    </row>
    <row r="90" spans="1:9" ht="15" customHeight="1" x14ac:dyDescent="0.2">
      <c r="A90" s="3074"/>
      <c r="B90" s="3046"/>
      <c r="C90" s="1711" t="str">
        <f>F!C52</f>
        <v>&lt;1% or none.</v>
      </c>
      <c r="D90" s="1712">
        <f>F!D52</f>
        <v>1</v>
      </c>
      <c r="E90" s="1687">
        <v>0</v>
      </c>
      <c r="F90" s="1645">
        <f>D90*E90</f>
        <v>0</v>
      </c>
      <c r="G90" s="1646"/>
      <c r="H90" s="3058"/>
      <c r="I90" s="3091"/>
    </row>
    <row r="91" spans="1:9" ht="15" customHeight="1" x14ac:dyDescent="0.2">
      <c r="A91" s="3074"/>
      <c r="B91" s="3046"/>
      <c r="C91" s="1717" t="str">
        <f>F!C53</f>
        <v>1-25% of the vegetated cover, in the AA or along its water edge (whichever has more).</v>
      </c>
      <c r="D91" s="1718">
        <f>F!D53</f>
        <v>0</v>
      </c>
      <c r="E91" s="1687">
        <v>2</v>
      </c>
      <c r="F91" s="1645">
        <f>D91*E91</f>
        <v>0</v>
      </c>
      <c r="G91" s="1648"/>
      <c r="H91" s="3058"/>
      <c r="I91" s="3091"/>
    </row>
    <row r="92" spans="1:9" ht="15" customHeight="1" x14ac:dyDescent="0.2">
      <c r="A92" s="3074"/>
      <c r="B92" s="3046"/>
      <c r="C92" s="1717" t="str">
        <f>F!C54</f>
        <v>25-50% of the vegetated cover, in the AA or along its water edge (whichever has more).</v>
      </c>
      <c r="D92" s="1718">
        <f>F!D54</f>
        <v>0</v>
      </c>
      <c r="E92" s="1687">
        <v>3</v>
      </c>
      <c r="F92" s="1645">
        <f>D92*E92</f>
        <v>0</v>
      </c>
      <c r="G92" s="1648"/>
      <c r="H92" s="3058"/>
      <c r="I92" s="3091"/>
    </row>
    <row r="93" spans="1:9" ht="15" customHeight="1" x14ac:dyDescent="0.2">
      <c r="A93" s="3074"/>
      <c r="B93" s="3046"/>
      <c r="C93" s="1717" t="str">
        <f>F!C55</f>
        <v>50-75% of the vegetated cover, in the AA or along its water edge (whichever has more).</v>
      </c>
      <c r="D93" s="1718">
        <f>F!D55</f>
        <v>0</v>
      </c>
      <c r="E93" s="1687">
        <v>4</v>
      </c>
      <c r="F93" s="1645">
        <f>D93*E93</f>
        <v>0</v>
      </c>
      <c r="G93" s="1648"/>
      <c r="H93" s="3058"/>
      <c r="I93" s="3091"/>
    </row>
    <row r="94" spans="1:9" ht="15" customHeight="1" thickBot="1" x14ac:dyDescent="0.25">
      <c r="A94" s="3074"/>
      <c r="B94" s="3046"/>
      <c r="C94" s="1719" t="str">
        <f>F!C56</f>
        <v>&gt;75% of the vegetated cover, in the AA or along its water edge (whichever has more).</v>
      </c>
      <c r="D94" s="1720">
        <f>F!D56</f>
        <v>0</v>
      </c>
      <c r="E94" s="1721">
        <v>5</v>
      </c>
      <c r="F94" s="1654">
        <f>D94*E94</f>
        <v>0</v>
      </c>
      <c r="G94" s="1655"/>
      <c r="H94" s="3061"/>
      <c r="I94" s="3092"/>
    </row>
    <row r="95" spans="1:9" ht="30" customHeight="1" thickBot="1" x14ac:dyDescent="0.25">
      <c r="A95" s="3066" t="str">
        <f>F!A63</f>
        <v>F11</v>
      </c>
      <c r="B95" s="3062" t="str">
        <f>F!B63</f>
        <v>% Bare Ground &amp; Thatch</v>
      </c>
      <c r="C95" s="1636" t="str">
        <f>F!C63</f>
        <v>Consider the parts of the AA that lack surface water at the driest time of the growing season. Viewed from directly above the ground layer, the predominant condition in those areas at that time is:</v>
      </c>
      <c r="D95" s="1638"/>
      <c r="E95" s="1638"/>
      <c r="F95" s="1639"/>
      <c r="G95" s="1640">
        <f>MAX(F96:F99)/MAX(E96:E99)</f>
        <v>0.33333333333333331</v>
      </c>
      <c r="H95" s="3052" t="s">
        <v>482</v>
      </c>
      <c r="I95" s="3090" t="s">
        <v>561</v>
      </c>
    </row>
    <row r="96" spans="1:9" ht="42" customHeight="1" x14ac:dyDescent="0.2">
      <c r="A96" s="3071"/>
      <c r="B96" s="3047"/>
      <c r="C96" s="1642" t="str">
        <f>F!C64</f>
        <v>Little or no (&lt;5%) bare ground is visible between erect stems or under canopy anywhere in the vegetated AA. Ground is extensively blanketed by dense thatch, moss, lichens, graminoids with great stem densities, or plants with ground-hugging foliage. </v>
      </c>
      <c r="D96" s="1656">
        <f>F!D64</f>
        <v>0</v>
      </c>
      <c r="E96" s="1687">
        <v>0</v>
      </c>
      <c r="F96" s="1645">
        <f>D96*E96</f>
        <v>0</v>
      </c>
      <c r="G96" s="1646"/>
      <c r="H96" s="3053"/>
      <c r="I96" s="3091"/>
    </row>
    <row r="97" spans="1:9" ht="27" customHeight="1" x14ac:dyDescent="0.2">
      <c r="A97" s="3071"/>
      <c r="B97" s="3047"/>
      <c r="C97" s="1647" t="str">
        <f>F!C65</f>
        <v>Slightly bare ground (5-20% bare between plants) is visible in places, but those areas comprise less than 5% of the unflooded parts of the AA.</v>
      </c>
      <c r="D97" s="1643">
        <f>F!D65</f>
        <v>1</v>
      </c>
      <c r="E97" s="1687">
        <v>1</v>
      </c>
      <c r="F97" s="1645">
        <f>D97*E97</f>
        <v>1</v>
      </c>
      <c r="G97" s="1648"/>
      <c r="H97" s="3053"/>
      <c r="I97" s="3091"/>
    </row>
    <row r="98" spans="1:9" ht="27" customHeight="1" x14ac:dyDescent="0.2">
      <c r="A98" s="3071"/>
      <c r="B98" s="3047"/>
      <c r="C98" s="1647" t="str">
        <f>F!C66</f>
        <v>Much bare ground (20-50% bare between plants) is visible in places, and those areas comprise more than 5% of the unflooded parts of the AA. </v>
      </c>
      <c r="D98" s="1643">
        <f>F!D66</f>
        <v>0</v>
      </c>
      <c r="E98" s="1687">
        <v>2</v>
      </c>
      <c r="F98" s="1645">
        <f>D98*E98</f>
        <v>0</v>
      </c>
      <c r="G98" s="1648"/>
      <c r="H98" s="3053"/>
      <c r="I98" s="3091"/>
    </row>
    <row r="99" spans="1:9" ht="15" customHeight="1" thickBot="1" x14ac:dyDescent="0.25">
      <c r="A99" s="3075"/>
      <c r="B99" s="3070"/>
      <c r="C99" s="1658" t="str">
        <f>F!C67</f>
        <v>Other conditions.</v>
      </c>
      <c r="D99" s="1652">
        <f>F!D67</f>
        <v>0</v>
      </c>
      <c r="E99" s="1689">
        <v>3</v>
      </c>
      <c r="F99" s="1660">
        <f>D99*E99</f>
        <v>0</v>
      </c>
      <c r="G99" s="1661"/>
      <c r="H99" s="3054"/>
      <c r="I99" s="3092"/>
    </row>
    <row r="100" spans="1:9" ht="45" customHeight="1" thickBot="1" x14ac:dyDescent="0.25">
      <c r="A100" s="3086" t="str">
        <f>F!A77</f>
        <v>F14</v>
      </c>
      <c r="B100" s="3047" t="str">
        <f>F!B77</f>
        <v>Soil Texture</v>
      </c>
      <c r="C100" s="1691" t="str">
        <f>F!C77</f>
        <v xml:space="preserve">In parts of the AA that lack persistent water, the texture of soil in the uppermost layer is mostly:  [To determine this, use a trowel to check in at least 3 widely spaced locations, and use the soil texture key (in Appendix A of the Manual).] </v>
      </c>
      <c r="D100" s="1638"/>
      <c r="E100" s="1692"/>
      <c r="F100" s="1693"/>
      <c r="G100" s="1694">
        <f>MAX(F101:F105)/MAX(E101:E105)</f>
        <v>0.25</v>
      </c>
      <c r="H100" s="3053" t="s">
        <v>1489</v>
      </c>
      <c r="I100" s="3090" t="s">
        <v>562</v>
      </c>
    </row>
    <row r="101" spans="1:9" ht="27" customHeight="1" x14ac:dyDescent="0.2">
      <c r="A101" s="3087"/>
      <c r="B101" s="3048"/>
      <c r="C101" s="1642" t="str">
        <f>F!C78</f>
        <v>Loamy: soils that may contain a little fine grit and do not make a "ribbon" longer than 2 cm when moistened, rolled, squeezed, and extended between thumb and forefinger.</v>
      </c>
      <c r="D101" s="1656">
        <f>F!D78</f>
        <v>0</v>
      </c>
      <c r="E101" s="1688">
        <v>1</v>
      </c>
      <c r="F101" s="1645">
        <f>D101*E101</f>
        <v>0</v>
      </c>
      <c r="G101" s="1646"/>
      <c r="H101" s="3053"/>
      <c r="I101" s="3091"/>
    </row>
    <row r="102" spans="1:9" ht="27" customHeight="1" x14ac:dyDescent="0.2">
      <c r="A102" s="3087"/>
      <c r="B102" s="3048"/>
      <c r="C102" s="1647" t="str">
        <f>F!C79</f>
        <v>Fines: includes silt, clay, silt, soils that make a ribbon longer than 2 cm when moistened, rolled, squeezed, and extended between thumb and forefinger.</v>
      </c>
      <c r="D102" s="1643">
        <f>F!D79</f>
        <v>1</v>
      </c>
      <c r="E102" s="1688">
        <v>1</v>
      </c>
      <c r="F102" s="1645">
        <f>D102*E102</f>
        <v>1</v>
      </c>
      <c r="G102" s="1648"/>
      <c r="H102" s="3053"/>
      <c r="I102" s="3091"/>
    </row>
    <row r="103" spans="1:9" ht="15" customHeight="1" x14ac:dyDescent="0.2">
      <c r="A103" s="3087"/>
      <c r="B103" s="3048"/>
      <c r="C103" s="1647" t="str">
        <f>F!C80</f>
        <v>Deep Peat, to 40 cm depth or greater.</v>
      </c>
      <c r="D103" s="1643">
        <f>F!D80</f>
        <v>0</v>
      </c>
      <c r="E103" s="1688">
        <v>3</v>
      </c>
      <c r="F103" s="1645">
        <f>D103*E103</f>
        <v>0</v>
      </c>
      <c r="G103" s="1648"/>
      <c r="H103" s="3053"/>
      <c r="I103" s="3091"/>
    </row>
    <row r="104" spans="1:9" ht="15" customHeight="1" x14ac:dyDescent="0.2">
      <c r="A104" s="3087"/>
      <c r="B104" s="3048"/>
      <c r="C104" s="1647" t="str">
        <f>F!C81</f>
        <v xml:space="preserve">Shallow Peat or organic &lt;40 cm deep. </v>
      </c>
      <c r="D104" s="1643">
        <f>F!D81</f>
        <v>0</v>
      </c>
      <c r="E104" s="1688">
        <v>4</v>
      </c>
      <c r="F104" s="1645">
        <f>D104*E104</f>
        <v>0</v>
      </c>
      <c r="G104" s="1648"/>
      <c r="H104" s="3053"/>
      <c r="I104" s="3091"/>
    </row>
    <row r="105" spans="1:9" ht="27" customHeight="1" thickBot="1" x14ac:dyDescent="0.25">
      <c r="A105" s="3087"/>
      <c r="B105" s="3048"/>
      <c r="C105" s="1695" t="str">
        <f>F!C82</f>
        <v>Coarse: includes sand, loamy sand, gravel, cobble, soils that do not make a ribbon when moistened, rolled, squeezed, and extended between thumb and forefinger.</v>
      </c>
      <c r="D105" s="1650">
        <f>F!D82</f>
        <v>0</v>
      </c>
      <c r="E105" s="1722">
        <v>0</v>
      </c>
      <c r="F105" s="1654">
        <f>D105*E105</f>
        <v>0</v>
      </c>
      <c r="G105" s="1655"/>
      <c r="H105" s="3053"/>
      <c r="I105" s="3092"/>
    </row>
    <row r="106" spans="1:9" ht="63" customHeight="1" thickBot="1" x14ac:dyDescent="0.25">
      <c r="A106" s="3067" t="str">
        <f>F!A105</f>
        <v>F19</v>
      </c>
      <c r="B106" s="3052" t="str">
        <f>F!B105</f>
        <v xml:space="preserve">Dominance of Most Abundant Herbaceous Species </v>
      </c>
      <c r="C106" s="1636" t="str">
        <f>F!C105</f>
        <v>Determine which two herbaceous species comprise the greatest portion of the herbaceous cover (excluding mosses and floating-leaved aquatic plants). Then choose one of the following:</v>
      </c>
      <c r="D106" s="1638"/>
      <c r="E106" s="1670"/>
      <c r="F106" s="1671"/>
      <c r="G106" s="1640">
        <f>IF((NoHerbCov=1),"",MAX(F107:F108))</f>
        <v>1</v>
      </c>
      <c r="H106" s="3057" t="s">
        <v>2517</v>
      </c>
      <c r="I106" s="3090" t="s">
        <v>556</v>
      </c>
    </row>
    <row r="107" spans="1:9" ht="39" customHeight="1" x14ac:dyDescent="0.2">
      <c r="A107" s="3068"/>
      <c r="B107" s="3053"/>
      <c r="C107" s="1642" t="str">
        <f>F!C106</f>
        <v>those species together comprise &gt; 50% of the areal cover of herbaceous plants at any time during the year.</v>
      </c>
      <c r="D107" s="1656">
        <f>F!D106</f>
        <v>0</v>
      </c>
      <c r="E107" s="1657">
        <v>0</v>
      </c>
      <c r="F107" s="1645">
        <f>D107*E107</f>
        <v>0</v>
      </c>
      <c r="G107" s="1648"/>
      <c r="H107" s="3058"/>
      <c r="I107" s="3091"/>
    </row>
    <row r="108" spans="1:9" ht="39" customHeight="1" thickBot="1" x14ac:dyDescent="0.25">
      <c r="A108" s="3069"/>
      <c r="B108" s="3054"/>
      <c r="C108" s="1658" t="str">
        <f>F!C107</f>
        <v>those species together do not comprise &gt; 50% of the areal cover of herbaceous plants at any time during the year.</v>
      </c>
      <c r="D108" s="1652">
        <f>F!D107</f>
        <v>1</v>
      </c>
      <c r="E108" s="1659">
        <v>1</v>
      </c>
      <c r="F108" s="1660">
        <f>D108*E108</f>
        <v>1</v>
      </c>
      <c r="G108" s="1661"/>
      <c r="H108" s="3059"/>
      <c r="I108" s="3092"/>
    </row>
    <row r="109" spans="1:9" ht="30" customHeight="1" thickBot="1" x14ac:dyDescent="0.25">
      <c r="A109" s="3066" t="str">
        <f>F!A108</f>
        <v>F20</v>
      </c>
      <c r="B109" s="3062" t="str">
        <f>F!B108</f>
        <v>Invasive Plant Cover</v>
      </c>
      <c r="C109" s="1636" t="str">
        <f>F!C108</f>
        <v>How extensive is the cover of invasive plant species in the AA?  For species, see Plants_invasive worksheet in the accompanying SuppInfo file.</v>
      </c>
      <c r="D109" s="1638"/>
      <c r="E109" s="1637"/>
      <c r="F109" s="1723"/>
      <c r="G109" s="1640">
        <f>(MAX(F110:F114))/MAX(E110:E114)</f>
        <v>0.5</v>
      </c>
      <c r="H109" s="3057" t="s">
        <v>1610</v>
      </c>
      <c r="I109" s="3090" t="s">
        <v>555</v>
      </c>
    </row>
    <row r="110" spans="1:9" ht="15" customHeight="1" x14ac:dyDescent="0.2">
      <c r="A110" s="3064"/>
      <c r="B110" s="3048"/>
      <c r="C110" s="1642" t="str">
        <f>F!C109</f>
        <v>invasive species appear to be absent in the AA, or are present only in trace amount (a few individuals).</v>
      </c>
      <c r="D110" s="1656">
        <f>F!D109</f>
        <v>0</v>
      </c>
      <c r="E110" s="1688">
        <v>4</v>
      </c>
      <c r="F110" s="1645">
        <f>D110*E110</f>
        <v>0</v>
      </c>
      <c r="G110" s="1646"/>
      <c r="H110" s="3058"/>
      <c r="I110" s="3091"/>
    </row>
    <row r="111" spans="1:9" ht="27" customHeight="1" x14ac:dyDescent="0.2">
      <c r="A111" s="3064"/>
      <c r="B111" s="3048"/>
      <c r="C111" s="1647" t="str">
        <f>F!C110</f>
        <v>invasive species are present in more than trace amounts, but comprise &lt;5% of herbaceous cover (or woody cover, if the invasives are woody).</v>
      </c>
      <c r="D111" s="1643">
        <f>F!D110</f>
        <v>0</v>
      </c>
      <c r="E111" s="1692">
        <v>3</v>
      </c>
      <c r="F111" s="1710"/>
      <c r="G111" s="1646"/>
      <c r="H111" s="3058"/>
      <c r="I111" s="3091"/>
    </row>
    <row r="112" spans="1:9" ht="15" customHeight="1" x14ac:dyDescent="0.2">
      <c r="A112" s="3064"/>
      <c r="B112" s="3048"/>
      <c r="C112" s="1647" t="str">
        <f>F!C111</f>
        <v>invasive species comprise 5-20% of the herb cover (or woody cover, if the invasives are woody).</v>
      </c>
      <c r="D112" s="1643">
        <f>F!D111</f>
        <v>1</v>
      </c>
      <c r="E112" s="1683">
        <v>2</v>
      </c>
      <c r="F112" s="1710">
        <f>D112*E112</f>
        <v>2</v>
      </c>
      <c r="G112" s="1646"/>
      <c r="H112" s="3058"/>
      <c r="I112" s="3091"/>
    </row>
    <row r="113" spans="1:9" ht="15" customHeight="1" x14ac:dyDescent="0.2">
      <c r="A113" s="3064"/>
      <c r="B113" s="3048"/>
      <c r="C113" s="1647" t="str">
        <f>F!C112</f>
        <v>invasive species comprise 20-50% of the herb cover  (or woody cover, if the invasives are woody).</v>
      </c>
      <c r="D113" s="1643">
        <f>F!D112</f>
        <v>0</v>
      </c>
      <c r="E113" s="1657">
        <v>1</v>
      </c>
      <c r="F113" s="1645">
        <f>D113*E113</f>
        <v>0</v>
      </c>
      <c r="G113" s="1648"/>
      <c r="H113" s="3058"/>
      <c r="I113" s="3091"/>
    </row>
    <row r="114" spans="1:9" ht="15" customHeight="1" thickBot="1" x14ac:dyDescent="0.25">
      <c r="A114" s="3065"/>
      <c r="B114" s="3073"/>
      <c r="C114" s="1658" t="str">
        <f>F!C113</f>
        <v>invasive species comprise &gt;50% of the herb cover  (or woody cover, if the invasives are woody).</v>
      </c>
      <c r="D114" s="1652">
        <f>F!D113</f>
        <v>0</v>
      </c>
      <c r="E114" s="1659">
        <v>0</v>
      </c>
      <c r="F114" s="1660">
        <f>D114*E114</f>
        <v>0</v>
      </c>
      <c r="G114" s="1661"/>
      <c r="H114" s="3059"/>
      <c r="I114" s="3092"/>
    </row>
    <row r="115" spans="1:9" s="1675" customFormat="1" ht="30" customHeight="1" thickBot="1" x14ac:dyDescent="0.25">
      <c r="A115" s="3074" t="str">
        <f>F!A121</f>
        <v>F24</v>
      </c>
      <c r="B115" s="3046" t="str">
        <f>F!B121</f>
        <v>% of AA Without Surface Water</v>
      </c>
      <c r="C115" s="1724" t="str">
        <f>F!C121</f>
        <v>The percentage of the AA that never contains surface water during an average year (that is, except perhaps for a few hours after snowmelt or rainstorms), but which is still a wetland, is:</v>
      </c>
      <c r="D115" s="1692"/>
      <c r="E115" s="1725"/>
      <c r="F115" s="1726"/>
      <c r="G115" s="1694">
        <f>MAX(F116:F121)/MAX(E116:E121)</f>
        <v>0</v>
      </c>
      <c r="H115" s="3046" t="s">
        <v>1486</v>
      </c>
      <c r="I115" s="3101" t="s">
        <v>983</v>
      </c>
    </row>
    <row r="116" spans="1:9" s="1675" customFormat="1" ht="15" customHeight="1" x14ac:dyDescent="0.2">
      <c r="A116" s="3074"/>
      <c r="B116" s="3046"/>
      <c r="C116" s="1727" t="str">
        <f>F!C122</f>
        <v xml:space="preserve">&lt;1% . In other words, all or nearly all of the AA is covered by water permanently or at least seasonally.  </v>
      </c>
      <c r="D116" s="1712">
        <f>F!D122</f>
        <v>1</v>
      </c>
      <c r="E116" s="1645">
        <v>0</v>
      </c>
      <c r="F116" s="1645">
        <f t="shared" ref="F116:F121" si="6">D116*E116</f>
        <v>0</v>
      </c>
      <c r="G116" s="1648"/>
      <c r="H116" s="3046"/>
      <c r="I116" s="3102"/>
    </row>
    <row r="117" spans="1:9" s="1675" customFormat="1" ht="15" customHeight="1" x14ac:dyDescent="0.2">
      <c r="A117" s="3074"/>
      <c r="B117" s="3046"/>
      <c r="C117" s="1727" t="str">
        <f>F!C123</f>
        <v>1-25% of the AA,  or &lt;1% but &gt;0.01 ha never contains surface water.</v>
      </c>
      <c r="D117" s="1712">
        <f>F!D123</f>
        <v>0</v>
      </c>
      <c r="E117" s="1645">
        <v>1</v>
      </c>
      <c r="F117" s="1645">
        <f t="shared" si="6"/>
        <v>0</v>
      </c>
      <c r="G117" s="1648"/>
      <c r="H117" s="3046"/>
      <c r="I117" s="3102"/>
    </row>
    <row r="118" spans="1:9" s="1675" customFormat="1" ht="15" customHeight="1" x14ac:dyDescent="0.2">
      <c r="A118" s="3074"/>
      <c r="B118" s="3046"/>
      <c r="C118" s="1727" t="str">
        <f>F!C124</f>
        <v>25-50% of the AA never contains surface water.</v>
      </c>
      <c r="D118" s="1712">
        <f>F!D124</f>
        <v>0</v>
      </c>
      <c r="E118" s="1645">
        <v>2</v>
      </c>
      <c r="F118" s="1645">
        <f t="shared" si="6"/>
        <v>0</v>
      </c>
      <c r="G118" s="1648"/>
      <c r="H118" s="3046"/>
      <c r="I118" s="3102"/>
    </row>
    <row r="119" spans="1:9" s="1675" customFormat="1" ht="15" customHeight="1" x14ac:dyDescent="0.2">
      <c r="A119" s="3074"/>
      <c r="B119" s="3046"/>
      <c r="C119" s="1727" t="str">
        <f>F!C125</f>
        <v>50-75% of the AA never contains surface water.</v>
      </c>
      <c r="D119" s="1712">
        <f>F!D125</f>
        <v>0</v>
      </c>
      <c r="E119" s="1645">
        <v>3</v>
      </c>
      <c r="F119" s="1645">
        <f t="shared" si="6"/>
        <v>0</v>
      </c>
      <c r="G119" s="1648"/>
      <c r="H119" s="3046"/>
      <c r="I119" s="3102"/>
    </row>
    <row r="120" spans="1:9" s="1675" customFormat="1" ht="27" customHeight="1" x14ac:dyDescent="0.2">
      <c r="A120" s="3074"/>
      <c r="B120" s="3046"/>
      <c r="C120" s="1727" t="str">
        <f>F!C126</f>
        <v>75-99% of the AA never contains surface water, OR &gt;99% and there is at least one persistently ponded water body larger than 1 ha in the AA.</v>
      </c>
      <c r="D120" s="1712">
        <f>F!D126</f>
        <v>0</v>
      </c>
      <c r="E120" s="1645">
        <v>4</v>
      </c>
      <c r="F120" s="1645">
        <f t="shared" si="6"/>
        <v>0</v>
      </c>
      <c r="G120" s="1648"/>
      <c r="H120" s="3046"/>
      <c r="I120" s="3102"/>
    </row>
    <row r="121" spans="1:9" s="1675" customFormat="1" ht="27" customHeight="1" thickBot="1" x14ac:dyDescent="0.25">
      <c r="A121" s="3074"/>
      <c r="B121" s="3046"/>
      <c r="C121" s="1727" t="str">
        <f>F!C127</f>
        <v>99-100%. AND there is no persistently ponded water body larger than 1 ha within the AA. Enter "1" and SKIP to F42 (Channel Connection).</v>
      </c>
      <c r="D121" s="1712">
        <f>F!D127</f>
        <v>0</v>
      </c>
      <c r="E121" s="1654">
        <v>5</v>
      </c>
      <c r="F121" s="1654">
        <f t="shared" si="6"/>
        <v>0</v>
      </c>
      <c r="G121" s="1655"/>
      <c r="H121" s="3046"/>
      <c r="I121" s="3103"/>
    </row>
    <row r="122" spans="1:9" ht="30" customHeight="1" thickBot="1" x14ac:dyDescent="0.25">
      <c r="A122" s="3066" t="str">
        <f>F!A153</f>
        <v>F29</v>
      </c>
      <c r="B122" s="3062" t="str">
        <f>F!B153</f>
        <v>Predominant Depth Class</v>
      </c>
      <c r="C122" s="1636" t="str">
        <f>F!C153</f>
        <v>During most of the time when surface water is present during the growing season, its depth, averaged over the entire inundated part of the AA, is:</v>
      </c>
      <c r="D122" s="1638"/>
      <c r="E122" s="1638"/>
      <c r="F122" s="1639"/>
      <c r="G122" s="1640">
        <f>IF((AllSat1&gt;0),"",IF((TooSmall=1),"",(MAX(F123:F127))/MAX(E123:E127)))</f>
        <v>0.5</v>
      </c>
      <c r="H122" s="3052" t="s">
        <v>2518</v>
      </c>
      <c r="I122" s="3090" t="s">
        <v>551</v>
      </c>
    </row>
    <row r="123" spans="1:9" ht="15" customHeight="1" x14ac:dyDescent="0.2">
      <c r="A123" s="3064"/>
      <c r="B123" s="3048"/>
      <c r="C123" s="1642" t="str">
        <f>F!C154</f>
        <v>&lt;10 cm deep (but &gt;0).</v>
      </c>
      <c r="D123" s="1656">
        <f>F!D154</f>
        <v>0</v>
      </c>
      <c r="E123" s="1657">
        <v>4</v>
      </c>
      <c r="F123" s="1645">
        <f>D123*E123</f>
        <v>0</v>
      </c>
      <c r="G123" s="1646"/>
      <c r="H123" s="3053"/>
      <c r="I123" s="3091"/>
    </row>
    <row r="124" spans="1:9" ht="15" customHeight="1" x14ac:dyDescent="0.2">
      <c r="A124" s="3064"/>
      <c r="B124" s="3048"/>
      <c r="C124" s="1647" t="str">
        <f>F!C155</f>
        <v>10 - 50 cm deep.</v>
      </c>
      <c r="D124" s="1643">
        <f>F!D155</f>
        <v>0</v>
      </c>
      <c r="E124" s="1657">
        <v>3</v>
      </c>
      <c r="F124" s="1645">
        <f>D124*E124</f>
        <v>0</v>
      </c>
      <c r="G124" s="1648"/>
      <c r="H124" s="3053"/>
      <c r="I124" s="3091"/>
    </row>
    <row r="125" spans="1:9" ht="15" customHeight="1" x14ac:dyDescent="0.2">
      <c r="A125" s="3064"/>
      <c r="B125" s="3048"/>
      <c r="C125" s="1647" t="str">
        <f>F!C156</f>
        <v>0.5 - 1 m deep.</v>
      </c>
      <c r="D125" s="1643">
        <f>F!D156</f>
        <v>1</v>
      </c>
      <c r="E125" s="1657">
        <v>2</v>
      </c>
      <c r="F125" s="1645">
        <f>D125*E125</f>
        <v>2</v>
      </c>
      <c r="G125" s="1648"/>
      <c r="H125" s="3053"/>
      <c r="I125" s="3091"/>
    </row>
    <row r="126" spans="1:9" ht="15" customHeight="1" x14ac:dyDescent="0.2">
      <c r="A126" s="3064"/>
      <c r="B126" s="3048"/>
      <c r="C126" s="1647" t="str">
        <f>F!C157</f>
        <v>1 - 2 m deep.</v>
      </c>
      <c r="D126" s="1643">
        <f>F!D157</f>
        <v>0</v>
      </c>
      <c r="E126" s="1657">
        <v>1</v>
      </c>
      <c r="F126" s="1645">
        <f>D126*E126</f>
        <v>0</v>
      </c>
      <c r="G126" s="1648"/>
      <c r="H126" s="3053"/>
      <c r="I126" s="3091"/>
    </row>
    <row r="127" spans="1:9" ht="15" customHeight="1" thickBot="1" x14ac:dyDescent="0.25">
      <c r="A127" s="3065"/>
      <c r="B127" s="3073"/>
      <c r="C127" s="1658" t="str">
        <f>F!C158</f>
        <v>&gt;2 m deep. True for many fringe wetlands.</v>
      </c>
      <c r="D127" s="1652">
        <f>F!D158</f>
        <v>0</v>
      </c>
      <c r="E127" s="1659">
        <v>0</v>
      </c>
      <c r="F127" s="1660">
        <f>D127*E127</f>
        <v>0</v>
      </c>
      <c r="G127" s="1661"/>
      <c r="H127" s="3054"/>
      <c r="I127" s="3092"/>
    </row>
    <row r="128" spans="1:9" s="1675" customFormat="1" ht="45" customHeight="1" thickBot="1" x14ac:dyDescent="0.25">
      <c r="A128" s="3076" t="str">
        <f>F!A163</f>
        <v>F31</v>
      </c>
      <c r="B128" s="3077" t="str">
        <f>F!B163</f>
        <v>% of Water That Is Ponded (not Flowing)</v>
      </c>
      <c r="C128" s="1636" t="str">
        <f>F!C163</f>
        <v>During most times when surface water is present, the percentage that is (1) ponded (stagnant, or flows so slowly that fine sediment is not held in suspension) AND (2) is likely to be deeper than 0.5 m in some places, is:</v>
      </c>
      <c r="D128" s="1638"/>
      <c r="E128" s="1638"/>
      <c r="F128" s="1639"/>
      <c r="G128" s="1640">
        <f>IF((AllSat1&gt;0),"",IF((TooSmall=1),"",MAX(F129:F133)/MAX(E129:E133)))</f>
        <v>0.2</v>
      </c>
      <c r="H128" s="3055" t="s">
        <v>2519</v>
      </c>
      <c r="I128" s="3101" t="s">
        <v>550</v>
      </c>
    </row>
    <row r="129" spans="1:9" s="1675" customFormat="1" ht="15" customHeight="1" x14ac:dyDescent="0.2">
      <c r="A129" s="3096"/>
      <c r="B129" s="3078"/>
      <c r="C129" s="1642" t="str">
        <f>F!C164</f>
        <v>&lt;5% of the water, or it occupies &lt;100 sq.m cumulatively. Nearly all the surface water is flowing. SKIP to F34.</v>
      </c>
      <c r="D129" s="1676">
        <f>F!D164</f>
        <v>1</v>
      </c>
      <c r="E129" s="1688">
        <v>1</v>
      </c>
      <c r="F129" s="1645">
        <f>D129*E129</f>
        <v>1</v>
      </c>
      <c r="G129" s="1648"/>
      <c r="H129" s="3046"/>
      <c r="I129" s="3102"/>
    </row>
    <row r="130" spans="1:9" s="1675" customFormat="1" ht="15" customHeight="1" x14ac:dyDescent="0.2">
      <c r="A130" s="3096"/>
      <c r="B130" s="3078"/>
      <c r="C130" s="1642" t="str">
        <f>F!C165</f>
        <v>5-30% of the water.</v>
      </c>
      <c r="D130" s="1676">
        <f>F!D165</f>
        <v>0</v>
      </c>
      <c r="E130" s="1688">
        <v>2</v>
      </c>
      <c r="F130" s="1645">
        <f>D130*E130</f>
        <v>0</v>
      </c>
      <c r="G130" s="1648"/>
      <c r="H130" s="3046"/>
      <c r="I130" s="3102"/>
    </row>
    <row r="131" spans="1:9" s="1675" customFormat="1" ht="15" customHeight="1" x14ac:dyDescent="0.2">
      <c r="A131" s="3096"/>
      <c r="B131" s="3078"/>
      <c r="C131" s="1642" t="str">
        <f>F!C166</f>
        <v>30-70% of the water.</v>
      </c>
      <c r="D131" s="1676">
        <f>F!D166</f>
        <v>0</v>
      </c>
      <c r="E131" s="1688">
        <v>3</v>
      </c>
      <c r="F131" s="1645">
        <f>D131*E131</f>
        <v>0</v>
      </c>
      <c r="G131" s="1648"/>
      <c r="H131" s="3046"/>
      <c r="I131" s="3102"/>
    </row>
    <row r="132" spans="1:9" s="1675" customFormat="1" ht="15" customHeight="1" x14ac:dyDescent="0.2">
      <c r="A132" s="3096"/>
      <c r="B132" s="3078"/>
      <c r="C132" s="1642" t="str">
        <f>F!C167</f>
        <v>70-95% of the water.</v>
      </c>
      <c r="D132" s="1676">
        <f>F!D167</f>
        <v>0</v>
      </c>
      <c r="E132" s="1688">
        <v>4</v>
      </c>
      <c r="F132" s="1645">
        <f>D132*E132</f>
        <v>0</v>
      </c>
      <c r="G132" s="1648"/>
      <c r="H132" s="3046"/>
      <c r="I132" s="3102"/>
    </row>
    <row r="133" spans="1:9" s="1675" customFormat="1" ht="15" customHeight="1" thickBot="1" x14ac:dyDescent="0.25">
      <c r="A133" s="3097"/>
      <c r="B133" s="3079"/>
      <c r="C133" s="1728" t="str">
        <f>F!C168</f>
        <v>&gt;95% of the water.</v>
      </c>
      <c r="D133" s="1729">
        <f>F!D168</f>
        <v>0</v>
      </c>
      <c r="E133" s="1690">
        <v>5</v>
      </c>
      <c r="F133" s="1660">
        <f>D133*E133</f>
        <v>0</v>
      </c>
      <c r="G133" s="1661"/>
      <c r="H133" s="3056"/>
      <c r="I133" s="3103"/>
    </row>
    <row r="134" spans="1:9" ht="57" customHeight="1" thickBot="1" x14ac:dyDescent="0.25">
      <c r="A134" s="3066" t="str">
        <f>F!A177</f>
        <v>F34</v>
      </c>
      <c r="B134" s="3062" t="str">
        <f>F!B177</f>
        <v>Width of Vegetated Zone within Wetland</v>
      </c>
      <c r="C134" s="1636" t="str">
        <f>F!C177</f>
        <v>At the time during the growing season when the AA's water level is lowest, the average width of vegetated area in the AA that separates adjoining uplands from open water within the AA is:</v>
      </c>
      <c r="D134" s="1638"/>
      <c r="E134" s="1638"/>
      <c r="F134" s="1639"/>
      <c r="G134" s="1640">
        <f>IF((AllSat1&gt;0),"",IF((TooSmall=1),"",IF((NoOpenPonded=1),"",MAX(F135:F140)/MAX(E135:E140))))</f>
        <v>0</v>
      </c>
      <c r="H134" s="3052" t="s">
        <v>2520</v>
      </c>
      <c r="I134" s="3090" t="s">
        <v>552</v>
      </c>
    </row>
    <row r="135" spans="1:9" ht="30" customHeight="1" x14ac:dyDescent="0.2">
      <c r="A135" s="3064"/>
      <c r="B135" s="3048"/>
      <c r="C135" s="1642" t="str">
        <f>F!C178</f>
        <v>&lt;1 m.</v>
      </c>
      <c r="D135" s="1656">
        <f>F!D178</f>
        <v>0</v>
      </c>
      <c r="E135" s="1657">
        <v>6</v>
      </c>
      <c r="F135" s="1645">
        <f t="shared" ref="F135:F140" si="7">D135*E135</f>
        <v>0</v>
      </c>
      <c r="G135" s="1646"/>
      <c r="H135" s="3053"/>
      <c r="I135" s="3091"/>
    </row>
    <row r="136" spans="1:9" ht="30" customHeight="1" x14ac:dyDescent="0.2">
      <c r="A136" s="3064"/>
      <c r="B136" s="3048"/>
      <c r="C136" s="1647" t="str">
        <f>F!C179</f>
        <v>1 - 9 m.</v>
      </c>
      <c r="D136" s="1643">
        <f>F!D179</f>
        <v>0</v>
      </c>
      <c r="E136" s="1657">
        <v>4</v>
      </c>
      <c r="F136" s="1645">
        <f t="shared" si="7"/>
        <v>0</v>
      </c>
      <c r="G136" s="1648"/>
      <c r="H136" s="3053"/>
      <c r="I136" s="3091"/>
    </row>
    <row r="137" spans="1:9" ht="30" customHeight="1" x14ac:dyDescent="0.2">
      <c r="A137" s="3064"/>
      <c r="B137" s="3048"/>
      <c r="C137" s="1647" t="str">
        <f>F!C180</f>
        <v>10 - 29 m.</v>
      </c>
      <c r="D137" s="1643">
        <f>F!D180</f>
        <v>0</v>
      </c>
      <c r="E137" s="1657">
        <v>3</v>
      </c>
      <c r="F137" s="1645">
        <f t="shared" si="7"/>
        <v>0</v>
      </c>
      <c r="G137" s="1648"/>
      <c r="H137" s="3053"/>
      <c r="I137" s="3091"/>
    </row>
    <row r="138" spans="1:9" ht="30" customHeight="1" x14ac:dyDescent="0.2">
      <c r="A138" s="3064"/>
      <c r="B138" s="3048"/>
      <c r="C138" s="1647" t="str">
        <f>F!C181</f>
        <v>30 - 49 m.</v>
      </c>
      <c r="D138" s="1643">
        <f>F!D181</f>
        <v>0</v>
      </c>
      <c r="E138" s="1657">
        <v>2</v>
      </c>
      <c r="F138" s="1645">
        <f t="shared" si="7"/>
        <v>0</v>
      </c>
      <c r="G138" s="1648"/>
      <c r="H138" s="3053"/>
      <c r="I138" s="3091"/>
    </row>
    <row r="139" spans="1:9" ht="30" customHeight="1" x14ac:dyDescent="0.2">
      <c r="A139" s="3064"/>
      <c r="B139" s="3048"/>
      <c r="C139" s="1647" t="str">
        <f>F!C182</f>
        <v>50 - 100 m.</v>
      </c>
      <c r="D139" s="1643">
        <f>F!D182</f>
        <v>0</v>
      </c>
      <c r="E139" s="1657">
        <v>1</v>
      </c>
      <c r="F139" s="1645">
        <f t="shared" si="7"/>
        <v>0</v>
      </c>
      <c r="G139" s="1648"/>
      <c r="H139" s="3053"/>
      <c r="I139" s="3091"/>
    </row>
    <row r="140" spans="1:9" ht="30" customHeight="1" thickBot="1" x14ac:dyDescent="0.25">
      <c r="A140" s="3065"/>
      <c r="B140" s="3073"/>
      <c r="C140" s="1658" t="str">
        <f>F!C183</f>
        <v>&gt; 100 m, or open water is absent at that time.</v>
      </c>
      <c r="D140" s="1652">
        <f>F!D183</f>
        <v>1</v>
      </c>
      <c r="E140" s="1659">
        <v>0</v>
      </c>
      <c r="F140" s="1660">
        <f t="shared" si="7"/>
        <v>0</v>
      </c>
      <c r="G140" s="1661"/>
      <c r="H140" s="3054"/>
      <c r="I140" s="3092"/>
    </row>
    <row r="141" spans="1:9" ht="68.25" customHeight="1" thickBot="1" x14ac:dyDescent="0.25">
      <c r="A141" s="3086" t="str">
        <f>F!A206</f>
        <v>F42</v>
      </c>
      <c r="B141" s="3047" t="str">
        <f>F!B206</f>
        <v>Channel Connection &amp; Outflow Duration</v>
      </c>
      <c r="C141" s="1691"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141" s="1692"/>
      <c r="E141" s="1692"/>
      <c r="F141" s="1693"/>
      <c r="G141" s="1694">
        <f>MAX(F142:F146)/MAX(E142:E146)</f>
        <v>0.2</v>
      </c>
      <c r="H141" s="3053" t="s">
        <v>1487</v>
      </c>
      <c r="I141" s="3090" t="s">
        <v>553</v>
      </c>
    </row>
    <row r="142" spans="1:9" ht="15" customHeight="1" x14ac:dyDescent="0.2">
      <c r="A142" s="3087"/>
      <c r="B142" s="3048"/>
      <c r="C142" s="1642" t="str">
        <f>F!C207</f>
        <v>Persistent (surface water flows out for &gt;9 months/year).</v>
      </c>
      <c r="D142" s="1656">
        <f>F!D207</f>
        <v>0</v>
      </c>
      <c r="E142" s="1657">
        <v>0</v>
      </c>
      <c r="F142" s="1645">
        <f>D142*E142</f>
        <v>0</v>
      </c>
      <c r="G142" s="1646"/>
      <c r="H142" s="3053"/>
      <c r="I142" s="3091"/>
    </row>
    <row r="143" spans="1:9" ht="15" customHeight="1" x14ac:dyDescent="0.2">
      <c r="A143" s="3087"/>
      <c r="B143" s="3048"/>
      <c r="C143" s="1647" t="str">
        <f>F!C208</f>
        <v>Seasonal (surface water flows out for 14 days to 9 months/year, not necessarily consecutive).</v>
      </c>
      <c r="D143" s="1643">
        <f>F!D208</f>
        <v>1</v>
      </c>
      <c r="E143" s="1657">
        <v>1</v>
      </c>
      <c r="F143" s="1645">
        <f>D143*E143</f>
        <v>1</v>
      </c>
      <c r="G143" s="1648"/>
      <c r="H143" s="3053"/>
      <c r="I143" s="3091"/>
    </row>
    <row r="144" spans="1:9" ht="15" customHeight="1" x14ac:dyDescent="0.2">
      <c r="A144" s="3087"/>
      <c r="B144" s="3048"/>
      <c r="C144" s="1647" t="str">
        <f>F!C209</f>
        <v>Temporary (surface water flows out for &lt;14 days, not necessarily consecutive).</v>
      </c>
      <c r="D144" s="1643">
        <f>F!D209</f>
        <v>0</v>
      </c>
      <c r="E144" s="1657">
        <v>2</v>
      </c>
      <c r="F144" s="1645">
        <f>D144*E144</f>
        <v>0</v>
      </c>
      <c r="G144" s="1648"/>
      <c r="H144" s="3053"/>
      <c r="I144" s="3091"/>
    </row>
    <row r="145" spans="1:9" ht="27" customHeight="1" x14ac:dyDescent="0.2">
      <c r="A145" s="3087"/>
      <c r="B145" s="3048"/>
      <c r="C145" s="1647" t="str">
        <f>F!C210</f>
        <v>None -- but maps show a stream network downslope from the AA and within a distance that is less than the AA's length. SKIP to F47 (pH Measurement).</v>
      </c>
      <c r="D145" s="1643">
        <f>F!D210</f>
        <v>0</v>
      </c>
      <c r="E145" s="1644">
        <v>4</v>
      </c>
      <c r="F145" s="1645">
        <f>D145*E145</f>
        <v>0</v>
      </c>
      <c r="G145" s="1655"/>
      <c r="H145" s="3053"/>
      <c r="I145" s="3091"/>
    </row>
    <row r="146" spans="1:9" ht="27" customHeight="1" thickBot="1" x14ac:dyDescent="0.25">
      <c r="A146" s="3087"/>
      <c r="B146" s="3048"/>
      <c r="C146" s="1695" t="str">
        <f>F!C211</f>
        <v>No surface water flows out of the wetland except possibly during extreme events (&lt;once per 10 years). Or, water flows only into a wetland, ditch, or lake that lacks an outlet. SKIP to F47 (pH Measurement).</v>
      </c>
      <c r="D146" s="1650">
        <f>F!D211</f>
        <v>0</v>
      </c>
      <c r="E146" s="1653">
        <v>5</v>
      </c>
      <c r="F146" s="1654">
        <f>D146*E146</f>
        <v>0</v>
      </c>
      <c r="G146" s="1655"/>
      <c r="H146" s="3053"/>
      <c r="I146" s="3092"/>
    </row>
    <row r="147" spans="1:9" ht="30" customHeight="1" thickBot="1" x14ac:dyDescent="0.25">
      <c r="A147" s="3049" t="str">
        <f>F!A212</f>
        <v>F43</v>
      </c>
      <c r="B147" s="3055" t="str">
        <f>F!B212</f>
        <v xml:space="preserve">Outflow Confinement </v>
      </c>
      <c r="C147" s="1636" t="str">
        <f>F!C212</f>
        <v>During major runoff events, in the places where surface water exits the AA or connected waters nearby, the water:</v>
      </c>
      <c r="D147" s="1638"/>
      <c r="E147" s="1638"/>
      <c r="F147" s="1639"/>
      <c r="G147" s="1640">
        <f>IF((OutNone + OutNone1&gt;0),"",MAX(F148:F150)/MAX(E148:E150))</f>
        <v>0</v>
      </c>
      <c r="H147" s="2326" t="s">
        <v>2602</v>
      </c>
      <c r="I147" s="3090" t="s">
        <v>554</v>
      </c>
    </row>
    <row r="148" spans="1:9" ht="42" customHeight="1" x14ac:dyDescent="0.2">
      <c r="A148" s="3050"/>
      <c r="B148" s="3046"/>
      <c r="C148" s="1642" t="str">
        <f>F!C213</f>
        <v>Mostly passes through a pipe, culvert, narrowly breached dike, berm, beaver dam, or other partial obstruction (other than natural topography) that does not appear to drain the wetland artificially during most of the growing season.</v>
      </c>
      <c r="D148" s="1656">
        <f>F!D213</f>
        <v>0</v>
      </c>
      <c r="E148" s="1657">
        <v>2</v>
      </c>
      <c r="F148" s="1730">
        <f>D148*E148</f>
        <v>0</v>
      </c>
      <c r="G148" s="1646"/>
      <c r="H148" s="3053"/>
      <c r="I148" s="3091"/>
    </row>
    <row r="149" spans="1:9" ht="25.5" customHeight="1" x14ac:dyDescent="0.2">
      <c r="A149" s="3050"/>
      <c r="B149" s="3046"/>
      <c r="C149" s="1647" t="str">
        <f>F!C214</f>
        <v>Leaves through natural exits (channels or diffuse outflow), not mainly through artificial or temporary features.</v>
      </c>
      <c r="D149" s="1643">
        <f>F!D214</f>
        <v>1</v>
      </c>
      <c r="E149" s="1657">
        <v>0</v>
      </c>
      <c r="F149" s="1730">
        <f>D149*E149</f>
        <v>0</v>
      </c>
      <c r="G149" s="1648"/>
      <c r="H149" s="3053"/>
      <c r="I149" s="3091"/>
    </row>
    <row r="150" spans="1:9" ht="27" customHeight="1" thickBot="1" x14ac:dyDescent="0.25">
      <c r="A150" s="3051"/>
      <c r="B150" s="3056"/>
      <c r="C150" s="1658" t="str">
        <f>F!C215</f>
        <v>Is exported more quickly than usual due to ditches or pipes within the AA or connected to its outlet, or within 10 m of the AA's edge, which drain the wetland artificially, or water is pumped out of the AA.</v>
      </c>
      <c r="D150" s="1652">
        <f>F!D215</f>
        <v>0</v>
      </c>
      <c r="E150" s="1659">
        <v>1</v>
      </c>
      <c r="F150" s="1660">
        <f>D150*E150</f>
        <v>0</v>
      </c>
      <c r="G150" s="1661"/>
      <c r="H150" s="3054"/>
      <c r="I150" s="3092"/>
    </row>
    <row r="151" spans="1:9" ht="21" customHeight="1" thickBot="1" x14ac:dyDescent="0.25">
      <c r="A151" s="3052" t="str">
        <f>F!A224</f>
        <v>F47</v>
      </c>
      <c r="B151" s="3052" t="str">
        <f>F!B224</f>
        <v>pH Measurement</v>
      </c>
      <c r="C151" s="1681" t="str">
        <f>F!C224</f>
        <v>The pH in most of the AA's surface water:</v>
      </c>
      <c r="D151" s="1958"/>
      <c r="E151" s="1670"/>
      <c r="F151" s="1639"/>
      <c r="G151" s="1640" t="str">
        <f>IF((D154=1),"",IF((D153=1),1,IF((D152&gt;0&lt;5),1, "")))</f>
        <v/>
      </c>
      <c r="H151" s="2405" t="s">
        <v>2601</v>
      </c>
      <c r="I151" s="3090" t="s">
        <v>1685</v>
      </c>
    </row>
    <row r="152" spans="1:9" ht="15" customHeight="1" thickBot="1" x14ac:dyDescent="0.25">
      <c r="A152" s="3053"/>
      <c r="B152" s="3053"/>
      <c r="C152" s="2141" t="str">
        <f>F!C225</f>
        <v>Was measured, and is:  [enter the reading in the column to the right.]</v>
      </c>
      <c r="D152" s="2137" t="str">
        <f>IF((F!D225=""),"",F!D225)</f>
        <v/>
      </c>
      <c r="E152" s="1644"/>
      <c r="F152" s="1645"/>
      <c r="G152" s="1732"/>
      <c r="H152" s="3045"/>
      <c r="I152" s="3091"/>
    </row>
    <row r="153" spans="1:9" ht="39" customHeight="1" x14ac:dyDescent="0.2">
      <c r="A153" s="3053"/>
      <c r="B153" s="3053"/>
      <c r="C153" s="2143" t="str">
        <f>F!C226</f>
        <v xml:space="preserve">Was not measured but surface water is present and is darkly tea-coloured.  Or if no surface water, then mosses and plants that indicate peatland (e.g., Labrador tea) are prevalent. Enter "1". </v>
      </c>
      <c r="D153" s="1656">
        <f>F!D226</f>
        <v>0</v>
      </c>
      <c r="E153" s="1644"/>
      <c r="F153" s="1645"/>
      <c r="G153" s="1733"/>
      <c r="H153" s="3045"/>
      <c r="I153" s="3091"/>
    </row>
    <row r="154" spans="1:9" ht="15" customHeight="1" thickBot="1" x14ac:dyDescent="0.25">
      <c r="A154" s="3054"/>
      <c r="B154" s="3054"/>
      <c r="C154" s="2145" t="str">
        <f>F!C227</f>
        <v>Neither of above. Enter "1".</v>
      </c>
      <c r="D154" s="1650">
        <f>F!D227</f>
        <v>1</v>
      </c>
      <c r="E154" s="1653"/>
      <c r="F154" s="1654"/>
      <c r="G154" s="1734"/>
      <c r="H154" s="3045"/>
      <c r="I154" s="3092"/>
    </row>
    <row r="155" spans="1:9" ht="30" customHeight="1" thickBot="1" x14ac:dyDescent="0.25">
      <c r="A155" s="3052" t="str">
        <f>F!A228</f>
        <v>F48</v>
      </c>
      <c r="B155" s="3052" t="str">
        <f>F!B228</f>
        <v>TDS and/or Conductivity</v>
      </c>
      <c r="C155" s="1681" t="str">
        <f>F!C228</f>
        <v>The TDS (total dissolved solids) or conductivity off the AA's surface water is: (select the first true row with information):</v>
      </c>
      <c r="D155" s="1958"/>
      <c r="E155" s="1669"/>
      <c r="F155" s="1639"/>
      <c r="G155" s="1640" t="str">
        <f>IF((D159=1),"",IF((D158=1),1,IF((D156&lt;300),1, IF((D157&lt;600),1, ""))))</f>
        <v/>
      </c>
      <c r="H155" s="2405" t="s">
        <v>2603</v>
      </c>
      <c r="I155" s="3090" t="s">
        <v>1686</v>
      </c>
    </row>
    <row r="156" spans="1:9" ht="15" customHeight="1" thickBot="1" x14ac:dyDescent="0.25">
      <c r="A156" s="3053"/>
      <c r="B156" s="3053"/>
      <c r="C156" s="2141" t="str">
        <f>F!C229</f>
        <v>TDS is: [Enter the reading in ppm or mg/L in the column to the right, if measured, or answer next row.]</v>
      </c>
      <c r="D156" s="2138" t="str">
        <f>IF((F!D229=""),"",F!D229)</f>
        <v/>
      </c>
      <c r="E156" s="1644"/>
      <c r="F156" s="1645"/>
      <c r="G156" s="1732"/>
      <c r="H156" s="3045"/>
      <c r="I156" s="3091"/>
    </row>
    <row r="157" spans="1:9" ht="15" customHeight="1" thickBot="1" x14ac:dyDescent="0.25">
      <c r="A157" s="3053"/>
      <c r="B157" s="3053"/>
      <c r="C157" s="2142" t="str">
        <f>F!C230</f>
        <v>Conductivity is  [Enter the reading in µS/cm in the column to the right.]</v>
      </c>
      <c r="D157" s="2138" t="str">
        <f>IF((F!D230=""),"",F!D230)</f>
        <v/>
      </c>
      <c r="E157" s="1644"/>
      <c r="F157" s="1645"/>
      <c r="G157" s="1733"/>
      <c r="H157" s="3045"/>
      <c r="I157" s="3091"/>
    </row>
    <row r="158" spans="1:9" ht="15" customHeight="1" x14ac:dyDescent="0.2">
      <c r="A158" s="3053"/>
      <c r="B158" s="3053"/>
      <c r="C158" s="2143" t="str">
        <f>F!C231</f>
        <v>Was not measured, but plants that indicate saline conditions cover much of the vegetated AA. Enter "1".</v>
      </c>
      <c r="D158" s="1656">
        <f>F!D231</f>
        <v>0</v>
      </c>
      <c r="E158" s="1644"/>
      <c r="F158" s="1645"/>
      <c r="G158" s="1733"/>
      <c r="H158" s="3045"/>
      <c r="I158" s="3091"/>
    </row>
    <row r="159" spans="1:9" ht="15" customHeight="1" thickBot="1" x14ac:dyDescent="0.25">
      <c r="A159" s="3054"/>
      <c r="B159" s="3054"/>
      <c r="C159" s="2144" t="str">
        <f>F!C232</f>
        <v>Neither of above</v>
      </c>
      <c r="D159" s="1652">
        <f>F!D232</f>
        <v>1</v>
      </c>
      <c r="E159" s="1680"/>
      <c r="F159" s="1660"/>
      <c r="G159" s="1735"/>
      <c r="H159" s="3098"/>
      <c r="I159" s="3092"/>
    </row>
    <row r="160" spans="1:9" ht="21" customHeight="1" thickBot="1" x14ac:dyDescent="0.25">
      <c r="A160" s="3052" t="str">
        <f>F!A233</f>
        <v>F49</v>
      </c>
      <c r="B160" s="3053" t="str">
        <f>F!B233</f>
        <v>Beaver Probability</v>
      </c>
      <c r="C160" s="1691" t="str">
        <f>F!C233</f>
        <v>Use of the AA by beaver during the past 5 years is (select most applicable ONE):</v>
      </c>
      <c r="D160" s="1692"/>
      <c r="E160" s="1692"/>
      <c r="F160" s="1693"/>
      <c r="G160" s="1694">
        <f>MAX(F161:F163)/MAX(E161:E163)</f>
        <v>1</v>
      </c>
      <c r="H160" s="3053" t="s">
        <v>547</v>
      </c>
      <c r="I160" s="3090" t="s">
        <v>563</v>
      </c>
    </row>
    <row r="161" spans="1:9" ht="27" customHeight="1" x14ac:dyDescent="0.2">
      <c r="A161" s="3053"/>
      <c r="B161" s="3053"/>
      <c r="C161" s="1642" t="str">
        <f>F!C234</f>
        <v>Evident from direct observation or presence of gnawed limbs, dams, tracks, dens, lodges, or extensive stands of water-killed trees (snags).</v>
      </c>
      <c r="D161" s="1656">
        <f>F!D234</f>
        <v>1</v>
      </c>
      <c r="E161" s="1688">
        <v>3</v>
      </c>
      <c r="F161" s="1654">
        <f>D161*E161</f>
        <v>3</v>
      </c>
      <c r="G161" s="1646"/>
      <c r="H161" s="3053"/>
      <c r="I161" s="3091"/>
    </row>
    <row r="162" spans="1:9" ht="42" customHeight="1" x14ac:dyDescent="0.2">
      <c r="A162" s="3053"/>
      <c r="B162" s="3053"/>
      <c r="C162" s="1647" t="str">
        <f>F!C235</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62" s="1643">
        <f>F!D235</f>
        <v>0</v>
      </c>
      <c r="E162" s="1688">
        <v>2</v>
      </c>
      <c r="F162" s="1654">
        <f>D162*E162</f>
        <v>0</v>
      </c>
      <c r="G162" s="1648"/>
      <c r="H162" s="3053"/>
      <c r="I162" s="3091"/>
    </row>
    <row r="163" spans="1:9" ht="27" customHeight="1" thickBot="1" x14ac:dyDescent="0.25">
      <c r="A163" s="3054"/>
      <c r="B163" s="3054"/>
      <c r="C163" s="1658" t="str">
        <f>F!C236</f>
        <v xml:space="preserve">Unlikely because site characteristics above are deficient, and/or this is a settled area or other area where beaver are routinely removed. </v>
      </c>
      <c r="D163" s="1652">
        <f>F!D236</f>
        <v>0</v>
      </c>
      <c r="E163" s="1690">
        <v>0</v>
      </c>
      <c r="F163" s="1660">
        <f>D163*E163</f>
        <v>0</v>
      </c>
      <c r="G163" s="1661"/>
      <c r="H163" s="3054"/>
      <c r="I163" s="3092"/>
    </row>
    <row r="164" spans="1:9" ht="45.6" customHeight="1" thickBot="1" x14ac:dyDescent="0.25">
      <c r="A164" s="3062" t="str">
        <f>F!A247</f>
        <v>F52</v>
      </c>
      <c r="B164" s="3062" t="str">
        <f>F!B247</f>
        <v>Vegetated Buffer as % of Perimeter</v>
      </c>
      <c r="C164" s="1668" t="str">
        <f>F!C247</f>
        <v>Within a zone extending 30 m laterally from the AA's edge with upland and/or other wetlands, the percentage that contains perennial vegetation cover (except lawns, row crops, heavily grazed land, conifer plantations) is:</v>
      </c>
      <c r="D164" s="1736"/>
      <c r="E164" s="1700"/>
      <c r="F164" s="1639"/>
      <c r="G164" s="1640">
        <f>MAX(F165:F169)/MAX(E165:E169)</f>
        <v>0</v>
      </c>
      <c r="H164" s="3052" t="s">
        <v>1490</v>
      </c>
      <c r="I164" s="3090" t="s">
        <v>564</v>
      </c>
    </row>
    <row r="165" spans="1:9" ht="15" customHeight="1" x14ac:dyDescent="0.2">
      <c r="A165" s="3047"/>
      <c r="B165" s="3047"/>
      <c r="C165" s="1642" t="str">
        <f>F!C248</f>
        <v>&lt;5%.</v>
      </c>
      <c r="D165" s="1649">
        <f>F!D248</f>
        <v>1</v>
      </c>
      <c r="E165" s="1644">
        <v>0</v>
      </c>
      <c r="F165" s="1645">
        <f>D165*E165</f>
        <v>0</v>
      </c>
      <c r="G165" s="1646"/>
      <c r="H165" s="3053"/>
      <c r="I165" s="3091"/>
    </row>
    <row r="166" spans="1:9" ht="15" customHeight="1" x14ac:dyDescent="0.2">
      <c r="A166" s="3047"/>
      <c r="B166" s="3047"/>
      <c r="C166" s="1647" t="str">
        <f>F!C249</f>
        <v>5 to 30%.</v>
      </c>
      <c r="D166" s="1643">
        <f>F!D249</f>
        <v>0</v>
      </c>
      <c r="E166" s="1644">
        <v>2</v>
      </c>
      <c r="F166" s="1645">
        <f>D166*E166</f>
        <v>0</v>
      </c>
      <c r="G166" s="1648"/>
      <c r="H166" s="3053"/>
      <c r="I166" s="3091"/>
    </row>
    <row r="167" spans="1:9" ht="15" customHeight="1" x14ac:dyDescent="0.2">
      <c r="A167" s="3047"/>
      <c r="B167" s="3047"/>
      <c r="C167" s="1647" t="str">
        <f>F!C250</f>
        <v>30 to 60%.</v>
      </c>
      <c r="D167" s="1649">
        <f>F!D250</f>
        <v>0</v>
      </c>
      <c r="E167" s="1644">
        <v>3</v>
      </c>
      <c r="F167" s="1645">
        <f>D167*E167</f>
        <v>0</v>
      </c>
      <c r="G167" s="1648"/>
      <c r="H167" s="3053"/>
      <c r="I167" s="3091"/>
    </row>
    <row r="168" spans="1:9" ht="15" customHeight="1" x14ac:dyDescent="0.2">
      <c r="A168" s="3047"/>
      <c r="B168" s="3047"/>
      <c r="C168" s="1647" t="str">
        <f>F!C251</f>
        <v>60 to 90%.</v>
      </c>
      <c r="D168" s="1643">
        <f>F!D251</f>
        <v>0</v>
      </c>
      <c r="E168" s="1644">
        <v>4</v>
      </c>
      <c r="F168" s="1645">
        <f>D168*E168</f>
        <v>0</v>
      </c>
      <c r="G168" s="1648"/>
      <c r="H168" s="3053"/>
      <c r="I168" s="3091"/>
    </row>
    <row r="169" spans="1:9" ht="15" customHeight="1" thickBot="1" x14ac:dyDescent="0.25">
      <c r="A169" s="3070"/>
      <c r="B169" s="3070"/>
      <c r="C169" s="1651" t="str">
        <f>F!C252</f>
        <v>&gt;90%, or all the area within 30 m of the AA edge is other wetlands. SKIP to F55.</v>
      </c>
      <c r="D169" s="1652">
        <f>F!D252</f>
        <v>0</v>
      </c>
      <c r="E169" s="1680">
        <v>6</v>
      </c>
      <c r="F169" s="1660">
        <f>D169*E169</f>
        <v>0</v>
      </c>
      <c r="G169" s="1661"/>
      <c r="H169" s="3054"/>
      <c r="I169" s="3092"/>
    </row>
    <row r="170" spans="1:9" ht="30" customHeight="1" thickBot="1" x14ac:dyDescent="0.25">
      <c r="A170" s="3062" t="str">
        <f>F!A256</f>
        <v>F54</v>
      </c>
      <c r="B170" s="3047" t="str">
        <f>F!B256</f>
        <v xml:space="preserve">Buffer Slope </v>
      </c>
      <c r="C170" s="1699" t="str">
        <f>F!C256</f>
        <v>The steepest and/or most disturbed part of the upland area that is within 30 m of the wetland and occupies &gt;10% of that upland area has a percent slope of:</v>
      </c>
      <c r="D170" s="1638"/>
      <c r="E170" s="1707"/>
      <c r="F170" s="1693"/>
      <c r="G170" s="1694">
        <f>MAX(F171:F174)/MAX(E171:E174)</f>
        <v>0</v>
      </c>
      <c r="H170" s="3060" t="s">
        <v>1491</v>
      </c>
      <c r="I170" s="3090" t="s">
        <v>565</v>
      </c>
    </row>
    <row r="171" spans="1:9" ht="15" customHeight="1" x14ac:dyDescent="0.2">
      <c r="A171" s="3048"/>
      <c r="B171" s="3048"/>
      <c r="C171" s="1711" t="str">
        <f>F!C257</f>
        <v>&lt;1% (flat -- almost no noticeable slope) or all the area within 30 m of the AA edge is other wetlands.</v>
      </c>
      <c r="D171" s="1737">
        <f>F!D257</f>
        <v>1</v>
      </c>
      <c r="E171" s="1644">
        <v>0</v>
      </c>
      <c r="F171" s="1645">
        <f>D171*E171</f>
        <v>0</v>
      </c>
      <c r="G171" s="1646"/>
      <c r="H171" s="3058"/>
      <c r="I171" s="3091"/>
    </row>
    <row r="172" spans="1:9" ht="15" customHeight="1" x14ac:dyDescent="0.2">
      <c r="A172" s="3048"/>
      <c r="B172" s="3048"/>
      <c r="C172" s="1717" t="str">
        <f>F!C258</f>
        <v>2-5%.</v>
      </c>
      <c r="D172" s="1718">
        <f>F!D258</f>
        <v>0</v>
      </c>
      <c r="E172" s="1644">
        <v>1</v>
      </c>
      <c r="F172" s="1645">
        <f>D172*E172</f>
        <v>0</v>
      </c>
      <c r="G172" s="1648"/>
      <c r="H172" s="3058"/>
      <c r="I172" s="3091"/>
    </row>
    <row r="173" spans="1:9" ht="15" customHeight="1" x14ac:dyDescent="0.2">
      <c r="A173" s="3048"/>
      <c r="B173" s="3048"/>
      <c r="C173" s="1717" t="str">
        <f>F!C259</f>
        <v>5-30%.</v>
      </c>
      <c r="D173" s="1718">
        <f>F!D259</f>
        <v>0</v>
      </c>
      <c r="E173" s="1644">
        <v>2</v>
      </c>
      <c r="F173" s="1645">
        <f>D173*E173</f>
        <v>0</v>
      </c>
      <c r="G173" s="1648"/>
      <c r="H173" s="3058"/>
      <c r="I173" s="3091"/>
    </row>
    <row r="174" spans="1:9" ht="15" customHeight="1" thickBot="1" x14ac:dyDescent="0.25">
      <c r="A174" s="3073"/>
      <c r="B174" s="3048"/>
      <c r="C174" s="1738" t="str">
        <f>F!C260</f>
        <v>&gt;30%.</v>
      </c>
      <c r="D174" s="1739">
        <f>F!D260</f>
        <v>0</v>
      </c>
      <c r="E174" s="1653">
        <v>5</v>
      </c>
      <c r="F174" s="1654">
        <f>D174*E174</f>
        <v>0</v>
      </c>
      <c r="G174" s="1655"/>
      <c r="H174" s="3061"/>
      <c r="I174" s="3092"/>
    </row>
    <row r="175" spans="1:9" ht="30" customHeight="1" thickBot="1" x14ac:dyDescent="0.25">
      <c r="A175" s="3093" t="str">
        <f>F!A262</f>
        <v>F56</v>
      </c>
      <c r="B175" s="3093" t="str">
        <f>F!B262</f>
        <v>New or Expanded Wetland</v>
      </c>
      <c r="C175" s="1740" t="str">
        <f>F!C262</f>
        <v>Human actions within or adjacent to the AA have persistently expanded a naturally occurring wetland or created a wetland where there previously was none (e.g., by excavation, impoundment):</v>
      </c>
      <c r="D175" s="1736"/>
      <c r="E175" s="1638"/>
      <c r="F175" s="1639"/>
      <c r="G175" s="1640">
        <f>IF((D181=1),"",MAX(F176:F180)/MAX(E176:E180))</f>
        <v>0</v>
      </c>
      <c r="H175" s="3052" t="s">
        <v>1356</v>
      </c>
      <c r="I175" s="3090" t="s">
        <v>282</v>
      </c>
    </row>
    <row r="176" spans="1:9" ht="15" customHeight="1" x14ac:dyDescent="0.2">
      <c r="A176" s="3094"/>
      <c r="B176" s="3094"/>
      <c r="C176" s="1741" t="str">
        <f>F!C263</f>
        <v>No.</v>
      </c>
      <c r="D176" s="1742">
        <f>F!D263</f>
        <v>1</v>
      </c>
      <c r="E176" s="1713">
        <v>0</v>
      </c>
      <c r="F176" s="1645">
        <f>D176*E176</f>
        <v>0</v>
      </c>
      <c r="G176" s="1646"/>
      <c r="H176" s="3053"/>
      <c r="I176" s="3091"/>
    </row>
    <row r="177" spans="1:12" ht="15" customHeight="1" x14ac:dyDescent="0.2">
      <c r="A177" s="3094"/>
      <c r="B177" s="3094"/>
      <c r="C177" s="1743" t="str">
        <f>F!C264</f>
        <v xml:space="preserve">Yes, and created or expanded 20 - 100 years ago. </v>
      </c>
      <c r="D177" s="1744">
        <f>F!D264</f>
        <v>0</v>
      </c>
      <c r="E177" s="1713">
        <v>1</v>
      </c>
      <c r="F177" s="1645">
        <f>D177*E177</f>
        <v>0</v>
      </c>
      <c r="G177" s="1648"/>
      <c r="H177" s="3053"/>
      <c r="I177" s="3091"/>
    </row>
    <row r="178" spans="1:12" ht="15" customHeight="1" x14ac:dyDescent="0.2">
      <c r="A178" s="3094"/>
      <c r="B178" s="3094"/>
      <c r="C178" s="1743" t="str">
        <f>F!C265</f>
        <v>Yes, and created or expanded 3-20 years ago.</v>
      </c>
      <c r="D178" s="1744">
        <f>F!D265</f>
        <v>0</v>
      </c>
      <c r="E178" s="1713">
        <v>2</v>
      </c>
      <c r="F178" s="1645">
        <f>D178*E178</f>
        <v>0</v>
      </c>
      <c r="G178" s="1648"/>
      <c r="H178" s="3053"/>
      <c r="I178" s="3091"/>
    </row>
    <row r="179" spans="1:12" ht="15" customHeight="1" x14ac:dyDescent="0.2">
      <c r="A179" s="3094"/>
      <c r="B179" s="3094"/>
      <c r="C179" s="1743" t="str">
        <f>F!C266</f>
        <v>Yes, and created or expanded within last 3 years.</v>
      </c>
      <c r="D179" s="1744">
        <f>F!D266</f>
        <v>0</v>
      </c>
      <c r="E179" s="1713">
        <v>3</v>
      </c>
      <c r="F179" s="1645">
        <f>D179*E179</f>
        <v>0</v>
      </c>
      <c r="G179" s="1648"/>
      <c r="H179" s="3053"/>
      <c r="I179" s="3091"/>
    </row>
    <row r="180" spans="1:12" ht="15" customHeight="1" x14ac:dyDescent="0.2">
      <c r="A180" s="3094"/>
      <c r="B180" s="3094"/>
      <c r="C180" s="1743" t="str">
        <f>F!C267</f>
        <v>Yes, but time of origin or expansion unknown.</v>
      </c>
      <c r="D180" s="1744">
        <f>F!D267</f>
        <v>0</v>
      </c>
      <c r="E180" s="1713">
        <v>1</v>
      </c>
      <c r="F180" s="1645">
        <f>D180*E180</f>
        <v>0</v>
      </c>
      <c r="G180" s="1648"/>
      <c r="H180" s="3053"/>
      <c r="I180" s="3091"/>
    </row>
    <row r="181" spans="1:12" ht="15" customHeight="1" thickBot="1" x14ac:dyDescent="0.25">
      <c r="A181" s="3095"/>
      <c r="B181" s="3095"/>
      <c r="C181" s="1745" t="str">
        <f>F!C268</f>
        <v>Unknown if new or expanded within 20 years or not.</v>
      </c>
      <c r="D181" s="1746">
        <f>F!D268</f>
        <v>0</v>
      </c>
      <c r="E181" s="1667"/>
      <c r="F181" s="1660"/>
      <c r="G181" s="1661"/>
      <c r="H181" s="3054"/>
      <c r="I181" s="3092"/>
    </row>
    <row r="182" spans="1:12" s="1675" customFormat="1" ht="21" customHeight="1" thickBot="1" x14ac:dyDescent="0.25">
      <c r="A182" s="3080"/>
      <c r="B182" s="3080"/>
      <c r="C182" s="3080"/>
      <c r="D182" s="3080"/>
      <c r="E182" s="3080"/>
      <c r="F182" s="3080"/>
      <c r="G182" s="3080"/>
      <c r="H182" s="3080"/>
      <c r="I182" s="1747"/>
    </row>
    <row r="183" spans="1:12" s="1675" customFormat="1" ht="30" customHeight="1" x14ac:dyDescent="0.2">
      <c r="A183" s="3081"/>
      <c r="B183" s="3081"/>
      <c r="C183" s="3120" t="s">
        <v>2438</v>
      </c>
      <c r="D183" s="3121"/>
      <c r="E183" s="3121"/>
      <c r="F183" s="3122"/>
      <c r="G183" s="1748">
        <f>AVERAGE((OutDura_S * AVERAGE(SatPct_S, CUratio_S, IsoDry_S, Depth_S, Constric_S)), AVERAGE(BuffSlope_S,SoilTex_S,Beaver_S))</f>
        <v>0.22233333333333333</v>
      </c>
      <c r="H183" s="1749" t="s">
        <v>2378</v>
      </c>
      <c r="I183" s="1750" t="s">
        <v>286</v>
      </c>
    </row>
    <row r="184" spans="1:12" s="1675" customFormat="1" ht="30" customHeight="1" x14ac:dyDescent="0.2">
      <c r="A184" s="3081"/>
      <c r="B184" s="3081"/>
      <c r="C184" s="3083" t="s">
        <v>2439</v>
      </c>
      <c r="D184" s="3084"/>
      <c r="E184" s="3084"/>
      <c r="F184" s="3085"/>
      <c r="G184" s="1751">
        <f>AVERAGE((AVERAGE(VwidthAbs_S, WetSize_S, (AVERAGE(EmSens1_S, ShrubPattS, WoodySens2_S, Gcover_S, UpEdge_S)), RareSpp_S)))</f>
        <v>0.41944444444444445</v>
      </c>
      <c r="H184" s="1752" t="s">
        <v>1324</v>
      </c>
      <c r="I184" s="1753" t="s">
        <v>287</v>
      </c>
    </row>
    <row r="185" spans="1:12" s="1675" customFormat="1" ht="21" customHeight="1" x14ac:dyDescent="0.2">
      <c r="A185" s="3081"/>
      <c r="B185" s="3081"/>
      <c r="C185" s="3083" t="s">
        <v>2440</v>
      </c>
      <c r="D185" s="3084"/>
      <c r="E185" s="3084"/>
      <c r="F185" s="3085"/>
      <c r="G185" s="1751">
        <f>AVERAGE(GDD_S,AVERAGE(WettypeS,NfixS,NewWet_S,AcidicS,ConductivS))</f>
        <v>0.22916666666666666</v>
      </c>
      <c r="H185" s="1752" t="s">
        <v>2047</v>
      </c>
      <c r="I185" s="1753" t="s">
        <v>288</v>
      </c>
    </row>
    <row r="186" spans="1:12" s="1755" customFormat="1" ht="21" customHeight="1" x14ac:dyDescent="0.2">
      <c r="A186" s="3081"/>
      <c r="B186" s="3081"/>
      <c r="C186" s="3083" t="s">
        <v>2441</v>
      </c>
      <c r="D186" s="3084"/>
      <c r="E186" s="3084"/>
      <c r="F186" s="3085"/>
      <c r="G186" s="1751">
        <f>AVERAGE(Elev_S,HerbDom2, NatVegProx_S,NatVegSize_S,NatVegCUpct_S, VegPctScape_S,PondProx_S,LakeProx_S)</f>
        <v>0.49291666666666667</v>
      </c>
      <c r="H186" s="1752" t="s">
        <v>2048</v>
      </c>
      <c r="I186" s="1754" t="s">
        <v>289</v>
      </c>
    </row>
    <row r="187" spans="1:12" s="1675" customFormat="1" ht="21" customHeight="1" thickBot="1" x14ac:dyDescent="0.25">
      <c r="A187" s="3081"/>
      <c r="B187" s="3081"/>
      <c r="C187" s="3117" t="s">
        <v>2442</v>
      </c>
      <c r="D187" s="3118"/>
      <c r="E187" s="3118"/>
      <c r="F187" s="3119"/>
      <c r="G187" s="1756">
        <f>IF((MAX(F!D18:D21)&gt;3),0,AVERAGE(TreeCovS,TreeDBHs))</f>
        <v>0.16666666666666666</v>
      </c>
      <c r="H187" s="1757" t="s">
        <v>2049</v>
      </c>
      <c r="I187" s="1758" t="s">
        <v>290</v>
      </c>
    </row>
    <row r="188" spans="1:12" s="1675" customFormat="1" ht="21" customHeight="1" thickBot="1" x14ac:dyDescent="0.25">
      <c r="A188" s="3081"/>
      <c r="B188" s="3081"/>
      <c r="C188" s="3082"/>
      <c r="D188" s="3082"/>
      <c r="E188" s="3082"/>
      <c r="F188" s="3082"/>
      <c r="G188" s="3082"/>
      <c r="H188" s="3081"/>
      <c r="I188" s="1759"/>
    </row>
    <row r="189" spans="1:12" s="1675" customFormat="1" ht="30" customHeight="1" thickBot="1" x14ac:dyDescent="0.25">
      <c r="A189" s="3081"/>
      <c r="B189" s="3081"/>
      <c r="C189" s="3104" t="s">
        <v>71</v>
      </c>
      <c r="D189" s="3105"/>
      <c r="E189" s="3106"/>
      <c r="F189" s="2135" t="s">
        <v>2880</v>
      </c>
      <c r="G189" s="1760">
        <f>10*AVERAGE(AbioSens,BioSens,Fertility,Colonizer,GrowthRate)</f>
        <v>3.061055555555555</v>
      </c>
      <c r="H189" s="3088" t="s">
        <v>2054</v>
      </c>
      <c r="I189" s="3089"/>
    </row>
    <row r="190" spans="1:12" s="1675" customFormat="1" ht="21" customHeight="1" thickBot="1" x14ac:dyDescent="0.25">
      <c r="A190" s="1761"/>
      <c r="B190" s="1761"/>
      <c r="C190" s="1761"/>
      <c r="D190" s="1761"/>
      <c r="E190" s="1761"/>
      <c r="F190" s="1761"/>
      <c r="G190" s="1761"/>
      <c r="H190" s="1762"/>
      <c r="L190" s="1763"/>
    </row>
    <row r="191" spans="1:12" s="1675" customFormat="1" ht="21" customHeight="1" thickBot="1" x14ac:dyDescent="0.25">
      <c r="A191" s="1761"/>
      <c r="B191" s="1761"/>
      <c r="C191" s="1761"/>
      <c r="D191" s="1761"/>
      <c r="E191" s="1761"/>
      <c r="F191" s="1761"/>
      <c r="G191" s="1761"/>
      <c r="H191" s="3113" t="s">
        <v>669</v>
      </c>
      <c r="I191" s="3114"/>
    </row>
    <row r="192" spans="1:12" s="1675" customFormat="1" ht="27" customHeight="1" x14ac:dyDescent="0.2">
      <c r="A192" s="1761"/>
      <c r="B192" s="1761"/>
      <c r="C192" s="1761"/>
      <c r="D192" s="1761"/>
      <c r="E192" s="1761"/>
      <c r="F192" s="1761"/>
      <c r="G192" s="1761"/>
      <c r="H192" s="3115" t="s">
        <v>938</v>
      </c>
      <c r="I192" s="3116"/>
    </row>
    <row r="193" spans="1:9" s="1675" customFormat="1" ht="27" customHeight="1" x14ac:dyDescent="0.2">
      <c r="A193" s="1761"/>
      <c r="B193" s="1761"/>
      <c r="C193" s="1761"/>
      <c r="D193" s="1761"/>
      <c r="E193" s="1761"/>
      <c r="F193" s="1761"/>
      <c r="G193" s="1761"/>
      <c r="H193" s="3109" t="s">
        <v>920</v>
      </c>
      <c r="I193" s="3110"/>
    </row>
    <row r="194" spans="1:9" s="1675" customFormat="1" ht="27" customHeight="1" x14ac:dyDescent="0.2">
      <c r="A194" s="1761"/>
      <c r="B194" s="1761"/>
      <c r="C194" s="1761"/>
      <c r="D194" s="1761"/>
      <c r="E194" s="1761"/>
      <c r="F194" s="1761"/>
      <c r="G194" s="1761"/>
      <c r="H194" s="3109" t="s">
        <v>939</v>
      </c>
      <c r="I194" s="3110"/>
    </row>
    <row r="195" spans="1:9" s="1675" customFormat="1" ht="27" customHeight="1" x14ac:dyDescent="0.2">
      <c r="A195" s="1761"/>
      <c r="B195" s="1761"/>
      <c r="C195" s="1761"/>
      <c r="D195" s="1761"/>
      <c r="E195" s="1761"/>
      <c r="F195" s="1761"/>
      <c r="G195" s="1761"/>
      <c r="H195" s="3109" t="s">
        <v>940</v>
      </c>
      <c r="I195" s="3110"/>
    </row>
    <row r="196" spans="1:9" s="1675" customFormat="1" ht="27" customHeight="1" x14ac:dyDescent="0.2">
      <c r="A196" s="1761"/>
      <c r="B196" s="1761"/>
      <c r="C196" s="1761"/>
      <c r="D196" s="1761"/>
      <c r="E196" s="1761"/>
      <c r="F196" s="1761"/>
      <c r="G196" s="1761"/>
      <c r="H196" s="3107" t="s">
        <v>794</v>
      </c>
      <c r="I196" s="3108"/>
    </row>
    <row r="197" spans="1:9" s="1675" customFormat="1" ht="27" customHeight="1" x14ac:dyDescent="0.2">
      <c r="A197" s="1761"/>
      <c r="B197" s="1761"/>
      <c r="C197" s="1761"/>
      <c r="D197" s="1761"/>
      <c r="E197" s="1761"/>
      <c r="F197" s="1761"/>
      <c r="G197" s="1761"/>
      <c r="H197" s="3123" t="s">
        <v>1389</v>
      </c>
      <c r="I197" s="3124"/>
    </row>
    <row r="198" spans="1:9" s="1675" customFormat="1" ht="42" customHeight="1" x14ac:dyDescent="0.2">
      <c r="A198" s="1761"/>
      <c r="B198" s="1761"/>
      <c r="C198" s="1761"/>
      <c r="D198" s="1761"/>
      <c r="E198" s="1761"/>
      <c r="F198" s="1761"/>
      <c r="G198" s="1761"/>
      <c r="H198" s="3109" t="s">
        <v>923</v>
      </c>
      <c r="I198" s="3110"/>
    </row>
    <row r="199" spans="1:9" s="1675" customFormat="1" ht="42" customHeight="1" x14ac:dyDescent="0.2">
      <c r="A199" s="1761"/>
      <c r="B199" s="1761"/>
      <c r="C199" s="1761"/>
      <c r="D199" s="1761"/>
      <c r="E199" s="1761"/>
      <c r="F199" s="1761"/>
      <c r="G199" s="1761"/>
      <c r="H199" s="3109" t="s">
        <v>680</v>
      </c>
      <c r="I199" s="3110"/>
    </row>
    <row r="200" spans="1:9" s="1675" customFormat="1" ht="27" customHeight="1" x14ac:dyDescent="0.2">
      <c r="A200" s="1761"/>
      <c r="B200" s="1761"/>
      <c r="C200" s="1761"/>
      <c r="D200" s="1761"/>
      <c r="E200" s="1761"/>
      <c r="F200" s="1761"/>
      <c r="G200" s="1761"/>
      <c r="H200" s="3109" t="s">
        <v>941</v>
      </c>
      <c r="I200" s="3110"/>
    </row>
    <row r="201" spans="1:9" s="1675" customFormat="1" ht="27" customHeight="1" x14ac:dyDescent="0.2">
      <c r="A201" s="1761"/>
      <c r="B201" s="1761"/>
      <c r="C201" s="1761"/>
      <c r="D201" s="1761"/>
      <c r="E201" s="1761"/>
      <c r="F201" s="1761"/>
      <c r="G201" s="1761"/>
      <c r="H201" s="3109" t="s">
        <v>942</v>
      </c>
      <c r="I201" s="3110"/>
    </row>
    <row r="202" spans="1:9" s="1675" customFormat="1" ht="27" customHeight="1" x14ac:dyDescent="0.2">
      <c r="A202" s="1761"/>
      <c r="B202" s="1761"/>
      <c r="C202" s="1761"/>
      <c r="D202" s="1761"/>
      <c r="E202" s="1761"/>
      <c r="F202" s="1761"/>
      <c r="G202" s="1761"/>
      <c r="H202" s="3107" t="s">
        <v>1222</v>
      </c>
      <c r="I202" s="3108"/>
    </row>
    <row r="203" spans="1:9" s="1675" customFormat="1" ht="27" customHeight="1" x14ac:dyDescent="0.2">
      <c r="A203" s="1761"/>
      <c r="B203" s="1761"/>
      <c r="C203" s="1761"/>
      <c r="D203" s="1761"/>
      <c r="E203" s="1761"/>
      <c r="F203" s="1761"/>
      <c r="G203" s="1761"/>
      <c r="H203" s="3107" t="s">
        <v>927</v>
      </c>
      <c r="I203" s="3108"/>
    </row>
    <row r="204" spans="1:9" s="1675" customFormat="1" ht="27" customHeight="1" x14ac:dyDescent="0.2">
      <c r="A204" s="1761"/>
      <c r="B204" s="1761"/>
      <c r="C204" s="1761"/>
      <c r="D204" s="1761"/>
      <c r="E204" s="1761"/>
      <c r="F204" s="1761"/>
      <c r="G204" s="1761"/>
      <c r="H204" s="3109" t="s">
        <v>943</v>
      </c>
      <c r="I204" s="3110"/>
    </row>
    <row r="205" spans="1:9" s="1675" customFormat="1" ht="27" customHeight="1" x14ac:dyDescent="0.2">
      <c r="A205" s="1761"/>
      <c r="B205" s="1761"/>
      <c r="C205" s="1761"/>
      <c r="D205" s="1761"/>
      <c r="E205" s="1761"/>
      <c r="F205" s="1761"/>
      <c r="G205" s="1761"/>
      <c r="H205" s="3109" t="s">
        <v>944</v>
      </c>
      <c r="I205" s="3110"/>
    </row>
    <row r="206" spans="1:9" s="1675" customFormat="1" ht="27" customHeight="1" x14ac:dyDescent="0.2">
      <c r="A206" s="1761"/>
      <c r="B206" s="1761"/>
      <c r="C206" s="1761"/>
      <c r="D206" s="1761"/>
      <c r="E206" s="1761"/>
      <c r="F206" s="1761"/>
      <c r="G206" s="1761"/>
      <c r="H206" s="3109" t="s">
        <v>945</v>
      </c>
      <c r="I206" s="3110"/>
    </row>
    <row r="207" spans="1:9" s="1675" customFormat="1" ht="42" customHeight="1" x14ac:dyDescent="0.2">
      <c r="A207" s="1761"/>
      <c r="B207" s="1761"/>
      <c r="C207" s="1761"/>
      <c r="D207" s="1761"/>
      <c r="E207" s="1761"/>
      <c r="F207" s="1761"/>
      <c r="G207" s="1761"/>
      <c r="H207" s="3111" t="s">
        <v>2881</v>
      </c>
      <c r="I207" s="3112"/>
    </row>
    <row r="208" spans="1:9" s="1675" customFormat="1" ht="42" customHeight="1" x14ac:dyDescent="0.2">
      <c r="A208" s="1761"/>
      <c r="B208" s="1761"/>
      <c r="C208" s="1761"/>
      <c r="D208" s="1761"/>
      <c r="E208" s="1761"/>
      <c r="F208" s="1761"/>
      <c r="G208" s="1761"/>
      <c r="H208" s="3109" t="s">
        <v>946</v>
      </c>
      <c r="I208" s="3110"/>
    </row>
    <row r="209" spans="1:9" s="1675" customFormat="1" ht="27" customHeight="1" x14ac:dyDescent="0.2">
      <c r="A209" s="1761"/>
      <c r="B209" s="1761"/>
      <c r="C209" s="1761"/>
      <c r="D209" s="1761"/>
      <c r="E209" s="1761"/>
      <c r="F209" s="1761"/>
      <c r="G209" s="1761"/>
      <c r="H209" s="3109" t="s">
        <v>947</v>
      </c>
      <c r="I209" s="3110"/>
    </row>
    <row r="210" spans="1:9" s="1675" customFormat="1" ht="21" customHeight="1" x14ac:dyDescent="0.2">
      <c r="A210" s="1761"/>
      <c r="B210" s="1761"/>
      <c r="C210" s="1761"/>
      <c r="D210" s="1761"/>
      <c r="E210" s="1761"/>
      <c r="F210" s="1761"/>
      <c r="G210" s="1761"/>
      <c r="H210" s="3109" t="s">
        <v>948</v>
      </c>
      <c r="I210" s="3110"/>
    </row>
    <row r="211" spans="1:9" s="1675" customFormat="1" ht="42" customHeight="1" x14ac:dyDescent="0.2">
      <c r="A211" s="1761"/>
      <c r="B211" s="1761"/>
      <c r="C211" s="1761"/>
      <c r="D211" s="1761"/>
      <c r="E211" s="1761"/>
      <c r="F211" s="1761"/>
      <c r="G211" s="1761"/>
      <c r="H211" s="3109" t="s">
        <v>949</v>
      </c>
      <c r="I211" s="3110"/>
    </row>
    <row r="212" spans="1:9" s="1675" customFormat="1" ht="42" customHeight="1" x14ac:dyDescent="0.2">
      <c r="A212" s="1762"/>
      <c r="B212" s="1761"/>
      <c r="C212" s="1764"/>
      <c r="D212" s="1765"/>
      <c r="E212" s="1765"/>
      <c r="F212" s="1765"/>
      <c r="G212" s="1766"/>
      <c r="H212" s="3109" t="s">
        <v>950</v>
      </c>
      <c r="I212" s="3110"/>
    </row>
    <row r="213" spans="1:9" s="1675" customFormat="1" ht="27" customHeight="1" x14ac:dyDescent="0.2">
      <c r="A213" s="1762"/>
      <c r="B213" s="1761"/>
      <c r="C213" s="1764"/>
      <c r="D213" s="1765"/>
      <c r="E213" s="1765"/>
      <c r="F213" s="1765"/>
      <c r="G213" s="1766"/>
      <c r="H213" s="3123" t="s">
        <v>1390</v>
      </c>
      <c r="I213" s="3124"/>
    </row>
    <row r="214" spans="1:9" s="1675" customFormat="1" ht="27" customHeight="1" thickBot="1" x14ac:dyDescent="0.25">
      <c r="A214" s="1762"/>
      <c r="B214" s="1761"/>
      <c r="C214" s="1764"/>
      <c r="D214" s="1765"/>
      <c r="E214" s="1765"/>
      <c r="F214" s="1765"/>
      <c r="G214" s="1766"/>
      <c r="H214" s="3125" t="s">
        <v>1419</v>
      </c>
      <c r="I214" s="3126"/>
    </row>
    <row r="215" spans="1:9" s="1675" customFormat="1" x14ac:dyDescent="0.2">
      <c r="A215" s="1767"/>
      <c r="B215" s="1761"/>
      <c r="C215" s="1764"/>
      <c r="D215" s="1765"/>
      <c r="E215" s="1765"/>
      <c r="F215" s="1765"/>
      <c r="G215" s="1766"/>
      <c r="H215" s="1767"/>
    </row>
    <row r="216" spans="1:9" s="1675" customFormat="1" x14ac:dyDescent="0.2">
      <c r="A216" s="1767"/>
      <c r="B216" s="1761"/>
      <c r="C216" s="1764"/>
      <c r="D216" s="1765"/>
      <c r="E216" s="1765"/>
      <c r="F216" s="1765"/>
      <c r="G216" s="1766"/>
      <c r="H216" s="1767"/>
    </row>
    <row r="217" spans="1:9" s="1675" customFormat="1" x14ac:dyDescent="0.2">
      <c r="A217" s="1762"/>
      <c r="B217" s="1761"/>
      <c r="C217" s="1764"/>
      <c r="D217" s="1765"/>
      <c r="E217" s="1765"/>
      <c r="F217" s="1765"/>
      <c r="G217" s="1766"/>
      <c r="H217" s="1762"/>
    </row>
    <row r="218" spans="1:9" s="1675" customFormat="1" x14ac:dyDescent="0.2">
      <c r="A218" s="1762"/>
      <c r="B218" s="1761"/>
      <c r="C218" s="1764"/>
      <c r="D218" s="1765"/>
      <c r="E218" s="1765"/>
      <c r="F218" s="1765"/>
      <c r="G218" s="1766"/>
      <c r="H218" s="1762"/>
    </row>
    <row r="219" spans="1:9" s="1675" customFormat="1" x14ac:dyDescent="0.2">
      <c r="A219" s="1762"/>
      <c r="B219" s="1761"/>
      <c r="C219" s="1764"/>
      <c r="D219" s="1765"/>
      <c r="E219" s="1765"/>
      <c r="F219" s="1765"/>
      <c r="G219" s="1766"/>
      <c r="H219" s="1762"/>
    </row>
    <row r="220" spans="1:9" s="1675" customFormat="1" x14ac:dyDescent="0.2">
      <c r="A220" s="1762"/>
      <c r="B220" s="1761"/>
      <c r="C220" s="1764"/>
      <c r="D220" s="1765"/>
      <c r="E220" s="1765"/>
      <c r="F220" s="1765"/>
      <c r="G220" s="1766"/>
      <c r="H220" s="1762"/>
    </row>
    <row r="221" spans="1:9" s="1675" customFormat="1" x14ac:dyDescent="0.2">
      <c r="A221" s="1762"/>
      <c r="B221" s="1761"/>
      <c r="C221" s="1764"/>
      <c r="D221" s="1765"/>
      <c r="E221" s="1765"/>
      <c r="F221" s="1765"/>
      <c r="G221" s="1766"/>
      <c r="H221" s="1762"/>
    </row>
    <row r="222" spans="1:9" s="1675" customFormat="1" x14ac:dyDescent="0.2">
      <c r="A222" s="1762"/>
      <c r="B222" s="1761"/>
      <c r="C222" s="1764"/>
      <c r="D222" s="1765"/>
      <c r="E222" s="1765"/>
      <c r="F222" s="1765"/>
      <c r="G222" s="1766"/>
      <c r="H222" s="1762"/>
    </row>
    <row r="223" spans="1:9" s="1675" customFormat="1" x14ac:dyDescent="0.2">
      <c r="A223" s="1762"/>
      <c r="B223" s="1761"/>
      <c r="C223" s="1764"/>
      <c r="D223" s="1765"/>
      <c r="E223" s="1765"/>
      <c r="F223" s="1765"/>
      <c r="G223" s="1766"/>
      <c r="H223" s="1762"/>
    </row>
    <row r="224" spans="1:9" s="1675" customFormat="1" x14ac:dyDescent="0.2">
      <c r="A224" s="1762"/>
      <c r="B224" s="1761"/>
      <c r="C224" s="1764"/>
      <c r="D224" s="1765"/>
      <c r="E224" s="1765"/>
      <c r="F224" s="1765"/>
      <c r="G224" s="1766"/>
      <c r="H224" s="1762"/>
    </row>
    <row r="225" spans="1:8" s="1675" customFormat="1" x14ac:dyDescent="0.2">
      <c r="A225" s="1762"/>
      <c r="B225" s="1761"/>
      <c r="C225" s="1764"/>
      <c r="D225" s="1765"/>
      <c r="E225" s="1765"/>
      <c r="F225" s="1765"/>
      <c r="G225" s="1766"/>
      <c r="H225" s="1762"/>
    </row>
    <row r="226" spans="1:8" s="1675" customFormat="1" x14ac:dyDescent="0.2">
      <c r="A226" s="1762"/>
      <c r="B226" s="1761"/>
      <c r="C226" s="1764"/>
      <c r="D226" s="1765"/>
      <c r="E226" s="1765"/>
      <c r="F226" s="1765"/>
      <c r="G226" s="1766"/>
      <c r="H226" s="1762"/>
    </row>
    <row r="227" spans="1:8" s="1675" customFormat="1" x14ac:dyDescent="0.2">
      <c r="A227" s="1762"/>
      <c r="B227" s="1761"/>
      <c r="C227" s="1764"/>
      <c r="D227" s="1765"/>
      <c r="E227" s="1765"/>
      <c r="F227" s="1765"/>
      <c r="G227" s="1766"/>
      <c r="H227" s="1762"/>
    </row>
    <row r="228" spans="1:8" s="1675" customFormat="1" x14ac:dyDescent="0.2">
      <c r="A228" s="1762"/>
      <c r="B228" s="1761"/>
      <c r="C228" s="1764"/>
      <c r="D228" s="1765"/>
      <c r="E228" s="1765"/>
      <c r="F228" s="1765"/>
      <c r="G228" s="1766"/>
      <c r="H228" s="1762"/>
    </row>
    <row r="229" spans="1:8" s="1675" customFormat="1" x14ac:dyDescent="0.2">
      <c r="A229" s="1762"/>
      <c r="B229" s="1761"/>
      <c r="C229" s="1764"/>
      <c r="D229" s="1765"/>
      <c r="E229" s="1765"/>
      <c r="F229" s="1765"/>
      <c r="G229" s="1766"/>
      <c r="H229" s="1762"/>
    </row>
    <row r="230" spans="1:8" s="1675" customFormat="1" x14ac:dyDescent="0.2">
      <c r="A230" s="1762"/>
      <c r="B230" s="1761"/>
      <c r="C230" s="1764"/>
      <c r="D230" s="1765"/>
      <c r="E230" s="1765"/>
      <c r="F230" s="1765"/>
      <c r="G230" s="1766"/>
      <c r="H230" s="1762"/>
    </row>
    <row r="231" spans="1:8" s="1675" customFormat="1" x14ac:dyDescent="0.2">
      <c r="A231" s="1762"/>
      <c r="B231" s="1761"/>
      <c r="C231" s="1764"/>
      <c r="D231" s="1765"/>
      <c r="E231" s="1765"/>
      <c r="F231" s="1765"/>
      <c r="G231" s="1766"/>
      <c r="H231" s="1762"/>
    </row>
    <row r="232" spans="1:8" s="1675" customFormat="1" x14ac:dyDescent="0.2">
      <c r="A232" s="1762"/>
      <c r="B232" s="1761"/>
      <c r="C232" s="1764"/>
      <c r="D232" s="1765"/>
      <c r="E232" s="1765"/>
      <c r="F232" s="1765"/>
      <c r="G232" s="1766"/>
      <c r="H232" s="1762"/>
    </row>
    <row r="233" spans="1:8" s="1675" customFormat="1" x14ac:dyDescent="0.2">
      <c r="A233" s="1762"/>
      <c r="B233" s="1761"/>
      <c r="C233" s="1764"/>
      <c r="D233" s="1765"/>
      <c r="E233" s="1765"/>
      <c r="F233" s="1765"/>
      <c r="G233" s="1766"/>
      <c r="H233" s="1762"/>
    </row>
    <row r="234" spans="1:8" s="1675" customFormat="1" x14ac:dyDescent="0.2">
      <c r="A234" s="1762"/>
      <c r="B234" s="1761"/>
      <c r="C234" s="1764"/>
      <c r="D234" s="1765"/>
      <c r="E234" s="1765"/>
      <c r="F234" s="1765"/>
      <c r="G234" s="1766"/>
      <c r="H234" s="1762"/>
    </row>
    <row r="235" spans="1:8" s="1675" customFormat="1" x14ac:dyDescent="0.2">
      <c r="A235" s="1762"/>
      <c r="B235" s="1761"/>
      <c r="C235" s="1764"/>
      <c r="D235" s="1765"/>
      <c r="E235" s="1765"/>
      <c r="F235" s="1765"/>
      <c r="G235" s="1766"/>
      <c r="H235" s="1762"/>
    </row>
    <row r="236" spans="1:8" s="1675" customFormat="1" x14ac:dyDescent="0.2">
      <c r="A236" s="1762"/>
      <c r="B236" s="1761"/>
      <c r="C236" s="1764"/>
      <c r="D236" s="1765"/>
      <c r="E236" s="1765"/>
      <c r="F236" s="1765"/>
      <c r="G236" s="1766"/>
      <c r="H236" s="1762"/>
    </row>
    <row r="237" spans="1:8" s="1675" customFormat="1" x14ac:dyDescent="0.2">
      <c r="A237" s="1762"/>
      <c r="B237" s="1761"/>
      <c r="C237" s="1764"/>
      <c r="D237" s="1765"/>
      <c r="E237" s="1765"/>
      <c r="F237" s="1765"/>
      <c r="G237" s="1766"/>
      <c r="H237" s="1762"/>
    </row>
    <row r="238" spans="1:8" s="1675" customFormat="1" x14ac:dyDescent="0.2">
      <c r="A238" s="1762"/>
      <c r="B238" s="1761"/>
      <c r="C238" s="1764"/>
      <c r="D238" s="1765"/>
      <c r="E238" s="1765"/>
      <c r="F238" s="1765"/>
      <c r="G238" s="1766"/>
      <c r="H238" s="1762"/>
    </row>
    <row r="239" spans="1:8" s="1675" customFormat="1" x14ac:dyDescent="0.2">
      <c r="A239" s="1762"/>
      <c r="B239" s="1761"/>
      <c r="C239" s="1764"/>
      <c r="D239" s="1765"/>
      <c r="E239" s="1765"/>
      <c r="F239" s="1765"/>
      <c r="G239" s="1766"/>
      <c r="H239" s="1762"/>
    </row>
    <row r="240" spans="1:8" s="1675" customFormat="1" x14ac:dyDescent="0.2">
      <c r="A240" s="1762"/>
      <c r="B240" s="1761"/>
      <c r="C240" s="1764"/>
      <c r="D240" s="1765"/>
      <c r="E240" s="1765"/>
      <c r="F240" s="1765"/>
      <c r="G240" s="1766"/>
      <c r="H240" s="1762"/>
    </row>
    <row r="241" spans="1:8" s="1675" customFormat="1" x14ac:dyDescent="0.2">
      <c r="A241" s="1762"/>
      <c r="B241" s="1761"/>
      <c r="C241" s="1764"/>
      <c r="D241" s="1765"/>
      <c r="E241" s="1765"/>
      <c r="F241" s="1765"/>
      <c r="G241" s="1766"/>
      <c r="H241" s="1762"/>
    </row>
    <row r="242" spans="1:8" s="1675" customFormat="1" x14ac:dyDescent="0.2">
      <c r="A242" s="1762"/>
      <c r="B242" s="1761"/>
      <c r="C242" s="1764"/>
      <c r="D242" s="1765"/>
      <c r="E242" s="1765"/>
      <c r="F242" s="1765"/>
      <c r="G242" s="1766"/>
      <c r="H242" s="1762"/>
    </row>
    <row r="243" spans="1:8" s="1675" customFormat="1" x14ac:dyDescent="0.2">
      <c r="A243" s="1762"/>
      <c r="B243" s="1761"/>
      <c r="C243" s="1764"/>
      <c r="D243" s="1765"/>
      <c r="E243" s="1765"/>
      <c r="F243" s="1765"/>
      <c r="G243" s="1766"/>
      <c r="H243" s="1762"/>
    </row>
    <row r="244" spans="1:8" s="1675" customFormat="1" x14ac:dyDescent="0.2">
      <c r="A244" s="1762"/>
      <c r="B244" s="1761"/>
      <c r="C244" s="1764"/>
      <c r="D244" s="1765"/>
      <c r="E244" s="1765"/>
      <c r="F244" s="1765"/>
      <c r="G244" s="1766"/>
      <c r="H244" s="1762"/>
    </row>
    <row r="245" spans="1:8" s="1675" customFormat="1" x14ac:dyDescent="0.2">
      <c r="A245" s="1762"/>
      <c r="B245" s="1761"/>
      <c r="C245" s="1764"/>
      <c r="D245" s="1765"/>
      <c r="E245" s="1765"/>
      <c r="F245" s="1765"/>
      <c r="G245" s="1766"/>
      <c r="H245" s="1762"/>
    </row>
    <row r="246" spans="1:8" s="1675" customFormat="1" x14ac:dyDescent="0.2">
      <c r="A246" s="1762"/>
      <c r="B246" s="1761"/>
      <c r="C246" s="1764"/>
      <c r="D246" s="1765"/>
      <c r="E246" s="1765"/>
      <c r="F246" s="1765"/>
      <c r="G246" s="1766"/>
      <c r="H246" s="1762"/>
    </row>
    <row r="247" spans="1:8" s="1675" customFormat="1" x14ac:dyDescent="0.2">
      <c r="A247" s="1762"/>
      <c r="B247" s="1761"/>
      <c r="C247" s="1764"/>
      <c r="D247" s="1765"/>
      <c r="E247" s="1765"/>
      <c r="F247" s="1765"/>
      <c r="G247" s="1766"/>
      <c r="H247" s="1762"/>
    </row>
    <row r="248" spans="1:8" s="1675" customFormat="1" x14ac:dyDescent="0.2">
      <c r="A248" s="1762"/>
      <c r="B248" s="1761"/>
      <c r="C248" s="1764"/>
      <c r="D248" s="1765"/>
      <c r="E248" s="1765"/>
      <c r="F248" s="1765"/>
      <c r="G248" s="1766"/>
      <c r="H248" s="1762"/>
    </row>
    <row r="249" spans="1:8" s="1675" customFormat="1" x14ac:dyDescent="0.2">
      <c r="A249" s="1762"/>
      <c r="B249" s="1761"/>
      <c r="C249" s="1764"/>
      <c r="D249" s="1765"/>
      <c r="E249" s="1765"/>
      <c r="F249" s="1765"/>
      <c r="G249" s="1766"/>
      <c r="H249" s="1762"/>
    </row>
    <row r="250" spans="1:8" s="1675" customFormat="1" x14ac:dyDescent="0.2">
      <c r="A250" s="1762"/>
      <c r="B250" s="1761"/>
      <c r="C250" s="1764"/>
      <c r="D250" s="1765"/>
      <c r="E250" s="1765"/>
      <c r="F250" s="1765"/>
      <c r="G250" s="1766"/>
      <c r="H250" s="1762"/>
    </row>
    <row r="251" spans="1:8" s="1675" customFormat="1" x14ac:dyDescent="0.2">
      <c r="A251" s="1762"/>
      <c r="B251" s="1761"/>
      <c r="C251" s="1764"/>
      <c r="D251" s="1765"/>
      <c r="E251" s="1765"/>
      <c r="F251" s="1765"/>
      <c r="G251" s="1766"/>
      <c r="H251" s="1762"/>
    </row>
    <row r="252" spans="1:8" s="1675" customFormat="1" x14ac:dyDescent="0.2">
      <c r="A252" s="1762"/>
      <c r="B252" s="1761"/>
      <c r="C252" s="1764"/>
      <c r="D252" s="1765"/>
      <c r="E252" s="1765"/>
      <c r="F252" s="1765"/>
      <c r="G252" s="1766"/>
      <c r="H252" s="1762"/>
    </row>
    <row r="253" spans="1:8" s="1675" customFormat="1" x14ac:dyDescent="0.2">
      <c r="A253" s="1762"/>
      <c r="B253" s="1761"/>
      <c r="C253" s="1764"/>
      <c r="D253" s="1765"/>
      <c r="E253" s="1765"/>
      <c r="F253" s="1765"/>
      <c r="G253" s="1766"/>
      <c r="H253" s="1762"/>
    </row>
    <row r="254" spans="1:8" s="1675" customFormat="1" x14ac:dyDescent="0.2">
      <c r="A254" s="1762"/>
      <c r="B254" s="1761"/>
      <c r="C254" s="1764"/>
      <c r="D254" s="1765"/>
      <c r="E254" s="1765"/>
      <c r="F254" s="1765"/>
      <c r="G254" s="1766"/>
      <c r="H254" s="1762"/>
    </row>
    <row r="255" spans="1:8" s="1675" customFormat="1" x14ac:dyDescent="0.2">
      <c r="A255" s="1762"/>
      <c r="B255" s="1761"/>
      <c r="C255" s="1764"/>
      <c r="D255" s="1765"/>
      <c r="E255" s="1765"/>
      <c r="F255" s="1765"/>
      <c r="G255" s="1766"/>
      <c r="H255" s="1762"/>
    </row>
    <row r="256" spans="1:8" s="1675" customFormat="1" x14ac:dyDescent="0.2">
      <c r="A256" s="1762"/>
      <c r="B256" s="1761"/>
      <c r="C256" s="1764"/>
      <c r="D256" s="1765"/>
      <c r="E256" s="1765"/>
      <c r="F256" s="1765"/>
      <c r="G256" s="1766"/>
      <c r="H256" s="1762"/>
    </row>
    <row r="257" spans="1:8" s="1675" customFormat="1" x14ac:dyDescent="0.2">
      <c r="A257" s="1762"/>
      <c r="B257" s="1761"/>
      <c r="C257" s="1764"/>
      <c r="D257" s="1765"/>
      <c r="E257" s="1765"/>
      <c r="F257" s="1765"/>
      <c r="G257" s="1766"/>
      <c r="H257" s="1762"/>
    </row>
    <row r="258" spans="1:8" s="1675" customFormat="1" x14ac:dyDescent="0.2">
      <c r="A258" s="1762"/>
      <c r="B258" s="1761"/>
      <c r="C258" s="1764"/>
      <c r="D258" s="1765"/>
      <c r="E258" s="1765"/>
      <c r="F258" s="1765"/>
      <c r="G258" s="1766"/>
      <c r="H258" s="1762"/>
    </row>
    <row r="259" spans="1:8" s="1675" customFormat="1" x14ac:dyDescent="0.2">
      <c r="A259" s="1762"/>
      <c r="B259" s="1761"/>
      <c r="C259" s="1764"/>
      <c r="D259" s="1765"/>
      <c r="E259" s="1765"/>
      <c r="F259" s="1765"/>
      <c r="G259" s="1766"/>
      <c r="H259" s="1762"/>
    </row>
    <row r="260" spans="1:8" s="1675" customFormat="1" x14ac:dyDescent="0.2">
      <c r="A260" s="1762"/>
      <c r="B260" s="1761"/>
      <c r="C260" s="1764"/>
      <c r="D260" s="1765"/>
      <c r="E260" s="1765"/>
      <c r="F260" s="1765"/>
      <c r="G260" s="1766"/>
      <c r="H260" s="1762"/>
    </row>
    <row r="261" spans="1:8" s="1675" customFormat="1" x14ac:dyDescent="0.2">
      <c r="A261" s="1762"/>
      <c r="B261" s="1761"/>
      <c r="C261" s="1764"/>
      <c r="D261" s="1765"/>
      <c r="E261" s="1765"/>
      <c r="F261" s="1765"/>
      <c r="G261" s="1766"/>
      <c r="H261" s="1762"/>
    </row>
    <row r="262" spans="1:8" s="1675" customFormat="1" x14ac:dyDescent="0.2">
      <c r="A262" s="1762"/>
      <c r="B262" s="1761"/>
      <c r="C262" s="1764"/>
      <c r="D262" s="1765"/>
      <c r="E262" s="1765"/>
      <c r="F262" s="1765"/>
      <c r="G262" s="1766"/>
      <c r="H262" s="1762"/>
    </row>
    <row r="263" spans="1:8" s="1675" customFormat="1" x14ac:dyDescent="0.2">
      <c r="A263" s="1762"/>
      <c r="B263" s="1761"/>
      <c r="C263" s="1764"/>
      <c r="D263" s="1765"/>
      <c r="E263" s="1765"/>
      <c r="F263" s="1765"/>
      <c r="G263" s="1766"/>
      <c r="H263" s="1762"/>
    </row>
    <row r="264" spans="1:8" s="1675" customFormat="1" x14ac:dyDescent="0.2">
      <c r="A264" s="1762"/>
      <c r="B264" s="1761"/>
      <c r="C264" s="1764"/>
      <c r="D264" s="1765"/>
      <c r="E264" s="1765"/>
      <c r="F264" s="1765"/>
      <c r="G264" s="1766"/>
      <c r="H264" s="1762"/>
    </row>
    <row r="265" spans="1:8" s="1675" customFormat="1" x14ac:dyDescent="0.2">
      <c r="A265" s="1762"/>
      <c r="B265" s="1761"/>
      <c r="C265" s="1764"/>
      <c r="D265" s="1765"/>
      <c r="E265" s="1765"/>
      <c r="F265" s="1765"/>
      <c r="G265" s="1766"/>
      <c r="H265" s="1762"/>
    </row>
    <row r="266" spans="1:8" s="1675" customFormat="1" x14ac:dyDescent="0.2">
      <c r="A266" s="1762"/>
      <c r="B266" s="1761"/>
      <c r="C266" s="1764"/>
      <c r="D266" s="1765"/>
      <c r="E266" s="1765"/>
      <c r="F266" s="1765"/>
      <c r="G266" s="1766"/>
      <c r="H266" s="1762"/>
    </row>
    <row r="267" spans="1:8" s="1675" customFormat="1" x14ac:dyDescent="0.2">
      <c r="A267" s="1762"/>
      <c r="B267" s="1761"/>
      <c r="C267" s="1764"/>
      <c r="D267" s="1765"/>
      <c r="E267" s="1765"/>
      <c r="F267" s="1765"/>
      <c r="G267" s="1766"/>
      <c r="H267" s="1762"/>
    </row>
    <row r="268" spans="1:8" s="1675" customFormat="1" x14ac:dyDescent="0.2">
      <c r="A268" s="1762"/>
      <c r="B268" s="1761"/>
      <c r="C268" s="1764"/>
      <c r="D268" s="1765"/>
      <c r="E268" s="1765"/>
      <c r="F268" s="1765"/>
      <c r="G268" s="1766"/>
      <c r="H268" s="1762"/>
    </row>
    <row r="269" spans="1:8" s="1675" customFormat="1" x14ac:dyDescent="0.2">
      <c r="A269" s="1762"/>
      <c r="B269" s="1761"/>
      <c r="C269" s="1764"/>
      <c r="D269" s="1765"/>
      <c r="E269" s="1765"/>
      <c r="F269" s="1765"/>
      <c r="G269" s="1766"/>
      <c r="H269" s="1762"/>
    </row>
    <row r="270" spans="1:8" s="1675" customFormat="1" x14ac:dyDescent="0.2">
      <c r="A270" s="1762"/>
      <c r="B270" s="1761"/>
      <c r="C270" s="1764"/>
      <c r="D270" s="1765"/>
      <c r="E270" s="1765"/>
      <c r="F270" s="1765"/>
      <c r="G270" s="1766"/>
      <c r="H270" s="1762"/>
    </row>
    <row r="271" spans="1:8" s="1675" customFormat="1" x14ac:dyDescent="0.2">
      <c r="A271" s="1762"/>
      <c r="B271" s="1761"/>
      <c r="C271" s="1764"/>
      <c r="D271" s="1765"/>
      <c r="E271" s="1765"/>
      <c r="F271" s="1765"/>
      <c r="G271" s="1766"/>
      <c r="H271" s="1762"/>
    </row>
    <row r="272" spans="1:8" s="1675" customFormat="1" x14ac:dyDescent="0.2">
      <c r="A272" s="1762"/>
      <c r="B272" s="1761"/>
      <c r="C272" s="1764"/>
      <c r="D272" s="1765"/>
      <c r="E272" s="1765"/>
      <c r="F272" s="1765"/>
      <c r="G272" s="1766"/>
      <c r="H272" s="1762"/>
    </row>
    <row r="273" spans="1:8" s="1675" customFormat="1" x14ac:dyDescent="0.2">
      <c r="A273" s="1762"/>
      <c r="B273" s="1761"/>
      <c r="C273" s="1764"/>
      <c r="D273" s="1765"/>
      <c r="E273" s="1765"/>
      <c r="F273" s="1765"/>
      <c r="G273" s="1766"/>
      <c r="H273" s="1762"/>
    </row>
    <row r="274" spans="1:8" s="1675" customFormat="1" x14ac:dyDescent="0.2">
      <c r="A274" s="1762"/>
      <c r="B274" s="1761"/>
      <c r="C274" s="1764"/>
      <c r="D274" s="1765"/>
      <c r="E274" s="1765"/>
      <c r="F274" s="1765"/>
      <c r="G274" s="1766"/>
      <c r="H274" s="1762"/>
    </row>
    <row r="275" spans="1:8" s="1675" customFormat="1" x14ac:dyDescent="0.2">
      <c r="A275" s="1762"/>
      <c r="B275" s="1761"/>
      <c r="C275" s="1764"/>
      <c r="D275" s="1765"/>
      <c r="E275" s="1765"/>
      <c r="F275" s="1765"/>
      <c r="G275" s="1766"/>
      <c r="H275" s="1762"/>
    </row>
    <row r="276" spans="1:8" s="1675" customFormat="1" x14ac:dyDescent="0.2">
      <c r="A276" s="1762"/>
      <c r="B276" s="1761"/>
      <c r="C276" s="1764"/>
      <c r="D276" s="1765"/>
      <c r="E276" s="1765"/>
      <c r="F276" s="1765"/>
      <c r="G276" s="1766"/>
      <c r="H276" s="1762"/>
    </row>
    <row r="277" spans="1:8" s="1675" customFormat="1" x14ac:dyDescent="0.2">
      <c r="A277" s="1762"/>
      <c r="B277" s="1761"/>
      <c r="C277" s="1764"/>
      <c r="D277" s="1765"/>
      <c r="E277" s="1765"/>
      <c r="F277" s="1765"/>
      <c r="G277" s="1766"/>
      <c r="H277" s="1762"/>
    </row>
    <row r="278" spans="1:8" s="1675" customFormat="1" x14ac:dyDescent="0.2">
      <c r="A278" s="1762"/>
      <c r="B278" s="1761"/>
      <c r="C278" s="1764"/>
      <c r="D278" s="1765"/>
      <c r="E278" s="1765"/>
      <c r="F278" s="1765"/>
      <c r="G278" s="1766"/>
      <c r="H278" s="1762"/>
    </row>
    <row r="279" spans="1:8" s="1675" customFormat="1" x14ac:dyDescent="0.2">
      <c r="A279" s="1762"/>
      <c r="B279" s="1761"/>
      <c r="C279" s="1764"/>
      <c r="D279" s="1765"/>
      <c r="E279" s="1765"/>
      <c r="F279" s="1765"/>
      <c r="G279" s="1766"/>
      <c r="H279" s="1762"/>
    </row>
    <row r="280" spans="1:8" s="1675" customFormat="1" x14ac:dyDescent="0.2">
      <c r="A280" s="1762"/>
      <c r="B280" s="1761"/>
      <c r="C280" s="1764"/>
      <c r="D280" s="1765"/>
      <c r="E280" s="1765"/>
      <c r="F280" s="1765"/>
      <c r="G280" s="1766"/>
      <c r="H280" s="1762"/>
    </row>
    <row r="281" spans="1:8" s="1675" customFormat="1" x14ac:dyDescent="0.2">
      <c r="A281" s="1762"/>
      <c r="B281" s="1761"/>
      <c r="C281" s="1764"/>
      <c r="D281" s="1765"/>
      <c r="E281" s="1765"/>
      <c r="F281" s="1765"/>
      <c r="G281" s="1766"/>
      <c r="H281" s="1762"/>
    </row>
    <row r="282" spans="1:8" s="1675" customFormat="1" x14ac:dyDescent="0.2">
      <c r="A282" s="1762"/>
      <c r="B282" s="1761"/>
      <c r="C282" s="1764"/>
      <c r="D282" s="1765"/>
      <c r="E282" s="1765"/>
      <c r="F282" s="1765"/>
      <c r="G282" s="1766"/>
      <c r="H282" s="1762"/>
    </row>
    <row r="283" spans="1:8" s="1675" customFormat="1" x14ac:dyDescent="0.2">
      <c r="A283" s="1762"/>
      <c r="B283" s="1761"/>
      <c r="C283" s="1764"/>
      <c r="D283" s="1765"/>
      <c r="E283" s="1765"/>
      <c r="F283" s="1765"/>
      <c r="G283" s="1766"/>
      <c r="H283" s="1762"/>
    </row>
    <row r="284" spans="1:8" s="1675" customFormat="1" x14ac:dyDescent="0.2">
      <c r="A284" s="1762"/>
      <c r="B284" s="1761"/>
      <c r="C284" s="1764"/>
      <c r="D284" s="1765"/>
      <c r="E284" s="1765"/>
      <c r="F284" s="1765"/>
      <c r="G284" s="1766"/>
      <c r="H284" s="1762"/>
    </row>
    <row r="285" spans="1:8" s="1675" customFormat="1" x14ac:dyDescent="0.2">
      <c r="A285" s="1762"/>
      <c r="B285" s="1761"/>
      <c r="C285" s="1764"/>
      <c r="D285" s="1765"/>
      <c r="E285" s="1765"/>
      <c r="F285" s="1765"/>
      <c r="G285" s="1766"/>
      <c r="H285" s="1762"/>
    </row>
    <row r="286" spans="1:8" s="1675" customFormat="1" x14ac:dyDescent="0.2">
      <c r="A286" s="1762"/>
      <c r="B286" s="1761"/>
      <c r="C286" s="1764"/>
      <c r="D286" s="1765"/>
      <c r="E286" s="1765"/>
      <c r="F286" s="1765"/>
      <c r="G286" s="1766"/>
      <c r="H286" s="1762"/>
    </row>
    <row r="287" spans="1:8" s="1675" customFormat="1" x14ac:dyDescent="0.2">
      <c r="A287" s="1762"/>
      <c r="B287" s="1761"/>
      <c r="C287" s="1764"/>
      <c r="D287" s="1765"/>
      <c r="E287" s="1765"/>
      <c r="F287" s="1765"/>
      <c r="G287" s="1766"/>
      <c r="H287" s="1762"/>
    </row>
    <row r="288" spans="1:8" s="1675" customFormat="1" x14ac:dyDescent="0.2">
      <c r="A288" s="1762"/>
      <c r="B288" s="1761"/>
      <c r="C288" s="1764"/>
      <c r="D288" s="1765"/>
      <c r="E288" s="1765"/>
      <c r="F288" s="1765"/>
      <c r="G288" s="1766"/>
      <c r="H288" s="1762"/>
    </row>
    <row r="289" spans="1:8" s="1675" customFormat="1" x14ac:dyDescent="0.2">
      <c r="A289" s="1762"/>
      <c r="B289" s="1761"/>
      <c r="C289" s="1764"/>
      <c r="D289" s="1765"/>
      <c r="E289" s="1765"/>
      <c r="F289" s="1765"/>
      <c r="G289" s="1766"/>
      <c r="H289" s="1762"/>
    </row>
    <row r="290" spans="1:8" s="1675" customFormat="1" x14ac:dyDescent="0.2">
      <c r="A290" s="1762"/>
      <c r="B290" s="1761"/>
      <c r="C290" s="1764"/>
      <c r="D290" s="1765"/>
      <c r="E290" s="1765"/>
      <c r="F290" s="1765"/>
      <c r="G290" s="1766"/>
      <c r="H290" s="1762"/>
    </row>
    <row r="291" spans="1:8" s="1675" customFormat="1" x14ac:dyDescent="0.2">
      <c r="A291" s="1762"/>
      <c r="B291" s="1761"/>
      <c r="C291" s="1764"/>
      <c r="D291" s="1765"/>
      <c r="E291" s="1765"/>
      <c r="F291" s="1765"/>
      <c r="G291" s="1766"/>
      <c r="H291" s="1762"/>
    </row>
    <row r="292" spans="1:8" s="1675" customFormat="1" x14ac:dyDescent="0.2">
      <c r="A292" s="1762"/>
      <c r="B292" s="1761"/>
      <c r="C292" s="1764"/>
      <c r="D292" s="1765"/>
      <c r="E292" s="1765"/>
      <c r="F292" s="1765"/>
      <c r="G292" s="1766"/>
      <c r="H292" s="1762"/>
    </row>
    <row r="293" spans="1:8" s="1675" customFormat="1" x14ac:dyDescent="0.2">
      <c r="A293" s="1762"/>
      <c r="B293" s="1761"/>
      <c r="C293" s="1764"/>
      <c r="D293" s="1765"/>
      <c r="E293" s="1765"/>
      <c r="F293" s="1765"/>
      <c r="G293" s="1766"/>
      <c r="H293" s="1762"/>
    </row>
    <row r="294" spans="1:8" s="1675" customFormat="1" x14ac:dyDescent="0.2">
      <c r="A294" s="1762"/>
      <c r="B294" s="1761"/>
      <c r="C294" s="1764"/>
      <c r="D294" s="1765"/>
      <c r="E294" s="1765"/>
      <c r="F294" s="1765"/>
      <c r="G294" s="1766"/>
      <c r="H294" s="1762"/>
    </row>
    <row r="295" spans="1:8" s="1675" customFormat="1" x14ac:dyDescent="0.2">
      <c r="A295" s="1762"/>
      <c r="B295" s="1761"/>
      <c r="C295" s="1764"/>
      <c r="D295" s="1765"/>
      <c r="E295" s="1765"/>
      <c r="F295" s="1765"/>
      <c r="G295" s="1766"/>
      <c r="H295" s="1762"/>
    </row>
    <row r="296" spans="1:8" s="1675" customFormat="1" x14ac:dyDescent="0.2">
      <c r="A296" s="1762"/>
      <c r="B296" s="1761"/>
      <c r="C296" s="1764"/>
      <c r="D296" s="1765"/>
      <c r="E296" s="1765"/>
      <c r="F296" s="1765"/>
      <c r="G296" s="1766"/>
      <c r="H296" s="1762"/>
    </row>
    <row r="297" spans="1:8" s="1675" customFormat="1" x14ac:dyDescent="0.2">
      <c r="A297" s="1762"/>
      <c r="B297" s="1761"/>
      <c r="C297" s="1764"/>
      <c r="D297" s="1765"/>
      <c r="E297" s="1765"/>
      <c r="F297" s="1765"/>
      <c r="G297" s="1766"/>
      <c r="H297" s="1762"/>
    </row>
    <row r="298" spans="1:8" s="1675" customFormat="1" x14ac:dyDescent="0.2">
      <c r="A298" s="1762"/>
      <c r="B298" s="1761"/>
      <c r="C298" s="1764"/>
      <c r="D298" s="1765"/>
      <c r="E298" s="1765"/>
      <c r="F298" s="1765"/>
      <c r="G298" s="1766"/>
      <c r="H298" s="1762"/>
    </row>
    <row r="299" spans="1:8" s="1675" customFormat="1" x14ac:dyDescent="0.2">
      <c r="A299" s="1762"/>
      <c r="B299" s="1761"/>
      <c r="C299" s="1764"/>
      <c r="D299" s="1765"/>
      <c r="E299" s="1765"/>
      <c r="F299" s="1765"/>
      <c r="G299" s="1766"/>
      <c r="H299" s="1762"/>
    </row>
    <row r="300" spans="1:8" s="1675" customFormat="1" x14ac:dyDescent="0.2">
      <c r="A300" s="1762"/>
      <c r="B300" s="1761"/>
      <c r="C300" s="1764"/>
      <c r="D300" s="1765"/>
      <c r="E300" s="1765"/>
      <c r="F300" s="1765"/>
      <c r="G300" s="1766"/>
      <c r="H300" s="1762"/>
    </row>
    <row r="301" spans="1:8" s="1675" customFormat="1" x14ac:dyDescent="0.2">
      <c r="A301" s="1762"/>
      <c r="B301" s="1761"/>
      <c r="C301" s="1764"/>
      <c r="D301" s="1765"/>
      <c r="E301" s="1765"/>
      <c r="F301" s="1765"/>
      <c r="G301" s="1766"/>
      <c r="H301" s="1762"/>
    </row>
    <row r="302" spans="1:8" s="1675" customFormat="1" x14ac:dyDescent="0.2">
      <c r="A302" s="1762"/>
      <c r="B302" s="1761"/>
      <c r="C302" s="1764"/>
      <c r="D302" s="1765"/>
      <c r="E302" s="1765"/>
      <c r="F302" s="1765"/>
      <c r="G302" s="1766"/>
      <c r="H302" s="1762"/>
    </row>
    <row r="303" spans="1:8" s="1675" customFormat="1" x14ac:dyDescent="0.2">
      <c r="A303" s="1762"/>
      <c r="B303" s="1761"/>
      <c r="C303" s="1764"/>
      <c r="D303" s="1765"/>
      <c r="E303" s="1765"/>
      <c r="F303" s="1765"/>
      <c r="G303" s="1766"/>
      <c r="H303" s="1762"/>
    </row>
    <row r="304" spans="1:8" s="1675" customFormat="1" x14ac:dyDescent="0.2">
      <c r="A304" s="1762"/>
      <c r="B304" s="1761"/>
      <c r="C304" s="1764"/>
      <c r="D304" s="1765"/>
      <c r="E304" s="1765"/>
      <c r="F304" s="1765"/>
      <c r="G304" s="1766"/>
      <c r="H304" s="1762"/>
    </row>
    <row r="305" spans="1:8" s="1675" customFormat="1" x14ac:dyDescent="0.2">
      <c r="A305" s="1762"/>
      <c r="B305" s="1761"/>
      <c r="C305" s="1764"/>
      <c r="D305" s="1765"/>
      <c r="E305" s="1765"/>
      <c r="F305" s="1765"/>
      <c r="G305" s="1766"/>
      <c r="H305" s="1762"/>
    </row>
    <row r="306" spans="1:8" s="1675" customFormat="1" x14ac:dyDescent="0.2">
      <c r="A306" s="1762"/>
      <c r="B306" s="1761"/>
      <c r="C306" s="1764"/>
      <c r="D306" s="1765"/>
      <c r="E306" s="1765"/>
      <c r="F306" s="1765"/>
      <c r="G306" s="1766"/>
      <c r="H306" s="1762"/>
    </row>
    <row r="307" spans="1:8" s="1675" customFormat="1" x14ac:dyDescent="0.2">
      <c r="A307" s="1762"/>
      <c r="B307" s="1761"/>
      <c r="C307" s="1764"/>
      <c r="D307" s="1765"/>
      <c r="E307" s="1765"/>
      <c r="F307" s="1765"/>
      <c r="G307" s="1766"/>
      <c r="H307" s="1762"/>
    </row>
    <row r="308" spans="1:8" s="1675" customFormat="1" x14ac:dyDescent="0.2">
      <c r="A308" s="1762"/>
      <c r="B308" s="1761"/>
      <c r="C308" s="1764"/>
      <c r="D308" s="1765"/>
      <c r="E308" s="1765"/>
      <c r="F308" s="1765"/>
      <c r="G308" s="1766"/>
      <c r="H308" s="1762"/>
    </row>
    <row r="309" spans="1:8" s="1675" customFormat="1" x14ac:dyDescent="0.2">
      <c r="A309" s="1762"/>
      <c r="B309" s="1761"/>
      <c r="C309" s="1764"/>
      <c r="D309" s="1765"/>
      <c r="E309" s="1765"/>
      <c r="F309" s="1765"/>
      <c r="G309" s="1766"/>
      <c r="H309" s="1762"/>
    </row>
    <row r="310" spans="1:8" s="1675" customFormat="1" x14ac:dyDescent="0.2">
      <c r="A310" s="1762"/>
      <c r="B310" s="1761"/>
      <c r="C310" s="1764"/>
      <c r="D310" s="1765"/>
      <c r="E310" s="1765"/>
      <c r="F310" s="1765"/>
      <c r="G310" s="1766"/>
      <c r="H310" s="1762"/>
    </row>
    <row r="311" spans="1:8" s="1675" customFormat="1" x14ac:dyDescent="0.2">
      <c r="A311" s="1762"/>
      <c r="B311" s="1761"/>
      <c r="C311" s="1764"/>
      <c r="D311" s="1765"/>
      <c r="E311" s="1765"/>
      <c r="F311" s="1765"/>
      <c r="G311" s="1766"/>
      <c r="H311" s="1762"/>
    </row>
    <row r="312" spans="1:8" s="1675" customFormat="1" x14ac:dyDescent="0.2">
      <c r="A312" s="1762"/>
      <c r="B312" s="1761"/>
      <c r="C312" s="1764"/>
      <c r="D312" s="1765"/>
      <c r="E312" s="1765"/>
      <c r="F312" s="1765"/>
      <c r="G312" s="1766"/>
      <c r="H312" s="1762"/>
    </row>
    <row r="313" spans="1:8" s="1675" customFormat="1" x14ac:dyDescent="0.2">
      <c r="A313" s="1762"/>
      <c r="B313" s="1761"/>
      <c r="C313" s="1764"/>
      <c r="D313" s="1765"/>
      <c r="E313" s="1765"/>
      <c r="F313" s="1765"/>
      <c r="G313" s="1766"/>
      <c r="H313" s="1762"/>
    </row>
    <row r="314" spans="1:8" s="1675" customFormat="1" x14ac:dyDescent="0.2">
      <c r="A314" s="1762"/>
      <c r="B314" s="1761"/>
      <c r="C314" s="1764"/>
      <c r="D314" s="1765"/>
      <c r="E314" s="1765"/>
      <c r="F314" s="1765"/>
      <c r="G314" s="1766"/>
      <c r="H314" s="1762"/>
    </row>
    <row r="315" spans="1:8" s="1675" customFormat="1" x14ac:dyDescent="0.2">
      <c r="A315" s="1762"/>
      <c r="B315" s="1761"/>
      <c r="C315" s="1764"/>
      <c r="D315" s="1765"/>
      <c r="E315" s="1765"/>
      <c r="F315" s="1765"/>
      <c r="G315" s="1766"/>
      <c r="H315" s="1762"/>
    </row>
    <row r="316" spans="1:8" s="1675" customFormat="1" x14ac:dyDescent="0.2">
      <c r="A316" s="1762"/>
      <c r="B316" s="1761"/>
      <c r="C316" s="1764"/>
      <c r="D316" s="1765"/>
      <c r="E316" s="1765"/>
      <c r="F316" s="1765"/>
      <c r="G316" s="1766"/>
      <c r="H316" s="1762"/>
    </row>
    <row r="317" spans="1:8" s="1675" customFormat="1" x14ac:dyDescent="0.2">
      <c r="A317" s="1762"/>
      <c r="B317" s="1761"/>
      <c r="C317" s="1764"/>
      <c r="D317" s="1765"/>
      <c r="E317" s="1765"/>
      <c r="F317" s="1765"/>
      <c r="G317" s="1766"/>
      <c r="H317" s="1762"/>
    </row>
    <row r="318" spans="1:8" s="1675" customFormat="1" x14ac:dyDescent="0.2">
      <c r="A318" s="1762"/>
      <c r="B318" s="1761"/>
      <c r="C318" s="1764"/>
      <c r="D318" s="1765"/>
      <c r="E318" s="1765"/>
      <c r="F318" s="1765"/>
      <c r="G318" s="1766"/>
      <c r="H318" s="1762"/>
    </row>
    <row r="319" spans="1:8" s="1675" customFormat="1" x14ac:dyDescent="0.2">
      <c r="A319" s="1762"/>
      <c r="B319" s="1761"/>
      <c r="C319" s="1764"/>
      <c r="D319" s="1765"/>
      <c r="E319" s="1765"/>
      <c r="F319" s="1765"/>
      <c r="G319" s="1766"/>
      <c r="H319" s="1762"/>
    </row>
    <row r="320" spans="1:8" s="1675" customFormat="1" x14ac:dyDescent="0.2">
      <c r="A320" s="1762"/>
      <c r="B320" s="1761"/>
      <c r="C320" s="1764"/>
      <c r="D320" s="1765"/>
      <c r="E320" s="1765"/>
      <c r="F320" s="1765"/>
      <c r="G320" s="1766"/>
      <c r="H320" s="1762"/>
    </row>
    <row r="321" spans="1:8" s="1675" customFormat="1" x14ac:dyDescent="0.2">
      <c r="A321" s="1762"/>
      <c r="B321" s="1761"/>
      <c r="C321" s="1764"/>
      <c r="D321" s="1765"/>
      <c r="E321" s="1765"/>
      <c r="F321" s="1765"/>
      <c r="G321" s="1766"/>
      <c r="H321" s="1762"/>
    </row>
    <row r="322" spans="1:8" s="1675" customFormat="1" x14ac:dyDescent="0.2">
      <c r="A322" s="1762"/>
      <c r="B322" s="1761"/>
      <c r="C322" s="1764"/>
      <c r="D322" s="1765"/>
      <c r="E322" s="1765"/>
      <c r="F322" s="1765"/>
      <c r="G322" s="1766"/>
      <c r="H322" s="1762"/>
    </row>
    <row r="323" spans="1:8" s="1675" customFormat="1" x14ac:dyDescent="0.2">
      <c r="A323" s="1762"/>
      <c r="B323" s="1761"/>
      <c r="C323" s="1764"/>
      <c r="D323" s="1765"/>
      <c r="E323" s="1765"/>
      <c r="F323" s="1765"/>
      <c r="G323" s="1766"/>
      <c r="H323" s="1762"/>
    </row>
    <row r="324" spans="1:8" s="1675" customFormat="1" x14ac:dyDescent="0.2">
      <c r="A324" s="1762"/>
      <c r="B324" s="1761"/>
      <c r="C324" s="1764"/>
      <c r="D324" s="1765"/>
      <c r="E324" s="1765"/>
      <c r="F324" s="1765"/>
      <c r="G324" s="1766"/>
      <c r="H324" s="1762"/>
    </row>
    <row r="325" spans="1:8" s="1675" customFormat="1" x14ac:dyDescent="0.2">
      <c r="A325" s="1762"/>
      <c r="B325" s="1761"/>
      <c r="C325" s="1764"/>
      <c r="D325" s="1765"/>
      <c r="E325" s="1765"/>
      <c r="F325" s="1765"/>
      <c r="G325" s="1766"/>
      <c r="H325" s="1762"/>
    </row>
    <row r="326" spans="1:8" s="1675" customFormat="1" x14ac:dyDescent="0.2">
      <c r="A326" s="1762"/>
      <c r="B326" s="1761"/>
      <c r="C326" s="1764"/>
      <c r="D326" s="1765"/>
      <c r="E326" s="1765"/>
      <c r="F326" s="1765"/>
      <c r="G326" s="1766"/>
      <c r="H326" s="1762"/>
    </row>
    <row r="327" spans="1:8" s="1675" customFormat="1" x14ac:dyDescent="0.2">
      <c r="A327" s="1762"/>
      <c r="B327" s="1761"/>
      <c r="C327" s="1764"/>
      <c r="D327" s="1765"/>
      <c r="E327" s="1765"/>
      <c r="F327" s="1765"/>
      <c r="G327" s="1766"/>
      <c r="H327" s="1762"/>
    </row>
    <row r="328" spans="1:8" s="1675" customFormat="1" x14ac:dyDescent="0.2">
      <c r="A328" s="1762"/>
      <c r="B328" s="1761"/>
      <c r="C328" s="1764"/>
      <c r="D328" s="1765"/>
      <c r="E328" s="1765"/>
      <c r="F328" s="1765"/>
      <c r="G328" s="1766"/>
      <c r="H328" s="1762"/>
    </row>
    <row r="329" spans="1:8" s="1675" customFormat="1" x14ac:dyDescent="0.2">
      <c r="A329" s="1762"/>
      <c r="B329" s="1761"/>
      <c r="C329" s="1764"/>
      <c r="D329" s="1765"/>
      <c r="E329" s="1765"/>
      <c r="F329" s="1765"/>
      <c r="G329" s="1766"/>
      <c r="H329" s="1762"/>
    </row>
    <row r="330" spans="1:8" s="1675" customFormat="1" x14ac:dyDescent="0.2">
      <c r="A330" s="1762"/>
      <c r="B330" s="1761"/>
      <c r="C330" s="1764"/>
      <c r="D330" s="1765"/>
      <c r="E330" s="1765"/>
      <c r="F330" s="1765"/>
      <c r="G330" s="1766"/>
      <c r="H330" s="1762"/>
    </row>
    <row r="331" spans="1:8" s="1675" customFormat="1" x14ac:dyDescent="0.2">
      <c r="A331" s="1762"/>
      <c r="B331" s="1761"/>
      <c r="C331" s="1764"/>
      <c r="D331" s="1765"/>
      <c r="E331" s="1765"/>
      <c r="F331" s="1765"/>
      <c r="G331" s="1766"/>
      <c r="H331" s="1762"/>
    </row>
    <row r="332" spans="1:8" s="1675" customFormat="1" x14ac:dyDescent="0.2">
      <c r="A332" s="1762"/>
      <c r="B332" s="1761"/>
      <c r="C332" s="1764"/>
      <c r="D332" s="1765"/>
      <c r="E332" s="1765"/>
      <c r="F332" s="1765"/>
      <c r="G332" s="1766"/>
      <c r="H332" s="1762"/>
    </row>
    <row r="333" spans="1:8" s="1675" customFormat="1" x14ac:dyDescent="0.2">
      <c r="A333" s="1762"/>
      <c r="B333" s="1761"/>
      <c r="C333" s="1764"/>
      <c r="D333" s="1765"/>
      <c r="E333" s="1765"/>
      <c r="F333" s="1765"/>
      <c r="G333" s="1766"/>
      <c r="H333" s="1762"/>
    </row>
    <row r="334" spans="1:8" s="1675" customFormat="1" x14ac:dyDescent="0.2">
      <c r="A334" s="1762"/>
      <c r="B334" s="1761"/>
      <c r="C334" s="1764"/>
      <c r="D334" s="1765"/>
      <c r="E334" s="1765"/>
      <c r="F334" s="1765"/>
      <c r="G334" s="1766"/>
      <c r="H334" s="1762"/>
    </row>
    <row r="335" spans="1:8" s="1675" customFormat="1" x14ac:dyDescent="0.2">
      <c r="A335" s="1762"/>
      <c r="B335" s="1761"/>
      <c r="C335" s="1764"/>
      <c r="D335" s="1765"/>
      <c r="E335" s="1765"/>
      <c r="F335" s="1765"/>
      <c r="G335" s="1766"/>
      <c r="H335" s="1762"/>
    </row>
    <row r="336" spans="1:8" s="1675" customFormat="1" x14ac:dyDescent="0.2">
      <c r="A336" s="1762"/>
      <c r="B336" s="1761"/>
      <c r="C336" s="1764"/>
      <c r="D336" s="1765"/>
      <c r="E336" s="1765"/>
      <c r="F336" s="1765"/>
      <c r="G336" s="1766"/>
      <c r="H336" s="1762"/>
    </row>
    <row r="337" spans="1:8" s="1675" customFormat="1" x14ac:dyDescent="0.2">
      <c r="A337" s="1762"/>
      <c r="B337" s="1761"/>
      <c r="C337" s="1764"/>
      <c r="D337" s="1765"/>
      <c r="E337" s="1765"/>
      <c r="F337" s="1765"/>
      <c r="G337" s="1766"/>
      <c r="H337" s="1762"/>
    </row>
    <row r="338" spans="1:8" s="1675" customFormat="1" x14ac:dyDescent="0.2">
      <c r="A338" s="1762"/>
      <c r="B338" s="1761"/>
      <c r="C338" s="1764"/>
      <c r="D338" s="1765"/>
      <c r="E338" s="1765"/>
      <c r="F338" s="1765"/>
      <c r="G338" s="1766"/>
      <c r="H338" s="1762"/>
    </row>
    <row r="339" spans="1:8" s="1675" customFormat="1" x14ac:dyDescent="0.2">
      <c r="A339" s="1762"/>
      <c r="B339" s="1761"/>
      <c r="C339" s="1764"/>
      <c r="D339" s="1765"/>
      <c r="E339" s="1765"/>
      <c r="F339" s="1765"/>
      <c r="G339" s="1766"/>
      <c r="H339" s="1762"/>
    </row>
    <row r="340" spans="1:8" s="1675" customFormat="1" x14ac:dyDescent="0.2">
      <c r="A340" s="1762"/>
      <c r="B340" s="1761"/>
      <c r="C340" s="1764"/>
      <c r="D340" s="1765"/>
      <c r="E340" s="1765"/>
      <c r="F340" s="1765"/>
      <c r="G340" s="1766"/>
      <c r="H340" s="1762"/>
    </row>
    <row r="341" spans="1:8" s="1675" customFormat="1" x14ac:dyDescent="0.2">
      <c r="A341" s="1762"/>
      <c r="B341" s="1761"/>
      <c r="C341" s="1764"/>
      <c r="D341" s="1765"/>
      <c r="E341" s="1765"/>
      <c r="F341" s="1765"/>
      <c r="G341" s="1766"/>
      <c r="H341" s="1762"/>
    </row>
    <row r="342" spans="1:8" s="1675" customFormat="1" x14ac:dyDescent="0.2">
      <c r="A342" s="1762"/>
      <c r="B342" s="1761"/>
      <c r="C342" s="1764"/>
      <c r="D342" s="1765"/>
      <c r="E342" s="1765"/>
      <c r="F342" s="1765"/>
      <c r="G342" s="1766"/>
      <c r="H342" s="1762"/>
    </row>
    <row r="343" spans="1:8" s="1675" customFormat="1" x14ac:dyDescent="0.2">
      <c r="A343" s="1762"/>
      <c r="B343" s="1761"/>
      <c r="C343" s="1764"/>
      <c r="D343" s="1765"/>
      <c r="E343" s="1765"/>
      <c r="F343" s="1765"/>
      <c r="G343" s="1766"/>
      <c r="H343" s="1762"/>
    </row>
    <row r="344" spans="1:8" s="1675" customFormat="1" x14ac:dyDescent="0.2">
      <c r="A344" s="1762"/>
      <c r="B344" s="1761"/>
      <c r="C344" s="1764"/>
      <c r="D344" s="1765"/>
      <c r="E344" s="1765"/>
      <c r="F344" s="1765"/>
      <c r="G344" s="1766"/>
      <c r="H344" s="1762"/>
    </row>
    <row r="345" spans="1:8" s="1675" customFormat="1" x14ac:dyDescent="0.2">
      <c r="A345" s="1762"/>
      <c r="B345" s="1761"/>
      <c r="C345" s="1764"/>
      <c r="D345" s="1765"/>
      <c r="E345" s="1765"/>
      <c r="F345" s="1765"/>
      <c r="G345" s="1766"/>
      <c r="H345" s="1762"/>
    </row>
    <row r="346" spans="1:8" s="1675" customFormat="1" x14ac:dyDescent="0.2">
      <c r="A346" s="1762"/>
      <c r="B346" s="1761"/>
      <c r="C346" s="1764"/>
      <c r="D346" s="1765"/>
      <c r="E346" s="1765"/>
      <c r="F346" s="1765"/>
      <c r="G346" s="1766"/>
      <c r="H346" s="1762"/>
    </row>
    <row r="347" spans="1:8" s="1675" customFormat="1" x14ac:dyDescent="0.2">
      <c r="A347" s="1762"/>
      <c r="B347" s="1761"/>
      <c r="C347" s="1764"/>
      <c r="D347" s="1765"/>
      <c r="E347" s="1765"/>
      <c r="F347" s="1765"/>
      <c r="G347" s="1766"/>
      <c r="H347" s="1762"/>
    </row>
    <row r="348" spans="1:8" s="1675" customFormat="1" x14ac:dyDescent="0.2">
      <c r="A348" s="1762"/>
      <c r="B348" s="1761"/>
      <c r="C348" s="1764"/>
      <c r="D348" s="1765"/>
      <c r="E348" s="1765"/>
      <c r="F348" s="1765"/>
      <c r="G348" s="1766"/>
      <c r="H348" s="1762"/>
    </row>
    <row r="349" spans="1:8" s="1675" customFormat="1" x14ac:dyDescent="0.2">
      <c r="A349" s="1762"/>
      <c r="B349" s="1761"/>
      <c r="C349" s="1764"/>
      <c r="D349" s="1765"/>
      <c r="E349" s="1765"/>
      <c r="F349" s="1765"/>
      <c r="G349" s="1766"/>
      <c r="H349" s="1762"/>
    </row>
    <row r="350" spans="1:8" s="1675" customFormat="1" x14ac:dyDescent="0.2">
      <c r="A350" s="1762"/>
      <c r="B350" s="1761"/>
      <c r="C350" s="1764"/>
      <c r="D350" s="1765"/>
      <c r="E350" s="1765"/>
      <c r="F350" s="1765"/>
      <c r="G350" s="1766"/>
      <c r="H350" s="1762"/>
    </row>
    <row r="351" spans="1:8" x14ac:dyDescent="0.2">
      <c r="H351" s="1762"/>
    </row>
  </sheetData>
  <sheetProtection algorithmName="SHA-512" hashValue="FSU2e3hu9dK2mXEetDuQCLtmyLFct6+ZHRyn3o2UcFDOZFCz87/Ga9i62yafAEDdLhOlWsdjG2cqG+R9+Ida0Q==" saltValue="tsTUPvrothPPfa+SZME9TQ==" spinCount="100000" sheet="1" formatCells="0" formatColumns="0" formatRows="0"/>
  <customSheetViews>
    <customSheetView guid="{B8E02330-2419-4DE6-AD01-7ACC7A5D18DD}" scale="75">
      <pageMargins left="0.75" right="0.75" top="1" bottom="1" header="0.5" footer="0.5"/>
      <pageSetup orientation="portrait" r:id="rId1"/>
      <headerFooter alignWithMargins="0"/>
    </customSheetView>
  </customSheetViews>
  <mergeCells count="156">
    <mergeCell ref="H211:I211"/>
    <mergeCell ref="H212:I212"/>
    <mergeCell ref="H213:I213"/>
    <mergeCell ref="H214:I214"/>
    <mergeCell ref="H210:I210"/>
    <mergeCell ref="H209:I209"/>
    <mergeCell ref="H193:I193"/>
    <mergeCell ref="H194:I194"/>
    <mergeCell ref="H195:I195"/>
    <mergeCell ref="H196:I196"/>
    <mergeCell ref="H197:I197"/>
    <mergeCell ref="H198:I198"/>
    <mergeCell ref="H199:I199"/>
    <mergeCell ref="H200:I200"/>
    <mergeCell ref="H201:I201"/>
    <mergeCell ref="I175:I181"/>
    <mergeCell ref="C189:E189"/>
    <mergeCell ref="H202:I202"/>
    <mergeCell ref="H203:I203"/>
    <mergeCell ref="H204:I204"/>
    <mergeCell ref="H205:I205"/>
    <mergeCell ref="H206:I206"/>
    <mergeCell ref="H207:I207"/>
    <mergeCell ref="H208:I208"/>
    <mergeCell ref="H191:I191"/>
    <mergeCell ref="H192:I192"/>
    <mergeCell ref="C187:F187"/>
    <mergeCell ref="C183:F183"/>
    <mergeCell ref="C186:F186"/>
    <mergeCell ref="I82:I88"/>
    <mergeCell ref="I79:I81"/>
    <mergeCell ref="I89:I94"/>
    <mergeCell ref="I95:I99"/>
    <mergeCell ref="I100:I105"/>
    <mergeCell ref="I106:I108"/>
    <mergeCell ref="I109:I114"/>
    <mergeCell ref="I115:I121"/>
    <mergeCell ref="I128:I133"/>
    <mergeCell ref="I122:I127"/>
    <mergeCell ref="I50:I54"/>
    <mergeCell ref="I56:I61"/>
    <mergeCell ref="I62:I68"/>
    <mergeCell ref="I70:I78"/>
    <mergeCell ref="B3:B9"/>
    <mergeCell ref="B10:B15"/>
    <mergeCell ref="A24:A29"/>
    <mergeCell ref="B30:B37"/>
    <mergeCell ref="A56:A61"/>
    <mergeCell ref="B38:B44"/>
    <mergeCell ref="H45:H48"/>
    <mergeCell ref="A45:A48"/>
    <mergeCell ref="A10:A15"/>
    <mergeCell ref="A50:A54"/>
    <mergeCell ref="E1:I1"/>
    <mergeCell ref="I3:I9"/>
    <mergeCell ref="I10:I15"/>
    <mergeCell ref="I16:I23"/>
    <mergeCell ref="I24:I29"/>
    <mergeCell ref="I30:I37"/>
    <mergeCell ref="I38:I44"/>
    <mergeCell ref="I45:I48"/>
    <mergeCell ref="H3:H9"/>
    <mergeCell ref="H10:H15"/>
    <mergeCell ref="H16:H23"/>
    <mergeCell ref="H164:H169"/>
    <mergeCell ref="A175:A181"/>
    <mergeCell ref="B175:B181"/>
    <mergeCell ref="B164:B169"/>
    <mergeCell ref="B95:B99"/>
    <mergeCell ref="B109:B114"/>
    <mergeCell ref="A151:A154"/>
    <mergeCell ref="A155:A159"/>
    <mergeCell ref="B82:B88"/>
    <mergeCell ref="B155:B159"/>
    <mergeCell ref="B151:B154"/>
    <mergeCell ref="A134:A140"/>
    <mergeCell ref="A128:A133"/>
    <mergeCell ref="B115:B121"/>
    <mergeCell ref="B106:B108"/>
    <mergeCell ref="B160:B163"/>
    <mergeCell ref="A147:A150"/>
    <mergeCell ref="A122:A127"/>
    <mergeCell ref="B122:B127"/>
    <mergeCell ref="B128:B133"/>
    <mergeCell ref="A95:A99"/>
    <mergeCell ref="A115:A121"/>
    <mergeCell ref="H82:H88"/>
    <mergeCell ref="H155:H159"/>
    <mergeCell ref="A182:B189"/>
    <mergeCell ref="C182:H182"/>
    <mergeCell ref="C188:H188"/>
    <mergeCell ref="H175:H181"/>
    <mergeCell ref="A170:A174"/>
    <mergeCell ref="B100:B105"/>
    <mergeCell ref="B170:B174"/>
    <mergeCell ref="H160:H163"/>
    <mergeCell ref="C184:F184"/>
    <mergeCell ref="C185:F185"/>
    <mergeCell ref="H170:H174"/>
    <mergeCell ref="A141:A146"/>
    <mergeCell ref="A164:A169"/>
    <mergeCell ref="H189:I189"/>
    <mergeCell ref="I134:I140"/>
    <mergeCell ref="I141:I146"/>
    <mergeCell ref="I147:I150"/>
    <mergeCell ref="I151:I154"/>
    <mergeCell ref="I155:I159"/>
    <mergeCell ref="I160:I163"/>
    <mergeCell ref="I164:I169"/>
    <mergeCell ref="I170:I174"/>
    <mergeCell ref="A100:A105"/>
    <mergeCell ref="H128:H133"/>
    <mergeCell ref="A1:B1"/>
    <mergeCell ref="A3:A9"/>
    <mergeCell ref="A79:A81"/>
    <mergeCell ref="A109:A114"/>
    <mergeCell ref="A160:A163"/>
    <mergeCell ref="B62:B68"/>
    <mergeCell ref="A106:A108"/>
    <mergeCell ref="B16:B23"/>
    <mergeCell ref="B50:B54"/>
    <mergeCell ref="B89:B94"/>
    <mergeCell ref="B147:B150"/>
    <mergeCell ref="B79:B81"/>
    <mergeCell ref="B70:B78"/>
    <mergeCell ref="B134:B140"/>
    <mergeCell ref="B24:B29"/>
    <mergeCell ref="A89:A94"/>
    <mergeCell ref="A82:A88"/>
    <mergeCell ref="B45:B48"/>
    <mergeCell ref="B56:B61"/>
    <mergeCell ref="A38:A44"/>
    <mergeCell ref="A30:A37"/>
    <mergeCell ref="A70:A78"/>
    <mergeCell ref="H151:H154"/>
    <mergeCell ref="H115:H121"/>
    <mergeCell ref="B141:B146"/>
    <mergeCell ref="A62:A68"/>
    <mergeCell ref="A16:A23"/>
    <mergeCell ref="H134:H140"/>
    <mergeCell ref="H62:H68"/>
    <mergeCell ref="H100:H105"/>
    <mergeCell ref="H70:H78"/>
    <mergeCell ref="H79:H81"/>
    <mergeCell ref="H89:H94"/>
    <mergeCell ref="H95:H99"/>
    <mergeCell ref="H24:H29"/>
    <mergeCell ref="H56:H61"/>
    <mergeCell ref="H30:H37"/>
    <mergeCell ref="H38:H44"/>
    <mergeCell ref="H50:H54"/>
    <mergeCell ref="H106:H108"/>
    <mergeCell ref="H141:H146"/>
    <mergeCell ref="H109:H114"/>
    <mergeCell ref="H147:H150"/>
    <mergeCell ref="H122:H127"/>
  </mergeCells>
  <phoneticPr fontId="3" type="noConversion"/>
  <pageMargins left="0.75" right="0.75" top="1" bottom="1" header="0.5" footer="0.5"/>
  <pageSetup orientation="portrait"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5">
    <tabColor indexed="53"/>
  </sheetPr>
  <dimension ref="A1:J93"/>
  <sheetViews>
    <sheetView zoomScaleNormal="100" workbookViewId="0">
      <selection activeCell="N21" sqref="N21"/>
    </sheetView>
  </sheetViews>
  <sheetFormatPr defaultColWidth="9.33203125" defaultRowHeight="16.5" x14ac:dyDescent="0.2"/>
  <cols>
    <col min="1" max="1" width="5.83203125" style="6" customWidth="1"/>
    <col min="2" max="2" width="19.33203125" style="30" customWidth="1"/>
    <col min="3" max="3" width="102.83203125" style="6" customWidth="1"/>
    <col min="4" max="6" width="7.83203125" style="564" customWidth="1"/>
    <col min="7" max="7" width="8.83203125" style="565" customWidth="1"/>
    <col min="8" max="8" width="35.83203125" style="6" customWidth="1"/>
    <col min="9" max="9" width="10.83203125" style="6" customWidth="1"/>
    <col min="10" max="10" width="9.33203125" style="106"/>
    <col min="11" max="16384" width="9.33203125" style="6"/>
  </cols>
  <sheetData>
    <row r="1" spans="1:10" s="101" customFormat="1" ht="47.25" customHeight="1" thickBot="1" x14ac:dyDescent="0.25">
      <c r="A1" s="2627" t="s">
        <v>2443</v>
      </c>
      <c r="B1" s="3127"/>
      <c r="C1" s="2042" t="s">
        <v>1079</v>
      </c>
      <c r="D1" s="2147" t="s">
        <v>1078</v>
      </c>
      <c r="E1" s="3144"/>
      <c r="F1" s="3145"/>
      <c r="G1" s="3145"/>
      <c r="H1" s="3145"/>
      <c r="I1" s="3145"/>
      <c r="J1" s="378"/>
    </row>
    <row r="2" spans="1:10" s="106" customFormat="1" ht="36" customHeight="1" thickBot="1" x14ac:dyDescent="0.25">
      <c r="A2" s="1417" t="s">
        <v>88</v>
      </c>
      <c r="B2" s="1412" t="s">
        <v>2444</v>
      </c>
      <c r="C2" s="1413" t="s">
        <v>1165</v>
      </c>
      <c r="D2" s="1414" t="s">
        <v>45</v>
      </c>
      <c r="E2" s="1415" t="s">
        <v>1189</v>
      </c>
      <c r="F2" s="1414" t="s">
        <v>2579</v>
      </c>
      <c r="G2" s="1412" t="s">
        <v>2555</v>
      </c>
      <c r="H2" s="3142" t="s">
        <v>2424</v>
      </c>
      <c r="I2" s="3143"/>
    </row>
    <row r="3" spans="1:10" ht="21" customHeight="1" thickBot="1" x14ac:dyDescent="0.25">
      <c r="A3" s="2368" t="str">
        <f>OF!A50</f>
        <v>OF10</v>
      </c>
      <c r="B3" s="2326" t="str">
        <f>OF!B50</f>
        <v>Distance by Road to Nearest Population Center</v>
      </c>
      <c r="C3" s="368" t="str">
        <f>OF!C50</f>
        <v>Measured along the maintained road nearest the AA, the distance to the nearest population center is:</v>
      </c>
      <c r="D3" s="304"/>
      <c r="E3" s="304"/>
      <c r="F3" s="305"/>
      <c r="G3" s="837">
        <f>MAX(F4:F8)/MAX(E4:E8)</f>
        <v>0.6</v>
      </c>
      <c r="H3" s="2368" t="s">
        <v>527</v>
      </c>
      <c r="I3" s="2552"/>
    </row>
    <row r="4" spans="1:10" ht="15" customHeight="1" x14ac:dyDescent="0.2">
      <c r="A4" s="2369"/>
      <c r="B4" s="2327"/>
      <c r="C4" s="369" t="str">
        <f>OF!C51</f>
        <v>&lt;100 m.</v>
      </c>
      <c r="D4" s="212">
        <f>OF!D51</f>
        <v>0</v>
      </c>
      <c r="E4" s="300">
        <v>5</v>
      </c>
      <c r="F4" s="300">
        <f>D4*E4</f>
        <v>0</v>
      </c>
      <c r="G4" s="665"/>
      <c r="H4" s="2369"/>
      <c r="I4" s="2643"/>
    </row>
    <row r="5" spans="1:10" ht="15" customHeight="1" x14ac:dyDescent="0.2">
      <c r="A5" s="2369"/>
      <c r="B5" s="2327"/>
      <c r="C5" s="622" t="str">
        <f>OF!C52</f>
        <v>100 - 500 m.</v>
      </c>
      <c r="D5" s="70">
        <f>OF!D52</f>
        <v>1</v>
      </c>
      <c r="E5" s="300">
        <v>3</v>
      </c>
      <c r="F5" s="300">
        <f>D5*E5</f>
        <v>3</v>
      </c>
      <c r="G5" s="666"/>
      <c r="H5" s="2369"/>
      <c r="I5" s="2643"/>
    </row>
    <row r="6" spans="1:10" ht="15" customHeight="1" x14ac:dyDescent="0.2">
      <c r="A6" s="2369"/>
      <c r="B6" s="2327"/>
      <c r="C6" s="622" t="str">
        <f>OF!C53</f>
        <v>0.5- 1 km.</v>
      </c>
      <c r="D6" s="70">
        <f>OF!D53</f>
        <v>0</v>
      </c>
      <c r="E6" s="300">
        <v>2</v>
      </c>
      <c r="F6" s="300">
        <f>D6*E6</f>
        <v>0</v>
      </c>
      <c r="G6" s="666"/>
      <c r="H6" s="2369"/>
      <c r="I6" s="2643"/>
    </row>
    <row r="7" spans="1:10" ht="15" customHeight="1" x14ac:dyDescent="0.2">
      <c r="A7" s="2369"/>
      <c r="B7" s="2327"/>
      <c r="C7" s="622" t="str">
        <f>OF!C54</f>
        <v>1 - 5 km.</v>
      </c>
      <c r="D7" s="70">
        <f>OF!D54</f>
        <v>0</v>
      </c>
      <c r="E7" s="300">
        <v>1</v>
      </c>
      <c r="F7" s="300">
        <f>D7*E7</f>
        <v>0</v>
      </c>
      <c r="G7" s="666"/>
      <c r="H7" s="2369"/>
      <c r="I7" s="2643"/>
    </row>
    <row r="8" spans="1:10" ht="15" customHeight="1" thickBot="1" x14ac:dyDescent="0.25">
      <c r="A8" s="2370"/>
      <c r="B8" s="2328"/>
      <c r="C8" s="370" t="str">
        <f>OF!C55</f>
        <v>&gt;5 km.</v>
      </c>
      <c r="D8" s="152">
        <f>OF!D55</f>
        <v>0</v>
      </c>
      <c r="E8" s="301">
        <v>0</v>
      </c>
      <c r="F8" s="301">
        <f>D8*E8</f>
        <v>0</v>
      </c>
      <c r="G8" s="667"/>
      <c r="H8" s="2370"/>
      <c r="I8" s="2689"/>
    </row>
    <row r="9" spans="1:10" ht="21" customHeight="1" thickBot="1" x14ac:dyDescent="0.25">
      <c r="A9" s="2366" t="str">
        <f>OF!A56</f>
        <v>OF11</v>
      </c>
      <c r="B9" s="2326" t="str">
        <f>OF!B56</f>
        <v>Distance to Nearest Maintained Road</v>
      </c>
      <c r="C9" s="368" t="str">
        <f>OF!C56</f>
        <v>From the center of the AA, the distance to the nearest maintained public road (dirt or paved) is:</v>
      </c>
      <c r="D9" s="304"/>
      <c r="E9" s="304"/>
      <c r="F9" s="305"/>
      <c r="G9" s="837">
        <f>MAX(F10:F15)/MAX(E10:E15)</f>
        <v>0</v>
      </c>
      <c r="H9" s="2368" t="s">
        <v>533</v>
      </c>
      <c r="I9" s="2552"/>
    </row>
    <row r="10" spans="1:10" ht="15" customHeight="1" x14ac:dyDescent="0.2">
      <c r="A10" s="2365"/>
      <c r="B10" s="2327"/>
      <c r="C10" s="369" t="str">
        <f>OF!C57</f>
        <v>&lt;10 m.</v>
      </c>
      <c r="D10" s="212">
        <f>OF!D57</f>
        <v>0</v>
      </c>
      <c r="E10" s="300">
        <v>5</v>
      </c>
      <c r="F10" s="300">
        <f t="shared" ref="F10:F15" si="0">D10*E10</f>
        <v>0</v>
      </c>
      <c r="G10" s="665"/>
      <c r="H10" s="2369"/>
      <c r="I10" s="2643"/>
    </row>
    <row r="11" spans="1:10" ht="15" customHeight="1" x14ac:dyDescent="0.2">
      <c r="A11" s="2365"/>
      <c r="B11" s="2327"/>
      <c r="C11" s="622" t="str">
        <f>OF!C58</f>
        <v>10 - 25 m.</v>
      </c>
      <c r="D11" s="70">
        <f>OF!D58</f>
        <v>0</v>
      </c>
      <c r="E11" s="300">
        <v>4</v>
      </c>
      <c r="F11" s="300">
        <f t="shared" si="0"/>
        <v>0</v>
      </c>
      <c r="G11" s="666"/>
      <c r="H11" s="2369"/>
      <c r="I11" s="2643"/>
    </row>
    <row r="12" spans="1:10" ht="15" customHeight="1" x14ac:dyDescent="0.2">
      <c r="A12" s="2365"/>
      <c r="B12" s="2327"/>
      <c r="C12" s="622" t="str">
        <f>OF!C59</f>
        <v>25 - 50 m.</v>
      </c>
      <c r="D12" s="70">
        <f>OF!D59</f>
        <v>0</v>
      </c>
      <c r="E12" s="300">
        <v>2</v>
      </c>
      <c r="F12" s="300">
        <f t="shared" si="0"/>
        <v>0</v>
      </c>
      <c r="G12" s="666"/>
      <c r="H12" s="2369"/>
      <c r="I12" s="2643"/>
    </row>
    <row r="13" spans="1:10" ht="15" customHeight="1" x14ac:dyDescent="0.2">
      <c r="A13" s="2365"/>
      <c r="B13" s="2327"/>
      <c r="C13" s="622" t="str">
        <f>OF!C60</f>
        <v>50 - 100 m.</v>
      </c>
      <c r="D13" s="70">
        <f>OF!D60</f>
        <v>0</v>
      </c>
      <c r="E13" s="300">
        <v>1</v>
      </c>
      <c r="F13" s="300">
        <f t="shared" si="0"/>
        <v>0</v>
      </c>
      <c r="G13" s="666"/>
      <c r="H13" s="2369"/>
      <c r="I13" s="2643"/>
    </row>
    <row r="14" spans="1:10" ht="15" customHeight="1" x14ac:dyDescent="0.2">
      <c r="A14" s="2365"/>
      <c r="B14" s="2327"/>
      <c r="C14" s="622" t="str">
        <f>OF!C61</f>
        <v>100 - 500 m.</v>
      </c>
      <c r="D14" s="70">
        <f>OF!D61</f>
        <v>0</v>
      </c>
      <c r="E14" s="300">
        <v>1</v>
      </c>
      <c r="F14" s="300">
        <f t="shared" si="0"/>
        <v>0</v>
      </c>
      <c r="G14" s="666"/>
      <c r="H14" s="2369"/>
      <c r="I14" s="2643"/>
    </row>
    <row r="15" spans="1:10" ht="15" customHeight="1" thickBot="1" x14ac:dyDescent="0.25">
      <c r="A15" s="2367"/>
      <c r="B15" s="2328"/>
      <c r="C15" s="370" t="str">
        <f>OF!C62</f>
        <v>&gt;500 m.</v>
      </c>
      <c r="D15" s="152">
        <f>OF!D62</f>
        <v>1</v>
      </c>
      <c r="E15" s="301">
        <v>0</v>
      </c>
      <c r="F15" s="329">
        <f t="shared" si="0"/>
        <v>0</v>
      </c>
      <c r="G15" s="667"/>
      <c r="H15" s="2370"/>
      <c r="I15" s="2689"/>
    </row>
    <row r="16" spans="1:10" ht="45" customHeight="1" thickBot="1" x14ac:dyDescent="0.25">
      <c r="A16" s="280" t="str">
        <f>OF!A63</f>
        <v>OF12</v>
      </c>
      <c r="B16" s="201" t="str">
        <f>OF!B63</f>
        <v>Wildlife Access</v>
      </c>
      <c r="C16" s="547" t="str">
        <f>OF!C63</f>
        <v>Draw a circle of radius of 5 km from the center of the AA. If mammals and amphibians can move from the center of the AA to ALL other separate wetlands and ponds located within the circle without being forced to cross pavement (any width), lawns, bare ground, and/or marine waters, mark 1= yes can move to all, 0= no.  Change to blank if there are no other wetlands within 5 km.</v>
      </c>
      <c r="D16" s="202">
        <f>IF((OF!D63=""),"",OF!D63)</f>
        <v>0</v>
      </c>
      <c r="E16" s="323"/>
      <c r="F16" s="312"/>
      <c r="G16" s="837">
        <f>IF((D16=""),"",1-D16)</f>
        <v>1</v>
      </c>
      <c r="H16" s="3137" t="s">
        <v>532</v>
      </c>
      <c r="I16" s="3138"/>
    </row>
    <row r="17" spans="1:9" ht="30" customHeight="1" thickBot="1" x14ac:dyDescent="0.25">
      <c r="A17" s="2369" t="str">
        <f>OF!A99</f>
        <v>OF20</v>
      </c>
      <c r="B17" s="2327" t="str">
        <f>OF!B99</f>
        <v xml:space="preserve">Degraded Water Upstream </v>
      </c>
      <c r="C17" s="103" t="str">
        <f>OF!C99</f>
        <v xml:space="preserve">Sampling indicates a problem with concentrations of metals, hydrocarbons, nutrients, or other substances (excluding bacteria, acidic water, high temperatures) being present at levels harmful to aquatic life or humans, and:  </v>
      </c>
      <c r="D17" s="299"/>
      <c r="E17" s="299"/>
      <c r="F17" s="302"/>
      <c r="G17" s="839" t="str">
        <f>IF((D21=1),"", IF((D18=1),1, IF((D19=1), 0.5,0)))</f>
        <v/>
      </c>
      <c r="H17" s="2368" t="s">
        <v>535</v>
      </c>
      <c r="I17" s="2552"/>
    </row>
    <row r="18" spans="1:9" ht="15" customHeight="1" x14ac:dyDescent="0.2">
      <c r="A18" s="2369"/>
      <c r="B18" s="2327"/>
      <c r="C18" s="1867" t="str">
        <f>OF!C100</f>
        <v>The condition is present within the AA.</v>
      </c>
      <c r="D18" s="254">
        <f>OF!D100</f>
        <v>0</v>
      </c>
      <c r="E18" s="300"/>
      <c r="F18" s="325"/>
      <c r="G18" s="665"/>
      <c r="H18" s="2369"/>
      <c r="I18" s="2643"/>
    </row>
    <row r="19" spans="1:9" ht="15" customHeight="1" x14ac:dyDescent="0.2">
      <c r="A19" s="2369"/>
      <c r="B19" s="2327"/>
      <c r="C19" s="1883" t="str">
        <f>OF!C101</f>
        <v>The condition is present in waters within 1 km that flow into the AA, but has not been documented in the AA itself.</v>
      </c>
      <c r="D19" s="212">
        <f>OF!D101</f>
        <v>0</v>
      </c>
      <c r="E19" s="300"/>
      <c r="F19" s="325"/>
      <c r="G19" s="666"/>
      <c r="H19" s="2369"/>
      <c r="I19" s="2643"/>
    </row>
    <row r="20" spans="1:9" ht="15" customHeight="1" x14ac:dyDescent="0.2">
      <c r="A20" s="2369"/>
      <c r="B20" s="2327"/>
      <c r="C20" s="1883" t="str">
        <f>OF!C102</f>
        <v>Sampling during both low water periods and times with high runoff (storms, snowmelt) indicates no problems in either the AA or inflowing waters.</v>
      </c>
      <c r="D20" s="212">
        <f>OF!D102</f>
        <v>0</v>
      </c>
      <c r="E20" s="300"/>
      <c r="F20" s="325"/>
      <c r="G20" s="666"/>
      <c r="H20" s="2369"/>
      <c r="I20" s="2643"/>
    </row>
    <row r="21" spans="1:9" ht="27" customHeight="1" thickBot="1" x14ac:dyDescent="0.25">
      <c r="A21" s="2369"/>
      <c r="B21" s="2327"/>
      <c r="C21" s="1884" t="str">
        <f>OF!C103</f>
        <v>Data are insufficient (no or inadequate sampling within 1 km, or condition exists only at &gt;1 km upstream). This is the situation for nearly all wetlands in this region.</v>
      </c>
      <c r="D21" s="571">
        <f>OF!D103</f>
        <v>1</v>
      </c>
      <c r="E21" s="303"/>
      <c r="F21" s="327"/>
      <c r="G21" s="840"/>
      <c r="H21" s="2370"/>
      <c r="I21" s="2689"/>
    </row>
    <row r="22" spans="1:9" ht="30" customHeight="1" thickBot="1" x14ac:dyDescent="0.25">
      <c r="A22" s="2368" t="str">
        <f>OF!A114</f>
        <v>OF23</v>
      </c>
      <c r="B22" s="2326" t="str">
        <f>OF!B114</f>
        <v>Unvegetated Surface in the Contributing Area</v>
      </c>
      <c r="C22" s="368" t="str">
        <f>OF!C114</f>
        <v>The proportion of the AA's contributing area (measured to no more than 1000 m upslope) that is comprised of buildings, roads, parking lots, other pavement, exposed bedrock, landslides, and other mostly-bare surface is about :</v>
      </c>
      <c r="D22" s="304"/>
      <c r="E22" s="304"/>
      <c r="F22" s="305"/>
      <c r="G22" s="837">
        <f>MAX(F23:F25)/MAX(E23:E25)</f>
        <v>0</v>
      </c>
      <c r="H22" s="2368" t="s">
        <v>534</v>
      </c>
      <c r="I22" s="2552"/>
    </row>
    <row r="23" spans="1:9" ht="15" customHeight="1" x14ac:dyDescent="0.2">
      <c r="A23" s="2369"/>
      <c r="B23" s="2327"/>
      <c r="C23" s="1883" t="str">
        <f>OF!C115</f>
        <v>&lt;10%.</v>
      </c>
      <c r="D23" s="212">
        <f>OF!D115</f>
        <v>1</v>
      </c>
      <c r="E23" s="300">
        <v>0</v>
      </c>
      <c r="F23" s="325">
        <f>D23*E23</f>
        <v>0</v>
      </c>
      <c r="G23" s="665"/>
      <c r="H23" s="2369"/>
      <c r="I23" s="2643"/>
    </row>
    <row r="24" spans="1:9" ht="15" customHeight="1" x14ac:dyDescent="0.2">
      <c r="A24" s="2369"/>
      <c r="B24" s="2327"/>
      <c r="C24" s="1883" t="str">
        <f>OF!C116</f>
        <v>10 to 25%.</v>
      </c>
      <c r="D24" s="212">
        <f>OF!D116</f>
        <v>0</v>
      </c>
      <c r="E24" s="300">
        <v>2</v>
      </c>
      <c r="F24" s="325">
        <f>D24*E24</f>
        <v>0</v>
      </c>
      <c r="G24" s="666"/>
      <c r="H24" s="2369"/>
      <c r="I24" s="2643"/>
    </row>
    <row r="25" spans="1:9" ht="15" customHeight="1" thickBot="1" x14ac:dyDescent="0.25">
      <c r="A25" s="2370"/>
      <c r="B25" s="2328"/>
      <c r="C25" s="1885" t="str">
        <f>OF!C117</f>
        <v>&gt;25%.</v>
      </c>
      <c r="D25" s="572">
        <f>OF!D117</f>
        <v>0</v>
      </c>
      <c r="E25" s="301">
        <v>3</v>
      </c>
      <c r="F25" s="329">
        <f>D25*E25</f>
        <v>0</v>
      </c>
      <c r="G25" s="667"/>
      <c r="H25" s="2370"/>
      <c r="I25" s="2689"/>
    </row>
    <row r="26" spans="1:9" ht="29.25" customHeight="1" thickBot="1" x14ac:dyDescent="0.25">
      <c r="A26" s="2326" t="str">
        <f>OF!A153</f>
        <v>OF38</v>
      </c>
      <c r="B26" s="2326" t="str">
        <f>OF!B153</f>
        <v xml:space="preserve">Ownership </v>
      </c>
      <c r="C26" s="376" t="str">
        <f>OF!C153</f>
        <v>Select the ONE ownership that covers the most of the AA. In Google Earth, open KMZ file called NB Crown lands.Use more recent information if available.</v>
      </c>
      <c r="D26" s="304"/>
      <c r="E26" s="304"/>
      <c r="F26" s="305"/>
      <c r="G26" s="837">
        <f>MAX(F27:F30)/MAX(E27:E30)</f>
        <v>0</v>
      </c>
      <c r="H26" s="2368" t="s">
        <v>609</v>
      </c>
      <c r="I26" s="2552"/>
    </row>
    <row r="27" spans="1:9" ht="27" customHeight="1" x14ac:dyDescent="0.2">
      <c r="A27" s="2327"/>
      <c r="B27" s="2327"/>
      <c r="C27" s="1620" t="str">
        <f>OF!C154</f>
        <v>New timber harvest, roads, mineral extraction, and intensive summer recreation (e.g., off-road vehicles) are permanently prohibited. Includes many publicly-owned Protected Lands, and private lands under long-term (30+ year) legal agreements to maintain nearly-unaltered conditions.</v>
      </c>
      <c r="D27" s="70">
        <f>OF!D154</f>
        <v>1</v>
      </c>
      <c r="E27" s="316">
        <v>0</v>
      </c>
      <c r="F27" s="300">
        <f>D27*E27</f>
        <v>0</v>
      </c>
      <c r="G27" s="665"/>
      <c r="H27" s="2369"/>
      <c r="I27" s="2643"/>
    </row>
    <row r="28" spans="1:9" ht="15" customHeight="1" x14ac:dyDescent="0.2">
      <c r="A28" s="2327"/>
      <c r="B28" s="2327"/>
      <c r="C28" s="1620" t="str">
        <f>OF!C155</f>
        <v>Ownership is public (e.g., municipal, Crown Reservations/Notations) but some or all of the above activities are allowed.</v>
      </c>
      <c r="D28" s="70">
        <f>OF!D155</f>
        <v>0</v>
      </c>
      <c r="E28" s="316">
        <v>2</v>
      </c>
      <c r="F28" s="300">
        <f>D28*E28</f>
        <v>0</v>
      </c>
      <c r="G28" s="665"/>
      <c r="H28" s="2369"/>
      <c r="I28" s="2643"/>
    </row>
    <row r="29" spans="1:9" ht="15" customHeight="1" x14ac:dyDescent="0.2">
      <c r="A29" s="2327"/>
      <c r="B29" s="2327"/>
      <c r="C29" s="1620" t="str">
        <f>OF!C156</f>
        <v>Ownership is private but public access is allowed, and/or a shorter-term conservation easement (whether renewable or not) is in place.</v>
      </c>
      <c r="D29" s="70">
        <f>OF!D156</f>
        <v>0</v>
      </c>
      <c r="E29" s="316">
        <v>1</v>
      </c>
      <c r="F29" s="300">
        <f>D29*E29</f>
        <v>0</v>
      </c>
      <c r="G29" s="665"/>
      <c r="H29" s="2369"/>
      <c r="I29" s="2643"/>
    </row>
    <row r="30" spans="1:9" ht="15" customHeight="1" thickBot="1" x14ac:dyDescent="0.25">
      <c r="A30" s="2328"/>
      <c r="B30" s="2328"/>
      <c r="C30" s="1893" t="str">
        <f>OF!C157</f>
        <v>Ownership is private and owner does not allow access, or access permission unknown, and not a conservation easement.</v>
      </c>
      <c r="D30" s="152">
        <f>OF!D157</f>
        <v>0</v>
      </c>
      <c r="E30" s="301">
        <v>2</v>
      </c>
      <c r="F30" s="301">
        <f>D30*E30</f>
        <v>0</v>
      </c>
      <c r="G30" s="667"/>
      <c r="H30" s="2370"/>
      <c r="I30" s="2689"/>
    </row>
    <row r="31" spans="1:9" ht="30" customHeight="1" thickBot="1" x14ac:dyDescent="0.25">
      <c r="A31" s="2366" t="str">
        <f>F!A114</f>
        <v>F21</v>
      </c>
      <c r="B31" s="2326" t="str">
        <f>F!B114</f>
        <v>Invasive Cover Along Upland Edge</v>
      </c>
      <c r="C31" s="368" t="str">
        <f>F!C114</f>
        <v>Along the wetland-upland boundary, the percent of the upland edge (within 3 m upslope from the wetland) that is occupied by invasive plant species is:</v>
      </c>
      <c r="D31" s="304"/>
      <c r="E31" s="304"/>
      <c r="F31" s="305"/>
      <c r="G31" s="837">
        <f>MAX(F32:F35)/MAX(E32:E35)</f>
        <v>0</v>
      </c>
      <c r="H31" s="2586" t="s">
        <v>528</v>
      </c>
      <c r="I31" s="2697"/>
    </row>
    <row r="32" spans="1:9" ht="15" customHeight="1" x14ac:dyDescent="0.2">
      <c r="A32" s="2365"/>
      <c r="B32" s="2327"/>
      <c r="C32" s="369" t="str">
        <f>F!C115</f>
        <v>none of the upland edge (invasives apparently absent), or AA has no upland edge.</v>
      </c>
      <c r="D32" s="212">
        <f>F!D115</f>
        <v>1</v>
      </c>
      <c r="E32" s="300">
        <v>0</v>
      </c>
      <c r="F32" s="300">
        <f>D32*E32</f>
        <v>0</v>
      </c>
      <c r="G32" s="841"/>
      <c r="H32" s="2399"/>
      <c r="I32" s="2723"/>
    </row>
    <row r="33" spans="1:9" ht="15" customHeight="1" x14ac:dyDescent="0.2">
      <c r="A33" s="2365"/>
      <c r="B33" s="2327"/>
      <c r="C33" s="622" t="str">
        <f>F!C116</f>
        <v>some (but &lt;5%) of the upland edge.</v>
      </c>
      <c r="D33" s="70">
        <f>F!D116</f>
        <v>0</v>
      </c>
      <c r="E33" s="300">
        <v>1</v>
      </c>
      <c r="F33" s="300">
        <f>D33*E33</f>
        <v>0</v>
      </c>
      <c r="G33" s="842"/>
      <c r="H33" s="2399"/>
      <c r="I33" s="2723"/>
    </row>
    <row r="34" spans="1:9" ht="15" customHeight="1" x14ac:dyDescent="0.2">
      <c r="A34" s="2365"/>
      <c r="B34" s="2327"/>
      <c r="C34" s="622" t="str">
        <f>F!C117</f>
        <v>5-50% of the upland edge.</v>
      </c>
      <c r="D34" s="70">
        <f>F!D117</f>
        <v>0</v>
      </c>
      <c r="E34" s="300">
        <v>2</v>
      </c>
      <c r="F34" s="300">
        <f>D34*E34</f>
        <v>0</v>
      </c>
      <c r="G34" s="842"/>
      <c r="H34" s="2399"/>
      <c r="I34" s="2723"/>
    </row>
    <row r="35" spans="1:9" ht="15" customHeight="1" thickBot="1" x14ac:dyDescent="0.25">
      <c r="A35" s="2367"/>
      <c r="B35" s="2328"/>
      <c r="C35" s="370" t="str">
        <f>F!C118</f>
        <v>most (&gt;50%) of the upland edge.</v>
      </c>
      <c r="D35" s="152">
        <f>F!D118</f>
        <v>0</v>
      </c>
      <c r="E35" s="301">
        <v>3</v>
      </c>
      <c r="F35" s="301">
        <f>D35*E35</f>
        <v>0</v>
      </c>
      <c r="G35" s="843"/>
      <c r="H35" s="2553"/>
      <c r="I35" s="2795"/>
    </row>
    <row r="36" spans="1:9" ht="21" customHeight="1" thickBot="1" x14ac:dyDescent="0.25">
      <c r="A36" s="2587" t="str">
        <f>F!A212</f>
        <v>F43</v>
      </c>
      <c r="B36" s="2671" t="str">
        <f>F!B212</f>
        <v xml:space="preserve">Outflow Confinement </v>
      </c>
      <c r="C36" s="617" t="str">
        <f>F!C212</f>
        <v>During major runoff events, in the places where surface water exits the AA or connected waters nearby, the water:</v>
      </c>
      <c r="D36" s="304"/>
      <c r="E36" s="304"/>
      <c r="F36" s="304"/>
      <c r="G36" s="837">
        <f>IF((OutNone + OutNone1&gt;0),"",MAX(F37:F39)/MAX(E37:E39))</f>
        <v>0</v>
      </c>
      <c r="H36" s="2368" t="s">
        <v>1053</v>
      </c>
      <c r="I36" s="2552"/>
    </row>
    <row r="37" spans="1:9" ht="27" customHeight="1" x14ac:dyDescent="0.2">
      <c r="A37" s="2588"/>
      <c r="B37" s="2672"/>
      <c r="C37" s="632" t="str">
        <f>F!C213</f>
        <v>Mostly passes through a pipe, culvert, narrowly breached dike, berm, beaver dam, or other partial obstruction (other than natural topography) that does not appear to drain the wetland artificially during most of the growing season.</v>
      </c>
      <c r="D37" s="251">
        <f>F!D213</f>
        <v>0</v>
      </c>
      <c r="E37" s="300">
        <v>1</v>
      </c>
      <c r="F37" s="325">
        <f>D37*E37</f>
        <v>0</v>
      </c>
      <c r="G37" s="666"/>
      <c r="H37" s="2369"/>
      <c r="I37" s="2643"/>
    </row>
    <row r="38" spans="1:9" ht="15" customHeight="1" x14ac:dyDescent="0.2">
      <c r="A38" s="2588"/>
      <c r="B38" s="2672"/>
      <c r="C38" s="633" t="str">
        <f>F!C214</f>
        <v>Leaves through natural exits (channels or diffuse outflow), not mainly through artificial or temporary features.</v>
      </c>
      <c r="D38" s="252">
        <f>F!D214</f>
        <v>1</v>
      </c>
      <c r="E38" s="300">
        <v>0</v>
      </c>
      <c r="F38" s="325">
        <f>D38*E38</f>
        <v>0</v>
      </c>
      <c r="G38" s="666"/>
      <c r="H38" s="2369"/>
      <c r="I38" s="2643"/>
    </row>
    <row r="39" spans="1:9" ht="27" customHeight="1" thickBot="1" x14ac:dyDescent="0.25">
      <c r="A39" s="2589"/>
      <c r="B39" s="2673"/>
      <c r="C39" s="846" t="str">
        <f>F!C215</f>
        <v>Is exported more quickly than usual due to ditches or pipes within the AA or connected to its outlet, or within 10 m of the AA's edge, which drain the wetland artificially, or water is pumped out of the AA.</v>
      </c>
      <c r="D39" s="276">
        <f>F!D215</f>
        <v>0</v>
      </c>
      <c r="E39" s="301">
        <v>2</v>
      </c>
      <c r="F39" s="329">
        <f>D39*E39</f>
        <v>0</v>
      </c>
      <c r="G39" s="667"/>
      <c r="H39" s="2370"/>
      <c r="I39" s="2689"/>
    </row>
    <row r="40" spans="1:9" ht="30" customHeight="1" thickBot="1" x14ac:dyDescent="0.25">
      <c r="A40" s="2327" t="str">
        <f>F!A247</f>
        <v>F52</v>
      </c>
      <c r="B40" s="2327" t="str">
        <f>F!B247</f>
        <v>Vegetated Buffer as % of Perimeter</v>
      </c>
      <c r="C40" s="376" t="str">
        <f>F!C247</f>
        <v>Within a zone extending 30 m laterally from the AA's edge with upland and/or other wetlands, the percentage that contains perennial vegetation cover (except lawns, row crops, heavily grazed land, conifer plantations) is:</v>
      </c>
      <c r="D40" s="304"/>
      <c r="E40" s="299"/>
      <c r="F40" s="302"/>
      <c r="G40" s="839">
        <f>MAX(F41:F45)/MAX(E41:E45)</f>
        <v>1</v>
      </c>
      <c r="H40" s="2368" t="s">
        <v>529</v>
      </c>
      <c r="I40" s="2552"/>
    </row>
    <row r="41" spans="1:9" ht="15" customHeight="1" x14ac:dyDescent="0.2">
      <c r="A41" s="2327"/>
      <c r="B41" s="2327"/>
      <c r="C41" s="1242" t="str">
        <f>F!C248</f>
        <v>&lt;5%.</v>
      </c>
      <c r="D41" s="70">
        <f>F!D248</f>
        <v>1</v>
      </c>
      <c r="E41" s="316">
        <v>4</v>
      </c>
      <c r="F41" s="300">
        <f>D41*E41</f>
        <v>4</v>
      </c>
      <c r="G41" s="841"/>
      <c r="H41" s="2369"/>
      <c r="I41" s="2643"/>
    </row>
    <row r="42" spans="1:9" ht="15" customHeight="1" x14ac:dyDescent="0.2">
      <c r="A42" s="2327"/>
      <c r="B42" s="2327"/>
      <c r="C42" s="1129" t="str">
        <f>F!C249</f>
        <v>5 to 30%.</v>
      </c>
      <c r="D42" s="571">
        <f>F!D249</f>
        <v>0</v>
      </c>
      <c r="E42" s="316">
        <v>3</v>
      </c>
      <c r="F42" s="300">
        <f>D42*E42</f>
        <v>0</v>
      </c>
      <c r="G42" s="842"/>
      <c r="H42" s="2369"/>
      <c r="I42" s="2643"/>
    </row>
    <row r="43" spans="1:9" ht="15" customHeight="1" x14ac:dyDescent="0.2">
      <c r="A43" s="2327"/>
      <c r="B43" s="2327"/>
      <c r="C43" s="1129" t="str">
        <f>F!C250</f>
        <v>30 to 60%.</v>
      </c>
      <c r="D43" s="70">
        <f>F!D250</f>
        <v>0</v>
      </c>
      <c r="E43" s="316">
        <v>2</v>
      </c>
      <c r="F43" s="300">
        <f>D43*E43</f>
        <v>0</v>
      </c>
      <c r="G43" s="842"/>
      <c r="H43" s="2369"/>
      <c r="I43" s="2643"/>
    </row>
    <row r="44" spans="1:9" ht="15" customHeight="1" x14ac:dyDescent="0.2">
      <c r="A44" s="2327"/>
      <c r="B44" s="2327"/>
      <c r="C44" s="1129" t="str">
        <f>F!C251</f>
        <v>60 to 90%.</v>
      </c>
      <c r="D44" s="571">
        <f>F!D251</f>
        <v>0</v>
      </c>
      <c r="E44" s="316">
        <v>1</v>
      </c>
      <c r="F44" s="300">
        <f>D44*E44</f>
        <v>0</v>
      </c>
      <c r="G44" s="842"/>
      <c r="H44" s="2369"/>
      <c r="I44" s="2643"/>
    </row>
    <row r="45" spans="1:9" ht="15" customHeight="1" thickBot="1" x14ac:dyDescent="0.25">
      <c r="A45" s="2327"/>
      <c r="B45" s="2327"/>
      <c r="C45" s="951" t="str">
        <f>F!C252</f>
        <v>&gt;90%, or all the area within 30 m of the AA edge is other wetlands. SKIP to F55.</v>
      </c>
      <c r="D45" s="152">
        <f>F!D252</f>
        <v>0</v>
      </c>
      <c r="E45" s="458">
        <v>0</v>
      </c>
      <c r="F45" s="303">
        <f>D45*E45</f>
        <v>0</v>
      </c>
      <c r="G45" s="844"/>
      <c r="H45" s="2370"/>
      <c r="I45" s="2689"/>
    </row>
    <row r="46" spans="1:9" ht="21" customHeight="1" thickBot="1" x14ac:dyDescent="0.25">
      <c r="A46" s="2326" t="str">
        <f>F!A253</f>
        <v>F53</v>
      </c>
      <c r="B46" s="2326" t="str">
        <f>F!B253</f>
        <v>Type of Cover in Buffer</v>
      </c>
      <c r="C46" s="376" t="str">
        <f>F!C253</f>
        <v>Within 30 m upslope of where the wetland transitions to upland, the upland land cover that is NOT perennial vegetation is mostly (mark ONE):</v>
      </c>
      <c r="D46" s="304"/>
      <c r="E46" s="304"/>
      <c r="F46" s="305"/>
      <c r="G46" s="837">
        <f>IF((BuffAllNat=1),"", MAX(F47:F48)/MAX(E47:E48))</f>
        <v>0</v>
      </c>
      <c r="H46" s="2368" t="s">
        <v>994</v>
      </c>
      <c r="I46" s="2552"/>
    </row>
    <row r="47" spans="1:9" ht="15" customHeight="1" x14ac:dyDescent="0.2">
      <c r="A47" s="2327"/>
      <c r="B47" s="2327"/>
      <c r="C47" s="1242" t="str">
        <f>F!C254</f>
        <v>Impervious surface, e.g., paved road, parking lot, building, exposed rock.</v>
      </c>
      <c r="D47" s="70">
        <f>F!D254</f>
        <v>0</v>
      </c>
      <c r="E47" s="316">
        <v>2</v>
      </c>
      <c r="F47" s="300">
        <f>D47*E47</f>
        <v>0</v>
      </c>
      <c r="G47" s="665"/>
      <c r="H47" s="2369"/>
      <c r="I47" s="2643"/>
    </row>
    <row r="48" spans="1:9" ht="15" customHeight="1" thickBot="1" x14ac:dyDescent="0.25">
      <c r="A48" s="2327"/>
      <c r="B48" s="2327"/>
      <c r="C48" s="951" t="str">
        <f>F!C255</f>
        <v>Bare or nearly bare pervious surface or managed vegetation, e.g., lawn, row crops, unpaved road, dike, landslide.</v>
      </c>
      <c r="D48" s="572">
        <f>F!D255</f>
        <v>0</v>
      </c>
      <c r="E48" s="458">
        <v>1</v>
      </c>
      <c r="F48" s="303">
        <f>D48*E48</f>
        <v>0</v>
      </c>
      <c r="G48" s="840"/>
      <c r="H48" s="2370"/>
      <c r="I48" s="2689"/>
    </row>
    <row r="49" spans="1:9" ht="21" customHeight="1" thickBot="1" x14ac:dyDescent="0.25">
      <c r="A49" s="2326" t="str">
        <f>F!A269</f>
        <v>F57</v>
      </c>
      <c r="B49" s="2326" t="str">
        <f>F!B269</f>
        <v>Burn History</v>
      </c>
      <c r="C49" s="1316" t="str">
        <f>F!C269</f>
        <v>More than 1% of the AA's previously vegetated area:</v>
      </c>
      <c r="D49" s="315"/>
      <c r="E49" s="304"/>
      <c r="F49" s="304"/>
      <c r="G49" s="1419">
        <f>MAX(F50:F53)/MAX(E50:E53)</f>
        <v>0</v>
      </c>
      <c r="H49" s="2586" t="s">
        <v>1687</v>
      </c>
      <c r="I49" s="2697"/>
    </row>
    <row r="50" spans="1:9" ht="15" customHeight="1" x14ac:dyDescent="0.2">
      <c r="A50" s="2327"/>
      <c r="B50" s="2327"/>
      <c r="C50" s="373" t="str">
        <f>F!C270</f>
        <v>Burned within past 5 years.</v>
      </c>
      <c r="D50" s="70">
        <f>F!D270</f>
        <v>0</v>
      </c>
      <c r="E50" s="300">
        <v>4</v>
      </c>
      <c r="F50" s="300">
        <f>D50*E50</f>
        <v>0</v>
      </c>
      <c r="G50" s="549"/>
      <c r="H50" s="2399"/>
      <c r="I50" s="2723"/>
    </row>
    <row r="51" spans="1:9" ht="15" customHeight="1" x14ac:dyDescent="0.2">
      <c r="A51" s="2327"/>
      <c r="B51" s="2327"/>
      <c r="C51" s="374" t="str">
        <f>F!C271</f>
        <v>Burned 6-10 years ago.</v>
      </c>
      <c r="D51" s="70">
        <f>F!D271</f>
        <v>0</v>
      </c>
      <c r="E51" s="300">
        <v>3</v>
      </c>
      <c r="F51" s="300">
        <f>D51*E51</f>
        <v>0</v>
      </c>
      <c r="G51" s="549"/>
      <c r="H51" s="2399"/>
      <c r="I51" s="2723"/>
    </row>
    <row r="52" spans="1:9" ht="15" customHeight="1" x14ac:dyDescent="0.2">
      <c r="A52" s="2327"/>
      <c r="B52" s="2327"/>
      <c r="C52" s="374" t="str">
        <f>F!C272</f>
        <v>Burned 11-30 years ago.</v>
      </c>
      <c r="D52" s="70">
        <f>F!D272</f>
        <v>0</v>
      </c>
      <c r="E52" s="300">
        <v>2</v>
      </c>
      <c r="F52" s="300">
        <f>D52*E52</f>
        <v>0</v>
      </c>
      <c r="G52" s="549"/>
      <c r="H52" s="2399"/>
      <c r="I52" s="2723"/>
    </row>
    <row r="53" spans="1:9" ht="15" customHeight="1" thickBot="1" x14ac:dyDescent="0.25">
      <c r="A53" s="2328"/>
      <c r="B53" s="2328"/>
      <c r="C53" s="372" t="str">
        <f>F!C273</f>
        <v>Burned &gt;30 years ago, or no evidence of a burn and no data.</v>
      </c>
      <c r="D53" s="152">
        <f>F!D273</f>
        <v>1</v>
      </c>
      <c r="E53" s="301">
        <v>0</v>
      </c>
      <c r="F53" s="301">
        <f>D53*E53</f>
        <v>0</v>
      </c>
      <c r="G53" s="550"/>
      <c r="H53" s="2553"/>
      <c r="I53" s="2795"/>
    </row>
    <row r="54" spans="1:9" ht="30" customHeight="1" thickBot="1" x14ac:dyDescent="0.25">
      <c r="A54" s="2327" t="str">
        <f>F!A274</f>
        <v>F58</v>
      </c>
      <c r="B54" s="2369" t="str">
        <f>F!B274</f>
        <v>Visibility</v>
      </c>
      <c r="C54" s="103" t="str">
        <f>F!C274</f>
        <v>The maximum percentage of the wetland that is visible from the best vantage point on public roads, public parking lots, public buildings, or public maintained trails that intersect, adjoin, or are within 100 m of the AA (select one) is:</v>
      </c>
      <c r="D54" s="318"/>
      <c r="E54" s="299"/>
      <c r="F54" s="302"/>
      <c r="G54" s="839">
        <f>MAX(F55:F57)/MAX(E55:E57)</f>
        <v>1</v>
      </c>
      <c r="H54" s="2368" t="s">
        <v>993</v>
      </c>
      <c r="I54" s="2552"/>
    </row>
    <row r="55" spans="1:9" ht="15" customHeight="1" x14ac:dyDescent="0.2">
      <c r="A55" s="2327"/>
      <c r="B55" s="2369"/>
      <c r="C55" s="1138" t="str">
        <f>F!C275</f>
        <v>&lt;25%.</v>
      </c>
      <c r="D55" s="1416">
        <f>F!D275</f>
        <v>0</v>
      </c>
      <c r="E55" s="316">
        <v>0</v>
      </c>
      <c r="F55" s="300">
        <f>D55*E55</f>
        <v>0</v>
      </c>
      <c r="G55" s="665"/>
      <c r="H55" s="2369"/>
      <c r="I55" s="2643"/>
    </row>
    <row r="56" spans="1:9" ht="15" customHeight="1" x14ac:dyDescent="0.2">
      <c r="A56" s="2327"/>
      <c r="B56" s="2369"/>
      <c r="C56" s="1122" t="str">
        <f>F!C276</f>
        <v>25-50%.</v>
      </c>
      <c r="D56" s="567">
        <f>F!D276</f>
        <v>0</v>
      </c>
      <c r="E56" s="316">
        <v>1</v>
      </c>
      <c r="F56" s="300">
        <f>D56*E56</f>
        <v>0</v>
      </c>
      <c r="G56" s="840"/>
      <c r="H56" s="2369"/>
      <c r="I56" s="2643"/>
    </row>
    <row r="57" spans="1:9" ht="15" customHeight="1" thickBot="1" x14ac:dyDescent="0.25">
      <c r="A57" s="2327"/>
      <c r="B57" s="2369"/>
      <c r="C57" s="1129" t="str">
        <f>F!C277</f>
        <v>&gt;50%.</v>
      </c>
      <c r="D57" s="1240">
        <f>F!D277</f>
        <v>1</v>
      </c>
      <c r="E57" s="458">
        <v>2</v>
      </c>
      <c r="F57" s="327">
        <f>D57*E57</f>
        <v>2</v>
      </c>
      <c r="G57" s="840"/>
      <c r="H57" s="2369"/>
      <c r="I57" s="2643"/>
    </row>
    <row r="58" spans="1:9" ht="21" customHeight="1" thickBot="1" x14ac:dyDescent="0.25">
      <c r="A58" s="2326" t="str">
        <f>F!A278</f>
        <v>F59</v>
      </c>
      <c r="B58" s="2326" t="str">
        <f>F!B278</f>
        <v xml:space="preserve">Non-consumptive Uses - Actual or Potential </v>
      </c>
      <c r="C58" s="368" t="str">
        <f>F!C278</f>
        <v>Assuming access permission was granted, select ALL statements that are true of the AA as it currently exists:</v>
      </c>
      <c r="D58" s="304"/>
      <c r="E58" s="304"/>
      <c r="F58" s="305"/>
      <c r="G58" s="837">
        <f>SUM(F59:F62)/4</f>
        <v>0.5</v>
      </c>
      <c r="H58" s="2368" t="s">
        <v>987</v>
      </c>
      <c r="I58" s="2552"/>
    </row>
    <row r="59" spans="1:9" ht="27" customHeight="1" x14ac:dyDescent="0.2">
      <c r="A59" s="2327"/>
      <c r="B59" s="2327"/>
      <c r="C59" s="1138" t="str">
        <f>F!C279</f>
        <v>For an average person, walking is physically possible in (not just near) &gt;5% of the AA during most of the growing season, e.g., free of deep water and dense shrub thickets.</v>
      </c>
      <c r="D59" s="474">
        <f>F!D279</f>
        <v>1</v>
      </c>
      <c r="E59" s="316">
        <v>1</v>
      </c>
      <c r="F59" s="300">
        <f>D59*E59</f>
        <v>1</v>
      </c>
      <c r="G59" s="666"/>
      <c r="H59" s="2369"/>
      <c r="I59" s="2643"/>
    </row>
    <row r="60" spans="1:9" ht="27" customHeight="1" x14ac:dyDescent="0.2">
      <c r="A60" s="2327"/>
      <c r="B60" s="2327"/>
      <c r="C60" s="949" t="str">
        <f>F!C280</f>
        <v>Maintained roads, parking areas, or foot-trails are within 10 m of the AA, or the AA can be accessed part of the year by boats arriving via contiguous waters.</v>
      </c>
      <c r="D60" s="474">
        <f>F!D280</f>
        <v>1</v>
      </c>
      <c r="E60" s="316">
        <v>1</v>
      </c>
      <c r="F60" s="300">
        <f>D60*E60</f>
        <v>1</v>
      </c>
      <c r="G60" s="666"/>
      <c r="H60" s="2369"/>
      <c r="I60" s="2643"/>
    </row>
    <row r="61" spans="1:9" ht="15" customHeight="1" x14ac:dyDescent="0.2">
      <c r="A61" s="2327"/>
      <c r="B61" s="2327"/>
      <c r="C61" s="949" t="str">
        <f>F!C281</f>
        <v xml:space="preserve">Within or near the AA, there is an interpretive center, trails with interpretive signs or brochures, and/or regular guided interpretive tours. </v>
      </c>
      <c r="D61" s="70">
        <f>F!D281</f>
        <v>0</v>
      </c>
      <c r="E61" s="316">
        <v>1</v>
      </c>
      <c r="F61" s="300">
        <f>D61*E61</f>
        <v>0</v>
      </c>
      <c r="G61" s="666"/>
      <c r="H61" s="2369"/>
      <c r="I61" s="2643"/>
    </row>
    <row r="62" spans="1:9" ht="42" customHeight="1" thickBot="1" x14ac:dyDescent="0.25">
      <c r="A62" s="2328"/>
      <c r="B62" s="2328"/>
      <c r="C62" s="1339"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62" s="152">
        <f>F!D282</f>
        <v>0</v>
      </c>
      <c r="E62" s="317">
        <v>1</v>
      </c>
      <c r="F62" s="301">
        <f>D62*E62</f>
        <v>0</v>
      </c>
      <c r="G62" s="667"/>
      <c r="H62" s="2370"/>
      <c r="I62" s="2689"/>
    </row>
    <row r="63" spans="1:9" ht="45" customHeight="1" thickBot="1" x14ac:dyDescent="0.25">
      <c r="A63" s="2326" t="str">
        <f>F!A282</f>
        <v>F60</v>
      </c>
      <c r="B63" s="2326" t="str">
        <f>F!B282</f>
        <v xml:space="preserve">Unvisited Core Area </v>
      </c>
      <c r="C63" s="368"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63" s="555"/>
      <c r="E63" s="304"/>
      <c r="F63" s="305"/>
      <c r="G63" s="837">
        <f>MAX(F64:F69)/MAX(E64:E69)</f>
        <v>0</v>
      </c>
      <c r="H63" s="2368" t="s">
        <v>530</v>
      </c>
      <c r="I63" s="2552"/>
    </row>
    <row r="64" spans="1:9" ht="15" customHeight="1" x14ac:dyDescent="0.2">
      <c r="A64" s="2327"/>
      <c r="B64" s="2327"/>
      <c r="C64" s="1242" t="str">
        <f>F!C283</f>
        <v>&lt;5% and no inhabited building is within 100 m of the AA.</v>
      </c>
      <c r="D64" s="70">
        <f>F!D283</f>
        <v>0</v>
      </c>
      <c r="E64" s="316">
        <v>5</v>
      </c>
      <c r="F64" s="300">
        <f t="shared" ref="F64:F69" si="1">D64*E64</f>
        <v>0</v>
      </c>
      <c r="G64" s="841"/>
      <c r="H64" s="2369"/>
      <c r="I64" s="2643"/>
    </row>
    <row r="65" spans="1:9" ht="15" customHeight="1" x14ac:dyDescent="0.2">
      <c r="A65" s="2327"/>
      <c r="B65" s="2327"/>
      <c r="C65" s="1129" t="str">
        <f>F!C284</f>
        <v>&lt;5% and inhabited building is within 100 m of the AA.</v>
      </c>
      <c r="D65" s="70">
        <f>F!D284</f>
        <v>0</v>
      </c>
      <c r="E65" s="316">
        <v>5</v>
      </c>
      <c r="F65" s="300">
        <f t="shared" si="1"/>
        <v>0</v>
      </c>
      <c r="G65" s="842"/>
      <c r="H65" s="2369"/>
      <c r="I65" s="2643"/>
    </row>
    <row r="66" spans="1:9" ht="15" customHeight="1" x14ac:dyDescent="0.2">
      <c r="A66" s="2327"/>
      <c r="B66" s="2327"/>
      <c r="C66" s="1129" t="str">
        <f>F!C285</f>
        <v>5-50% and no inhabited building is within 100 m of the AA.</v>
      </c>
      <c r="D66" s="70">
        <f>F!D285</f>
        <v>0</v>
      </c>
      <c r="E66" s="316">
        <v>3</v>
      </c>
      <c r="F66" s="300">
        <f t="shared" si="1"/>
        <v>0</v>
      </c>
      <c r="G66" s="842"/>
      <c r="H66" s="2369"/>
      <c r="I66" s="2643"/>
    </row>
    <row r="67" spans="1:9" ht="15" customHeight="1" x14ac:dyDescent="0.2">
      <c r="A67" s="2327"/>
      <c r="B67" s="2327"/>
      <c r="C67" s="1122" t="str">
        <f>F!C286</f>
        <v>5-50% and inhabited building is within 100 m of the AA.</v>
      </c>
      <c r="D67" s="212">
        <f>F!D286</f>
        <v>0</v>
      </c>
      <c r="E67" s="316">
        <v>2</v>
      </c>
      <c r="F67" s="300">
        <f t="shared" si="1"/>
        <v>0</v>
      </c>
      <c r="G67" s="842"/>
      <c r="H67" s="2369"/>
      <c r="I67" s="2643"/>
    </row>
    <row r="68" spans="1:9" ht="15" customHeight="1" x14ac:dyDescent="0.2">
      <c r="A68" s="2327"/>
      <c r="B68" s="2327"/>
      <c r="C68" s="1130" t="str">
        <f>F!C287</f>
        <v>50-95%, with or without inhabited building nearby.</v>
      </c>
      <c r="D68" s="571">
        <f>F!D287</f>
        <v>0</v>
      </c>
      <c r="E68" s="316">
        <v>1</v>
      </c>
      <c r="F68" s="300">
        <f t="shared" si="1"/>
        <v>0</v>
      </c>
      <c r="G68" s="842"/>
      <c r="H68" s="2369"/>
      <c r="I68" s="2643"/>
    </row>
    <row r="69" spans="1:9" ht="15" customHeight="1" thickBot="1" x14ac:dyDescent="0.25">
      <c r="A69" s="2328"/>
      <c r="B69" s="2328"/>
      <c r="C69" s="951" t="str">
        <f>F!C288</f>
        <v>&gt;95% of the AA with or without inhabited building nearby.</v>
      </c>
      <c r="D69" s="152">
        <f>F!D288</f>
        <v>1</v>
      </c>
      <c r="E69" s="317">
        <v>0</v>
      </c>
      <c r="F69" s="301">
        <f t="shared" si="1"/>
        <v>0</v>
      </c>
      <c r="G69" s="843"/>
      <c r="H69" s="2370"/>
      <c r="I69" s="2689"/>
    </row>
    <row r="70" spans="1:9" ht="21" customHeight="1" thickBot="1" x14ac:dyDescent="0.25">
      <c r="A70" s="2327" t="str">
        <f>F!A289</f>
        <v>F61</v>
      </c>
      <c r="B70" s="2327" t="str">
        <f>F!B289</f>
        <v>Frequently Visited Area</v>
      </c>
      <c r="C70" s="368" t="str">
        <f>F!C289</f>
        <v>The part of the AA visited by humans almost daily for several weeks during an average growing season probably comprises:  [See note above.]</v>
      </c>
      <c r="D70" s="1058"/>
      <c r="E70" s="299"/>
      <c r="F70" s="302"/>
      <c r="G70" s="839">
        <f>MAX(F71:F74)/MAX(E71:E74)</f>
        <v>0</v>
      </c>
      <c r="H70" s="2368" t="s">
        <v>531</v>
      </c>
      <c r="I70" s="2552"/>
    </row>
    <row r="71" spans="1:9" ht="15" customHeight="1" x14ac:dyDescent="0.2">
      <c r="A71" s="2327"/>
      <c r="B71" s="2327"/>
      <c r="C71" s="1242" t="str">
        <f>F!C290</f>
        <v>&lt;5%. If F60 was answered "&gt;95%" (mostly never visited), SKIP to F64.</v>
      </c>
      <c r="D71" s="571">
        <f>F!D290</f>
        <v>1</v>
      </c>
      <c r="E71" s="316">
        <v>0</v>
      </c>
      <c r="F71" s="300">
        <f>D71*E71</f>
        <v>0</v>
      </c>
      <c r="G71" s="841"/>
      <c r="H71" s="2369"/>
      <c r="I71" s="2643"/>
    </row>
    <row r="72" spans="1:9" ht="15" customHeight="1" x14ac:dyDescent="0.2">
      <c r="A72" s="2327"/>
      <c r="B72" s="2327"/>
      <c r="C72" s="1129" t="str">
        <f>F!C291</f>
        <v>5-50%.</v>
      </c>
      <c r="D72" s="70">
        <f>F!D291</f>
        <v>0</v>
      </c>
      <c r="E72" s="316">
        <v>1</v>
      </c>
      <c r="F72" s="300">
        <f>D72*E72</f>
        <v>0</v>
      </c>
      <c r="G72" s="842"/>
      <c r="H72" s="2369"/>
      <c r="I72" s="2643"/>
    </row>
    <row r="73" spans="1:9" ht="15" customHeight="1" x14ac:dyDescent="0.2">
      <c r="A73" s="2327"/>
      <c r="B73" s="2327"/>
      <c r="C73" s="1129" t="str">
        <f>F!C292</f>
        <v>50-95%.</v>
      </c>
      <c r="D73" s="70">
        <f>F!D292</f>
        <v>0</v>
      </c>
      <c r="E73" s="316">
        <v>3</v>
      </c>
      <c r="F73" s="300">
        <f>D73*E73</f>
        <v>0</v>
      </c>
      <c r="G73" s="842"/>
      <c r="H73" s="2369"/>
      <c r="I73" s="2643"/>
    </row>
    <row r="74" spans="1:9" ht="15" customHeight="1" thickBot="1" x14ac:dyDescent="0.25">
      <c r="A74" s="2327"/>
      <c r="B74" s="2327"/>
      <c r="C74" s="951" t="str">
        <f>F!C293</f>
        <v>&gt;95% of the AA.</v>
      </c>
      <c r="D74" s="152">
        <f>F!D293</f>
        <v>0</v>
      </c>
      <c r="E74" s="458">
        <v>3</v>
      </c>
      <c r="F74" s="303">
        <f>D74*E74</f>
        <v>0</v>
      </c>
      <c r="G74" s="844"/>
      <c r="H74" s="2370"/>
      <c r="I74" s="2689"/>
    </row>
    <row r="75" spans="1:9" ht="30" customHeight="1" thickBot="1" x14ac:dyDescent="0.25">
      <c r="A75" s="280" t="str">
        <f>S!A3</f>
        <v>S1</v>
      </c>
      <c r="B75" s="201" t="str">
        <f>S!B3</f>
        <v>Aberrant Timing of Water Inputs</v>
      </c>
      <c r="C75" s="547" t="s">
        <v>2585</v>
      </c>
      <c r="D75" s="202">
        <f>S!F24</f>
        <v>0.25</v>
      </c>
      <c r="E75" s="323"/>
      <c r="F75" s="312"/>
      <c r="G75" s="837">
        <f>D75</f>
        <v>0.25</v>
      </c>
      <c r="H75" s="3137" t="s">
        <v>536</v>
      </c>
      <c r="I75" s="3138"/>
    </row>
    <row r="76" spans="1:9" ht="30" customHeight="1" thickBot="1" x14ac:dyDescent="0.25">
      <c r="A76" s="845" t="str">
        <f>S!A25</f>
        <v>S2</v>
      </c>
      <c r="B76" s="628" t="str">
        <f>S!B25</f>
        <v>Accelerated Inputs of Contaminants and/or Salts</v>
      </c>
      <c r="C76" s="547" t="s">
        <v>2585</v>
      </c>
      <c r="D76" s="1959">
        <f>S!F37</f>
        <v>0.33333333333333331</v>
      </c>
      <c r="E76" s="319"/>
      <c r="F76" s="313"/>
      <c r="G76" s="838">
        <f>D76</f>
        <v>0.33333333333333331</v>
      </c>
      <c r="H76" s="3137" t="s">
        <v>537</v>
      </c>
      <c r="I76" s="3138"/>
    </row>
    <row r="77" spans="1:9" ht="30" customHeight="1" thickBot="1" x14ac:dyDescent="0.25">
      <c r="A77" s="280" t="str">
        <f>S!A38</f>
        <v>S3</v>
      </c>
      <c r="B77" s="201" t="str">
        <f>S!B38</f>
        <v>Accelerated Inputs of Nutrients</v>
      </c>
      <c r="C77" s="547" t="s">
        <v>2585</v>
      </c>
      <c r="D77" s="202">
        <f>S!F50</f>
        <v>0.33333333333333331</v>
      </c>
      <c r="E77" s="323"/>
      <c r="F77" s="312"/>
      <c r="G77" s="837">
        <f>D77</f>
        <v>0.33333333333333331</v>
      </c>
      <c r="H77" s="3137" t="s">
        <v>988</v>
      </c>
      <c r="I77" s="3138"/>
    </row>
    <row r="78" spans="1:9" ht="45" customHeight="1" thickBot="1" x14ac:dyDescent="0.25">
      <c r="A78" s="845" t="str">
        <f>S!A51</f>
        <v>S4</v>
      </c>
      <c r="B78" s="628" t="str">
        <f>S!B51</f>
        <v>Excessive Sediment Loading from Contributing Area</v>
      </c>
      <c r="C78" s="547" t="s">
        <v>2585</v>
      </c>
      <c r="D78" s="1959">
        <f>S!F68</f>
        <v>0.58333333333333337</v>
      </c>
      <c r="E78" s="319"/>
      <c r="F78" s="313"/>
      <c r="G78" s="838">
        <f>D78</f>
        <v>0.58333333333333337</v>
      </c>
      <c r="H78" s="3137" t="s">
        <v>538</v>
      </c>
      <c r="I78" s="3138"/>
    </row>
    <row r="79" spans="1:9" ht="45" customHeight="1" thickBot="1" x14ac:dyDescent="0.25">
      <c r="A79" s="199" t="str">
        <f>S!A69</f>
        <v>S5</v>
      </c>
      <c r="B79" s="201" t="str">
        <f>S!B69</f>
        <v>Soil or Sediment Alteration Within the Assessment Area</v>
      </c>
      <c r="C79" s="547" t="s">
        <v>2585</v>
      </c>
      <c r="D79" s="202">
        <f>S!F86</f>
        <v>0.83333333333333337</v>
      </c>
      <c r="E79" s="323"/>
      <c r="F79" s="312"/>
      <c r="G79" s="837">
        <f>D79</f>
        <v>0.83333333333333337</v>
      </c>
      <c r="H79" s="3137" t="s">
        <v>539</v>
      </c>
      <c r="I79" s="3138"/>
    </row>
    <row r="80" spans="1:9" ht="21" customHeight="1" thickBot="1" x14ac:dyDescent="0.25">
      <c r="A80" s="2545"/>
      <c r="B80" s="2545"/>
      <c r="C80" s="2545"/>
      <c r="D80" s="3135"/>
      <c r="E80" s="3135"/>
      <c r="F80" s="3135"/>
      <c r="G80" s="3135"/>
      <c r="H80" s="3136"/>
    </row>
    <row r="81" spans="1:9" ht="30" customHeight="1" x14ac:dyDescent="0.2">
      <c r="A81" s="2560"/>
      <c r="B81" s="2560"/>
      <c r="C81" s="2560"/>
      <c r="D81" s="3133" t="s">
        <v>989</v>
      </c>
      <c r="E81" s="3134"/>
      <c r="F81" s="3134"/>
      <c r="G81" s="1436">
        <f>AVERAGE(AltTiming,Constricted)</f>
        <v>0.125</v>
      </c>
      <c r="H81" s="2149" t="s">
        <v>2331</v>
      </c>
      <c r="I81" s="2150" t="s">
        <v>2174</v>
      </c>
    </row>
    <row r="82" spans="1:9" ht="30" customHeight="1" x14ac:dyDescent="0.2">
      <c r="A82" s="2560"/>
      <c r="B82" s="2560"/>
      <c r="C82" s="2560"/>
      <c r="D82" s="3131" t="s">
        <v>990</v>
      </c>
      <c r="E82" s="3132"/>
      <c r="F82" s="3132"/>
      <c r="G82" s="1437">
        <f>AVERAGE(Toxic, ToxicData, Enrich, SedLoad,SoilDisturb,CAimperv,BuffDisturbTyp)</f>
        <v>0.34722222222222227</v>
      </c>
      <c r="H82" s="2148" t="s">
        <v>2043</v>
      </c>
      <c r="I82" s="1852" t="s">
        <v>2175</v>
      </c>
    </row>
    <row r="83" spans="1:9" ht="30" customHeight="1" x14ac:dyDescent="0.2">
      <c r="A83" s="2560"/>
      <c r="B83" s="2560"/>
      <c r="C83" s="2560"/>
      <c r="D83" s="3131" t="s">
        <v>991</v>
      </c>
      <c r="E83" s="3132"/>
      <c r="F83" s="3132"/>
      <c r="G83" s="1437">
        <f>AVERAGE(NatVegCA,WeedSource,RdBox)</f>
        <v>0.66666666666666663</v>
      </c>
      <c r="H83" s="2148" t="s">
        <v>2044</v>
      </c>
      <c r="I83" s="1852" t="s">
        <v>2176</v>
      </c>
    </row>
    <row r="84" spans="1:9" ht="30" customHeight="1" thickBot="1" x14ac:dyDescent="0.25">
      <c r="A84" s="2560"/>
      <c r="B84" s="2560"/>
      <c r="C84" s="2560"/>
      <c r="D84" s="3129" t="s">
        <v>992</v>
      </c>
      <c r="E84" s="3130"/>
      <c r="F84" s="3130"/>
      <c r="G84" s="1438">
        <f>AVERAGE(RecUse, Core1,Core2,DistRd, VisibWet, PopCtrDist, OwnerSS,BurnHist)</f>
        <v>0.26250000000000001</v>
      </c>
      <c r="H84" s="2151" t="s">
        <v>2045</v>
      </c>
      <c r="I84" s="2152" t="s">
        <v>2177</v>
      </c>
    </row>
    <row r="85" spans="1:9" ht="21" customHeight="1" thickBot="1" x14ac:dyDescent="0.25">
      <c r="A85" s="2560"/>
      <c r="B85" s="2560"/>
      <c r="C85" s="2560"/>
      <c r="D85" s="2560"/>
      <c r="E85" s="2560"/>
      <c r="F85" s="2560"/>
      <c r="G85" s="2560"/>
      <c r="H85" s="2560"/>
      <c r="I85" s="3"/>
    </row>
    <row r="86" spans="1:9" ht="30" customHeight="1" thickBot="1" x14ac:dyDescent="0.25">
      <c r="A86" s="2685"/>
      <c r="B86" s="2582"/>
      <c r="C86" s="3139" t="s">
        <v>2445</v>
      </c>
      <c r="D86" s="3140"/>
      <c r="E86" s="3141"/>
      <c r="F86" s="1410" t="s">
        <v>2042</v>
      </c>
      <c r="G86" s="1411">
        <f>10*((MAX(HydroStress, WQstress,FragStress,DisturbStress) + AVERAGE(HydroStress, WQstress,FragStress,DisturbStress))/2)</f>
        <v>5.0850694444444446</v>
      </c>
      <c r="H86" s="2721" t="s">
        <v>2046</v>
      </c>
      <c r="I86" s="2722"/>
    </row>
    <row r="87" spans="1:9" ht="21" customHeight="1" x14ac:dyDescent="0.2">
      <c r="B87" s="6"/>
      <c r="C87" s="3128"/>
      <c r="D87" s="3128"/>
      <c r="E87" s="3128"/>
      <c r="F87" s="3128"/>
      <c r="G87" s="3128"/>
      <c r="H87" s="2812"/>
    </row>
    <row r="89" spans="1:9" x14ac:dyDescent="0.2">
      <c r="I89" s="3"/>
    </row>
    <row r="90" spans="1:9" x14ac:dyDescent="0.2">
      <c r="I90" s="3"/>
    </row>
    <row r="91" spans="1:9" x14ac:dyDescent="0.2">
      <c r="I91" s="3"/>
    </row>
    <row r="92" spans="1:9" x14ac:dyDescent="0.2">
      <c r="I92" s="3"/>
    </row>
    <row r="93" spans="1:9" x14ac:dyDescent="0.2">
      <c r="I93" s="3"/>
    </row>
  </sheetData>
  <sheetProtection algorithmName="SHA-512" hashValue="CfCtis1V4sFAAE5IAx3sxYDIWe0+Q7dbrVnVM5XH6ZHHKez/3K6+YAexhARVk6vV2r761bQmv0AEAxmvMK/Rcg==" saltValue="4TAL2CdpfVALYKNTTJ5cCA==" spinCount="100000" sheet="1" formatCells="0" formatColumns="0" formatRows="0"/>
  <customSheetViews>
    <customSheetView guid="{B8E02330-2419-4DE6-AD01-7ACC7A5D18DD}" scale="75">
      <selection activeCell="H8" sqref="H8"/>
      <pageMargins left="0.75" right="0.75" top="1" bottom="1" header="0.5" footer="0.5"/>
      <pageSetup orientation="portrait" r:id="rId1"/>
      <headerFooter alignWithMargins="0"/>
    </customSheetView>
  </customSheetViews>
  <mergeCells count="62">
    <mergeCell ref="H86:I86"/>
    <mergeCell ref="H58:I62"/>
    <mergeCell ref="H63:I69"/>
    <mergeCell ref="H70:I74"/>
    <mergeCell ref="H46:I48"/>
    <mergeCell ref="H49:I53"/>
    <mergeCell ref="H54:I57"/>
    <mergeCell ref="H26:I30"/>
    <mergeCell ref="H77:I77"/>
    <mergeCell ref="H17:I21"/>
    <mergeCell ref="H31:I35"/>
    <mergeCell ref="H22:I25"/>
    <mergeCell ref="H36:I39"/>
    <mergeCell ref="H40:I45"/>
    <mergeCell ref="H2:I2"/>
    <mergeCell ref="E1:I1"/>
    <mergeCell ref="H3:I8"/>
    <mergeCell ref="H9:I15"/>
    <mergeCell ref="H16:I16"/>
    <mergeCell ref="C87:H87"/>
    <mergeCell ref="D84:F84"/>
    <mergeCell ref="D82:F82"/>
    <mergeCell ref="A70:A74"/>
    <mergeCell ref="B70:B74"/>
    <mergeCell ref="D83:F83"/>
    <mergeCell ref="D81:F81"/>
    <mergeCell ref="D85:H85"/>
    <mergeCell ref="D80:H80"/>
    <mergeCell ref="A80:C85"/>
    <mergeCell ref="H75:I75"/>
    <mergeCell ref="H76:I76"/>
    <mergeCell ref="A86:B86"/>
    <mergeCell ref="C86:E86"/>
    <mergeCell ref="H78:I78"/>
    <mergeCell ref="H79:I79"/>
    <mergeCell ref="A63:A69"/>
    <mergeCell ref="A22:A25"/>
    <mergeCell ref="A31:A35"/>
    <mergeCell ref="B63:B69"/>
    <mergeCell ref="B31:B35"/>
    <mergeCell ref="B40:B45"/>
    <mergeCell ref="B22:B25"/>
    <mergeCell ref="A58:A62"/>
    <mergeCell ref="B58:B62"/>
    <mergeCell ref="B54:B57"/>
    <mergeCell ref="B26:B30"/>
    <mergeCell ref="B46:B48"/>
    <mergeCell ref="A54:A57"/>
    <mergeCell ref="A26:A30"/>
    <mergeCell ref="A46:A48"/>
    <mergeCell ref="A49:A53"/>
    <mergeCell ref="B49:B53"/>
    <mergeCell ref="A1:B1"/>
    <mergeCell ref="B3:B8"/>
    <mergeCell ref="A3:A8"/>
    <mergeCell ref="A9:A15"/>
    <mergeCell ref="A40:A45"/>
    <mergeCell ref="B9:B15"/>
    <mergeCell ref="B17:B21"/>
    <mergeCell ref="A17:A21"/>
    <mergeCell ref="A36:A39"/>
    <mergeCell ref="B36:B39"/>
  </mergeCells>
  <phoneticPr fontId="3" type="noConversion"/>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73E0A-908A-416B-8400-7407354CFE89}">
  <dimension ref="A18:I81"/>
  <sheetViews>
    <sheetView workbookViewId="0">
      <selection activeCell="B18" sqref="B18"/>
    </sheetView>
  </sheetViews>
  <sheetFormatPr defaultRowHeight="12.75" x14ac:dyDescent="0.2"/>
  <sheetData>
    <row r="18" spans="1:9" x14ac:dyDescent="0.2">
      <c r="A18" t="s">
        <v>3019</v>
      </c>
      <c r="I18" t="s">
        <v>3020</v>
      </c>
    </row>
    <row r="37" spans="1:9" x14ac:dyDescent="0.2">
      <c r="A37" t="s">
        <v>3021</v>
      </c>
    </row>
    <row r="43" spans="1:9" x14ac:dyDescent="0.2">
      <c r="I43" t="s">
        <v>3022</v>
      </c>
    </row>
    <row r="62" spans="1:9" x14ac:dyDescent="0.2">
      <c r="A62" t="s">
        <v>3023</v>
      </c>
      <c r="I62" t="s">
        <v>3024</v>
      </c>
    </row>
    <row r="81" spans="1:1" x14ac:dyDescent="0.2">
      <c r="A81" t="s">
        <v>3025</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92D050"/>
  </sheetPr>
  <dimension ref="A1:CM182"/>
  <sheetViews>
    <sheetView zoomScaleNormal="100" workbookViewId="0">
      <selection sqref="A1:B1"/>
    </sheetView>
  </sheetViews>
  <sheetFormatPr defaultColWidth="9.33203125" defaultRowHeight="15" customHeight="1" x14ac:dyDescent="0.2"/>
  <cols>
    <col min="1" max="1" width="5.83203125" style="1613" customWidth="1"/>
    <col min="2" max="2" width="18.83203125" style="1615" customWidth="1"/>
    <col min="3" max="3" width="100.83203125" style="1615" customWidth="1"/>
    <col min="4" max="4" width="7.83203125" style="1616" customWidth="1"/>
    <col min="5" max="5" width="73.83203125" style="1615" customWidth="1"/>
    <col min="6" max="6" width="11.33203125" style="1597" customWidth="1"/>
    <col min="7" max="7" width="98.1640625" style="1597" customWidth="1"/>
    <col min="8" max="91" width="9.33203125" style="1597"/>
    <col min="92" max="16384" width="9.33203125" style="1598"/>
  </cols>
  <sheetData>
    <row r="1" spans="1:91" s="1596" customFormat="1" ht="30" customHeight="1" thickBot="1" x14ac:dyDescent="0.25">
      <c r="A1" s="2335" t="s">
        <v>3013</v>
      </c>
      <c r="B1" s="2336"/>
      <c r="C1" s="1614" t="s">
        <v>3014</v>
      </c>
      <c r="D1" s="2337" t="s">
        <v>3015</v>
      </c>
      <c r="E1" s="2338"/>
      <c r="F1" s="1595"/>
      <c r="G1" s="1595"/>
      <c r="H1" s="1595"/>
      <c r="I1" s="1595"/>
      <c r="J1" s="1595"/>
      <c r="K1" s="1595"/>
      <c r="L1" s="1595"/>
      <c r="M1" s="1595"/>
      <c r="N1" s="1595"/>
      <c r="O1" s="1595"/>
      <c r="P1" s="1595"/>
      <c r="Q1" s="1595"/>
      <c r="R1" s="1595"/>
      <c r="S1" s="1595"/>
      <c r="T1" s="1595"/>
      <c r="U1" s="1595"/>
      <c r="V1" s="1595"/>
      <c r="W1" s="1595"/>
      <c r="X1" s="1595"/>
      <c r="Y1" s="1595"/>
      <c r="Z1" s="1595"/>
      <c r="AA1" s="1595"/>
      <c r="AB1" s="1595"/>
      <c r="AC1" s="1595"/>
      <c r="AD1" s="1595"/>
      <c r="AE1" s="1595"/>
      <c r="AF1" s="1595"/>
      <c r="AG1" s="1595"/>
      <c r="AH1" s="1595"/>
      <c r="AI1" s="1595"/>
      <c r="AJ1" s="1595"/>
      <c r="AK1" s="1595"/>
      <c r="AL1" s="1595"/>
      <c r="AM1" s="1595"/>
      <c r="AN1" s="1595"/>
      <c r="AO1" s="1595"/>
      <c r="AP1" s="1595"/>
      <c r="AQ1" s="1595"/>
      <c r="AR1" s="1595"/>
      <c r="AS1" s="1595"/>
      <c r="AT1" s="1595"/>
      <c r="AU1" s="1595"/>
      <c r="AV1" s="1595"/>
      <c r="AW1" s="1595"/>
      <c r="AX1" s="1595"/>
      <c r="AY1" s="1595"/>
      <c r="AZ1" s="1595"/>
      <c r="BA1" s="1595"/>
      <c r="BB1" s="1595"/>
      <c r="BC1" s="1595"/>
      <c r="BD1" s="1595"/>
      <c r="BE1" s="1595"/>
      <c r="BF1" s="1595"/>
      <c r="BG1" s="1595"/>
      <c r="BH1" s="1595"/>
      <c r="BI1" s="1595"/>
      <c r="BJ1" s="1595"/>
      <c r="BK1" s="1595"/>
      <c r="BL1" s="1595"/>
      <c r="BM1" s="1595"/>
      <c r="BN1" s="1595"/>
      <c r="BO1" s="1595"/>
      <c r="BP1" s="1595"/>
      <c r="BQ1" s="1595"/>
      <c r="BR1" s="1595"/>
      <c r="BS1" s="1595"/>
      <c r="BT1" s="1595"/>
      <c r="BU1" s="1595"/>
      <c r="BV1" s="1595"/>
      <c r="BW1" s="1595"/>
      <c r="BX1" s="1595"/>
      <c r="BY1" s="1595"/>
      <c r="BZ1" s="1595"/>
      <c r="CA1" s="1595"/>
      <c r="CB1" s="1595"/>
      <c r="CC1" s="1595"/>
      <c r="CD1" s="1595"/>
      <c r="CE1" s="1595"/>
      <c r="CF1" s="1595"/>
      <c r="CG1" s="1595"/>
      <c r="CH1" s="1595"/>
      <c r="CI1" s="1595"/>
      <c r="CJ1" s="1595"/>
      <c r="CK1" s="1595"/>
      <c r="CL1" s="1595"/>
      <c r="CM1" s="1595"/>
    </row>
    <row r="2" spans="1:91" ht="162.75" customHeight="1" thickBot="1" x14ac:dyDescent="0.25">
      <c r="A2" s="2342" t="s">
        <v>2889</v>
      </c>
      <c r="B2" s="2343"/>
      <c r="C2" s="2343"/>
      <c r="D2" s="2343"/>
      <c r="E2" s="2344"/>
      <c r="F2" s="1790"/>
      <c r="G2" s="1791"/>
    </row>
    <row r="3" spans="1:91" s="1599" customFormat="1" ht="30" customHeight="1" thickBot="1" x14ac:dyDescent="0.25">
      <c r="A3" s="1998" t="s">
        <v>1117</v>
      </c>
      <c r="B3" s="1999" t="s">
        <v>959</v>
      </c>
      <c r="C3" s="2166" t="s">
        <v>1165</v>
      </c>
      <c r="D3" s="2000" t="s">
        <v>45</v>
      </c>
      <c r="E3" s="2001" t="s">
        <v>1896</v>
      </c>
      <c r="F3" s="1789" t="s">
        <v>2424</v>
      </c>
      <c r="G3" s="1788" t="s">
        <v>2425</v>
      </c>
    </row>
    <row r="4" spans="1:91" s="1600" customFormat="1" ht="21" customHeight="1" thickBot="1" x14ac:dyDescent="0.25">
      <c r="A4" s="2323" t="s">
        <v>618</v>
      </c>
      <c r="B4" s="2329" t="s">
        <v>2299</v>
      </c>
      <c r="C4" s="2167" t="s">
        <v>2467</v>
      </c>
      <c r="D4" s="2197"/>
      <c r="E4" s="2329" t="s">
        <v>2554</v>
      </c>
      <c r="F4" s="2206"/>
      <c r="G4" s="2329"/>
    </row>
    <row r="5" spans="1:91" s="1600" customFormat="1" ht="15" customHeight="1" x14ac:dyDescent="0.2">
      <c r="A5" s="2324"/>
      <c r="B5" s="2330"/>
      <c r="C5" s="1869" t="s">
        <v>2905</v>
      </c>
      <c r="D5" s="2198">
        <v>1</v>
      </c>
      <c r="E5" s="2330"/>
      <c r="F5" s="2207" t="s">
        <v>2929</v>
      </c>
      <c r="G5" s="2330"/>
    </row>
    <row r="6" spans="1:91" s="1600" customFormat="1" ht="15" customHeight="1" x14ac:dyDescent="0.2">
      <c r="A6" s="2324"/>
      <c r="B6" s="2330"/>
      <c r="C6" s="1772" t="s">
        <v>2906</v>
      </c>
      <c r="D6" s="2198">
        <v>0</v>
      </c>
      <c r="E6" s="2330"/>
      <c r="F6" s="2207" t="s">
        <v>2930</v>
      </c>
      <c r="G6" s="2330"/>
    </row>
    <row r="7" spans="1:91" s="1600" customFormat="1" ht="15" customHeight="1" x14ac:dyDescent="0.2">
      <c r="A7" s="2324"/>
      <c r="B7" s="2330"/>
      <c r="C7" s="1772" t="s">
        <v>2907</v>
      </c>
      <c r="D7" s="2198">
        <v>0</v>
      </c>
      <c r="E7" s="2330"/>
      <c r="F7" s="2207" t="s">
        <v>2931</v>
      </c>
      <c r="G7" s="2330"/>
    </row>
    <row r="8" spans="1:91" s="1600" customFormat="1" ht="15" customHeight="1" thickBot="1" x14ac:dyDescent="0.25">
      <c r="A8" s="2325"/>
      <c r="B8" s="2331"/>
      <c r="C8" s="1773" t="s">
        <v>2908</v>
      </c>
      <c r="D8" s="2198">
        <v>0</v>
      </c>
      <c r="E8" s="2331"/>
      <c r="F8" s="2208" t="s">
        <v>2932</v>
      </c>
      <c r="G8" s="2331"/>
    </row>
    <row r="9" spans="1:91" s="1602" customFormat="1" ht="28.5" customHeight="1" thickBot="1" x14ac:dyDescent="0.25">
      <c r="A9" s="2323" t="s">
        <v>619</v>
      </c>
      <c r="B9" s="2329" t="s">
        <v>2484</v>
      </c>
      <c r="C9" s="1774" t="s">
        <v>2491</v>
      </c>
      <c r="D9" s="2197"/>
      <c r="E9" s="2329" t="s">
        <v>2890</v>
      </c>
      <c r="F9" s="2329"/>
      <c r="G9" s="2329" t="s">
        <v>912</v>
      </c>
      <c r="H9" s="1601"/>
      <c r="I9" s="1601"/>
      <c r="J9" s="1601"/>
      <c r="K9" s="1601"/>
      <c r="L9" s="1601"/>
      <c r="M9" s="1601"/>
      <c r="N9" s="1601"/>
      <c r="O9" s="1601"/>
      <c r="P9" s="1601"/>
      <c r="Q9" s="1601"/>
      <c r="R9" s="1601"/>
      <c r="S9" s="1601"/>
      <c r="T9" s="1601"/>
      <c r="U9" s="1601"/>
      <c r="V9" s="1601"/>
      <c r="W9" s="1601"/>
      <c r="X9" s="1601"/>
      <c r="Y9" s="1601"/>
      <c r="Z9" s="1601"/>
      <c r="AA9" s="1601"/>
      <c r="AB9" s="1601"/>
      <c r="AC9" s="1601"/>
      <c r="AD9" s="1601"/>
      <c r="AE9" s="1601"/>
      <c r="AF9" s="1601"/>
      <c r="AG9" s="1601"/>
      <c r="AH9" s="1601"/>
      <c r="AI9" s="1601"/>
      <c r="AJ9" s="1601"/>
      <c r="AK9" s="1601"/>
      <c r="AL9" s="1601"/>
      <c r="AM9" s="1601"/>
      <c r="AN9" s="1601"/>
      <c r="AO9" s="1601"/>
      <c r="AP9" s="1601"/>
      <c r="AQ9" s="1601"/>
      <c r="AR9" s="1601"/>
      <c r="AS9" s="1601"/>
      <c r="AT9" s="1601"/>
      <c r="AU9" s="1601"/>
      <c r="AV9" s="1601"/>
      <c r="AW9" s="1601"/>
      <c r="AX9" s="1601"/>
      <c r="AY9" s="1601"/>
      <c r="AZ9" s="1601"/>
      <c r="BA9" s="1601"/>
      <c r="BB9" s="1601"/>
      <c r="BC9" s="1601"/>
      <c r="BD9" s="1601"/>
      <c r="BE9" s="1601"/>
      <c r="BF9" s="1601"/>
      <c r="BG9" s="1601"/>
      <c r="BH9" s="1601"/>
      <c r="BI9" s="1601"/>
      <c r="BJ9" s="1601"/>
      <c r="BK9" s="1601"/>
      <c r="BL9" s="1601"/>
      <c r="BM9" s="1601"/>
      <c r="BN9" s="1601"/>
      <c r="BO9" s="1601"/>
      <c r="BP9" s="1601"/>
      <c r="BQ9" s="1601"/>
      <c r="BR9" s="1601"/>
      <c r="BS9" s="1601"/>
      <c r="BT9" s="1601"/>
      <c r="BU9" s="1601"/>
      <c r="BV9" s="1601"/>
      <c r="BW9" s="1601"/>
      <c r="BX9" s="1601"/>
      <c r="BY9" s="1601"/>
      <c r="BZ9" s="1601"/>
      <c r="CA9" s="1601"/>
      <c r="CB9" s="1601"/>
      <c r="CC9" s="1601"/>
      <c r="CD9" s="1601"/>
      <c r="CE9" s="1601"/>
      <c r="CF9" s="1601"/>
      <c r="CG9" s="1601"/>
      <c r="CH9" s="1601"/>
      <c r="CI9" s="1601"/>
      <c r="CJ9" s="1601"/>
      <c r="CK9" s="1601"/>
      <c r="CL9" s="1601"/>
      <c r="CM9" s="1601"/>
    </row>
    <row r="10" spans="1:91" s="1602" customFormat="1" ht="15" customHeight="1" thickBot="1" x14ac:dyDescent="0.25">
      <c r="A10" s="2324"/>
      <c r="B10" s="2330"/>
      <c r="C10" s="2168" t="s">
        <v>2617</v>
      </c>
      <c r="D10" s="2198">
        <v>1</v>
      </c>
      <c r="E10" s="2330"/>
      <c r="F10" s="2330"/>
      <c r="G10" s="2330"/>
      <c r="H10" s="1601"/>
      <c r="I10" s="1601"/>
      <c r="J10" s="1601"/>
      <c r="K10" s="1601"/>
      <c r="L10" s="1601"/>
      <c r="M10" s="1601"/>
      <c r="N10" s="1601"/>
      <c r="O10" s="1601"/>
      <c r="P10" s="1601"/>
      <c r="Q10" s="1601"/>
      <c r="R10" s="1601"/>
      <c r="S10" s="1601"/>
      <c r="T10" s="1601"/>
      <c r="U10" s="1601"/>
      <c r="V10" s="1601"/>
      <c r="W10" s="1601"/>
      <c r="X10" s="1601"/>
      <c r="Y10" s="1601"/>
      <c r="Z10" s="1601"/>
      <c r="AA10" s="1601"/>
      <c r="AB10" s="1601"/>
      <c r="AC10" s="1601"/>
      <c r="AD10" s="1601"/>
      <c r="AE10" s="1601"/>
      <c r="AF10" s="1601"/>
      <c r="AG10" s="1601"/>
      <c r="AH10" s="1601"/>
      <c r="AI10" s="1601"/>
      <c r="AJ10" s="1601"/>
      <c r="AK10" s="1601"/>
      <c r="AL10" s="1601"/>
      <c r="AM10" s="1601"/>
      <c r="AN10" s="1601"/>
      <c r="AO10" s="1601"/>
      <c r="AP10" s="1601"/>
      <c r="AQ10" s="1601"/>
      <c r="AR10" s="1601"/>
      <c r="AS10" s="1601"/>
      <c r="AT10" s="1601"/>
      <c r="AU10" s="1601"/>
      <c r="AV10" s="1601"/>
      <c r="AW10" s="1601"/>
      <c r="AX10" s="1601"/>
      <c r="AY10" s="1601"/>
      <c r="AZ10" s="1601"/>
      <c r="BA10" s="1601"/>
      <c r="BB10" s="1601"/>
      <c r="BC10" s="1601"/>
      <c r="BD10" s="1601"/>
      <c r="BE10" s="1601"/>
      <c r="BF10" s="1601"/>
      <c r="BG10" s="1601"/>
      <c r="BH10" s="1601"/>
      <c r="BI10" s="1601"/>
      <c r="BJ10" s="1601"/>
      <c r="BK10" s="1601"/>
      <c r="BL10" s="1601"/>
      <c r="BM10" s="1601"/>
      <c r="BN10" s="1601"/>
      <c r="BO10" s="1601"/>
      <c r="BP10" s="1601"/>
      <c r="BQ10" s="1601"/>
      <c r="BR10" s="1601"/>
      <c r="BS10" s="1601"/>
      <c r="BT10" s="1601"/>
      <c r="BU10" s="1601"/>
      <c r="BV10" s="1601"/>
      <c r="BW10" s="1601"/>
      <c r="BX10" s="1601"/>
      <c r="BY10" s="1601"/>
      <c r="BZ10" s="1601"/>
      <c r="CA10" s="1601"/>
      <c r="CB10" s="1601"/>
      <c r="CC10" s="1601"/>
      <c r="CD10" s="1601"/>
      <c r="CE10" s="1601"/>
      <c r="CF10" s="1601"/>
      <c r="CG10" s="1601"/>
      <c r="CH10" s="1601"/>
      <c r="CI10" s="1601"/>
      <c r="CJ10" s="1601"/>
      <c r="CK10" s="1601"/>
      <c r="CL10" s="1601"/>
      <c r="CM10" s="1601"/>
    </row>
    <row r="11" spans="1:91" s="1602" customFormat="1" ht="15" customHeight="1" thickBot="1" x14ac:dyDescent="0.25">
      <c r="A11" s="2324"/>
      <c r="B11" s="2330"/>
      <c r="C11" s="2169" t="s">
        <v>2618</v>
      </c>
      <c r="D11" s="2198">
        <v>0</v>
      </c>
      <c r="E11" s="2330"/>
      <c r="F11" s="2330"/>
      <c r="G11" s="2330"/>
      <c r="H11" s="1601"/>
      <c r="I11" s="1601"/>
      <c r="J11" s="1601"/>
      <c r="K11" s="1601"/>
      <c r="L11" s="1601"/>
      <c r="M11" s="1601"/>
      <c r="N11" s="1601"/>
      <c r="O11" s="1601"/>
      <c r="P11" s="1601"/>
      <c r="Q11" s="1601"/>
      <c r="R11" s="1601"/>
      <c r="S11" s="1601"/>
      <c r="T11" s="1601"/>
      <c r="U11" s="1601"/>
      <c r="V11" s="1601"/>
      <c r="W11" s="1601"/>
      <c r="X11" s="1601"/>
      <c r="Y11" s="1601"/>
      <c r="Z11" s="1601"/>
      <c r="AA11" s="1601"/>
      <c r="AB11" s="1601"/>
      <c r="AC11" s="1601"/>
      <c r="AD11" s="1601"/>
      <c r="AE11" s="1601"/>
      <c r="AF11" s="1601"/>
      <c r="AG11" s="1601"/>
      <c r="AH11" s="1601"/>
      <c r="AI11" s="1601"/>
      <c r="AJ11" s="1601"/>
      <c r="AK11" s="1601"/>
      <c r="AL11" s="1601"/>
      <c r="AM11" s="1601"/>
      <c r="AN11" s="1601"/>
      <c r="AO11" s="1601"/>
      <c r="AP11" s="1601"/>
      <c r="AQ11" s="1601"/>
      <c r="AR11" s="1601"/>
      <c r="AS11" s="1601"/>
      <c r="AT11" s="1601"/>
      <c r="AU11" s="1601"/>
      <c r="AV11" s="1601"/>
      <c r="AW11" s="1601"/>
      <c r="AX11" s="1601"/>
      <c r="AY11" s="1601"/>
      <c r="AZ11" s="1601"/>
      <c r="BA11" s="1601"/>
      <c r="BB11" s="1601"/>
      <c r="BC11" s="1601"/>
      <c r="BD11" s="1601"/>
      <c r="BE11" s="1601"/>
      <c r="BF11" s="1601"/>
      <c r="BG11" s="1601"/>
      <c r="BH11" s="1601"/>
      <c r="BI11" s="1601"/>
      <c r="BJ11" s="1601"/>
      <c r="BK11" s="1601"/>
      <c r="BL11" s="1601"/>
      <c r="BM11" s="1601"/>
      <c r="BN11" s="1601"/>
      <c r="BO11" s="1601"/>
      <c r="BP11" s="1601"/>
      <c r="BQ11" s="1601"/>
      <c r="BR11" s="1601"/>
      <c r="BS11" s="1601"/>
      <c r="BT11" s="1601"/>
      <c r="BU11" s="1601"/>
      <c r="BV11" s="1601"/>
      <c r="BW11" s="1601"/>
      <c r="BX11" s="1601"/>
      <c r="BY11" s="1601"/>
      <c r="BZ11" s="1601"/>
      <c r="CA11" s="1601"/>
      <c r="CB11" s="1601"/>
      <c r="CC11" s="1601"/>
      <c r="CD11" s="1601"/>
      <c r="CE11" s="1601"/>
      <c r="CF11" s="1601"/>
      <c r="CG11" s="1601"/>
      <c r="CH11" s="1601"/>
      <c r="CI11" s="1601"/>
      <c r="CJ11" s="1601"/>
      <c r="CK11" s="1601"/>
      <c r="CL11" s="1601"/>
      <c r="CM11" s="1601"/>
    </row>
    <row r="12" spans="1:91" s="1602" customFormat="1" ht="15" customHeight="1" thickBot="1" x14ac:dyDescent="0.25">
      <c r="A12" s="2324"/>
      <c r="B12" s="2330"/>
      <c r="C12" s="2169" t="s">
        <v>2619</v>
      </c>
      <c r="D12" s="2198">
        <v>0</v>
      </c>
      <c r="E12" s="2330"/>
      <c r="F12" s="2330"/>
      <c r="G12" s="2330"/>
      <c r="H12" s="1601"/>
      <c r="I12" s="1601"/>
      <c r="J12" s="1601"/>
      <c r="K12" s="1601"/>
      <c r="L12" s="1601"/>
      <c r="M12" s="1601"/>
      <c r="N12" s="1601"/>
      <c r="O12" s="1601"/>
      <c r="P12" s="1601"/>
      <c r="Q12" s="1601"/>
      <c r="R12" s="1601"/>
      <c r="S12" s="1601"/>
      <c r="T12" s="1601"/>
      <c r="U12" s="1601"/>
      <c r="V12" s="1601"/>
      <c r="W12" s="1601"/>
      <c r="X12" s="1601"/>
      <c r="Y12" s="1601"/>
      <c r="Z12" s="1601"/>
      <c r="AA12" s="1601"/>
      <c r="AB12" s="1601"/>
      <c r="AC12" s="1601"/>
      <c r="AD12" s="1601"/>
      <c r="AE12" s="1601"/>
      <c r="AF12" s="1601"/>
      <c r="AG12" s="1601"/>
      <c r="AH12" s="1601"/>
      <c r="AI12" s="1601"/>
      <c r="AJ12" s="1601"/>
      <c r="AK12" s="1601"/>
      <c r="AL12" s="1601"/>
      <c r="AM12" s="1601"/>
      <c r="AN12" s="1601"/>
      <c r="AO12" s="1601"/>
      <c r="AP12" s="1601"/>
      <c r="AQ12" s="1601"/>
      <c r="AR12" s="1601"/>
      <c r="AS12" s="1601"/>
      <c r="AT12" s="1601"/>
      <c r="AU12" s="1601"/>
      <c r="AV12" s="1601"/>
      <c r="AW12" s="1601"/>
      <c r="AX12" s="1601"/>
      <c r="AY12" s="1601"/>
      <c r="AZ12" s="1601"/>
      <c r="BA12" s="1601"/>
      <c r="BB12" s="1601"/>
      <c r="BC12" s="1601"/>
      <c r="BD12" s="1601"/>
      <c r="BE12" s="1601"/>
      <c r="BF12" s="1601"/>
      <c r="BG12" s="1601"/>
      <c r="BH12" s="1601"/>
      <c r="BI12" s="1601"/>
      <c r="BJ12" s="1601"/>
      <c r="BK12" s="1601"/>
      <c r="BL12" s="1601"/>
      <c r="BM12" s="1601"/>
      <c r="BN12" s="1601"/>
      <c r="BO12" s="1601"/>
      <c r="BP12" s="1601"/>
      <c r="BQ12" s="1601"/>
      <c r="BR12" s="1601"/>
      <c r="BS12" s="1601"/>
      <c r="BT12" s="1601"/>
      <c r="BU12" s="1601"/>
      <c r="BV12" s="1601"/>
      <c r="BW12" s="1601"/>
      <c r="BX12" s="1601"/>
      <c r="BY12" s="1601"/>
      <c r="BZ12" s="1601"/>
      <c r="CA12" s="1601"/>
      <c r="CB12" s="1601"/>
      <c r="CC12" s="1601"/>
      <c r="CD12" s="1601"/>
      <c r="CE12" s="1601"/>
      <c r="CF12" s="1601"/>
      <c r="CG12" s="1601"/>
      <c r="CH12" s="1601"/>
      <c r="CI12" s="1601"/>
      <c r="CJ12" s="1601"/>
      <c r="CK12" s="1601"/>
      <c r="CL12" s="1601"/>
      <c r="CM12" s="1601"/>
    </row>
    <row r="13" spans="1:91" s="1602" customFormat="1" ht="15" customHeight="1" thickBot="1" x14ac:dyDescent="0.25">
      <c r="A13" s="2324"/>
      <c r="B13" s="2330"/>
      <c r="C13" s="2170" t="s">
        <v>2620</v>
      </c>
      <c r="D13" s="2198">
        <v>0</v>
      </c>
      <c r="E13" s="2330"/>
      <c r="F13" s="2330"/>
      <c r="G13" s="2330"/>
      <c r="H13" s="1601"/>
      <c r="I13" s="1601"/>
      <c r="J13" s="1601"/>
      <c r="K13" s="1601"/>
      <c r="L13" s="1601"/>
      <c r="M13" s="1601"/>
      <c r="N13" s="1601"/>
      <c r="O13" s="1601"/>
      <c r="P13" s="1601"/>
      <c r="Q13" s="1601"/>
      <c r="R13" s="1601"/>
      <c r="S13" s="1601"/>
      <c r="T13" s="1601"/>
      <c r="U13" s="1601"/>
      <c r="V13" s="1601"/>
      <c r="W13" s="1601"/>
      <c r="X13" s="1601"/>
      <c r="Y13" s="1601"/>
      <c r="Z13" s="1601"/>
      <c r="AA13" s="1601"/>
      <c r="AB13" s="1601"/>
      <c r="AC13" s="1601"/>
      <c r="AD13" s="1601"/>
      <c r="AE13" s="1601"/>
      <c r="AF13" s="1601"/>
      <c r="AG13" s="1601"/>
      <c r="AH13" s="1601"/>
      <c r="AI13" s="1601"/>
      <c r="AJ13" s="1601"/>
      <c r="AK13" s="1601"/>
      <c r="AL13" s="1601"/>
      <c r="AM13" s="1601"/>
      <c r="AN13" s="1601"/>
      <c r="AO13" s="1601"/>
      <c r="AP13" s="1601"/>
      <c r="AQ13" s="1601"/>
      <c r="AR13" s="1601"/>
      <c r="AS13" s="1601"/>
      <c r="AT13" s="1601"/>
      <c r="AU13" s="1601"/>
      <c r="AV13" s="1601"/>
      <c r="AW13" s="1601"/>
      <c r="AX13" s="1601"/>
      <c r="AY13" s="1601"/>
      <c r="AZ13" s="1601"/>
      <c r="BA13" s="1601"/>
      <c r="BB13" s="1601"/>
      <c r="BC13" s="1601"/>
      <c r="BD13" s="1601"/>
      <c r="BE13" s="1601"/>
      <c r="BF13" s="1601"/>
      <c r="BG13" s="1601"/>
      <c r="BH13" s="1601"/>
      <c r="BI13" s="1601"/>
      <c r="BJ13" s="1601"/>
      <c r="BK13" s="1601"/>
      <c r="BL13" s="1601"/>
      <c r="BM13" s="1601"/>
      <c r="BN13" s="1601"/>
      <c r="BO13" s="1601"/>
      <c r="BP13" s="1601"/>
      <c r="BQ13" s="1601"/>
      <c r="BR13" s="1601"/>
      <c r="BS13" s="1601"/>
      <c r="BT13" s="1601"/>
      <c r="BU13" s="1601"/>
      <c r="BV13" s="1601"/>
      <c r="BW13" s="1601"/>
      <c r="BX13" s="1601"/>
      <c r="BY13" s="1601"/>
      <c r="BZ13" s="1601"/>
      <c r="CA13" s="1601"/>
      <c r="CB13" s="1601"/>
      <c r="CC13" s="1601"/>
      <c r="CD13" s="1601"/>
      <c r="CE13" s="1601"/>
      <c r="CF13" s="1601"/>
      <c r="CG13" s="1601"/>
      <c r="CH13" s="1601"/>
      <c r="CI13" s="1601"/>
      <c r="CJ13" s="1601"/>
      <c r="CK13" s="1601"/>
      <c r="CL13" s="1601"/>
      <c r="CM13" s="1601"/>
    </row>
    <row r="14" spans="1:91" s="1602" customFormat="1" ht="15" customHeight="1" thickBot="1" x14ac:dyDescent="0.25">
      <c r="A14" s="2324"/>
      <c r="B14" s="2330"/>
      <c r="C14" s="2170" t="s">
        <v>2621</v>
      </c>
      <c r="D14" s="2198">
        <v>0</v>
      </c>
      <c r="E14" s="2330"/>
      <c r="F14" s="2330"/>
      <c r="G14" s="2330"/>
      <c r="H14" s="1601"/>
      <c r="I14" s="1601"/>
      <c r="J14" s="1601"/>
      <c r="K14" s="1601"/>
      <c r="L14" s="1601"/>
      <c r="M14" s="1601"/>
      <c r="N14" s="1601"/>
      <c r="O14" s="1601"/>
      <c r="P14" s="1601"/>
      <c r="Q14" s="1601"/>
      <c r="R14" s="1601"/>
      <c r="S14" s="1601"/>
      <c r="T14" s="1601"/>
      <c r="U14" s="1601"/>
      <c r="V14" s="1601"/>
      <c r="W14" s="1601"/>
      <c r="X14" s="1601"/>
      <c r="Y14" s="1601"/>
      <c r="Z14" s="1601"/>
      <c r="AA14" s="1601"/>
      <c r="AB14" s="1601"/>
      <c r="AC14" s="1601"/>
      <c r="AD14" s="1601"/>
      <c r="AE14" s="1601"/>
      <c r="AF14" s="1601"/>
      <c r="AG14" s="1601"/>
      <c r="AH14" s="1601"/>
      <c r="AI14" s="1601"/>
      <c r="AJ14" s="1601"/>
      <c r="AK14" s="1601"/>
      <c r="AL14" s="1601"/>
      <c r="AM14" s="1601"/>
      <c r="AN14" s="1601"/>
      <c r="AO14" s="1601"/>
      <c r="AP14" s="1601"/>
      <c r="AQ14" s="1601"/>
      <c r="AR14" s="1601"/>
      <c r="AS14" s="1601"/>
      <c r="AT14" s="1601"/>
      <c r="AU14" s="1601"/>
      <c r="AV14" s="1601"/>
      <c r="AW14" s="1601"/>
      <c r="AX14" s="1601"/>
      <c r="AY14" s="1601"/>
      <c r="AZ14" s="1601"/>
      <c r="BA14" s="1601"/>
      <c r="BB14" s="1601"/>
      <c r="BC14" s="1601"/>
      <c r="BD14" s="1601"/>
      <c r="BE14" s="1601"/>
      <c r="BF14" s="1601"/>
      <c r="BG14" s="1601"/>
      <c r="BH14" s="1601"/>
      <c r="BI14" s="1601"/>
      <c r="BJ14" s="1601"/>
      <c r="BK14" s="1601"/>
      <c r="BL14" s="1601"/>
      <c r="BM14" s="1601"/>
      <c r="BN14" s="1601"/>
      <c r="BO14" s="1601"/>
      <c r="BP14" s="1601"/>
      <c r="BQ14" s="1601"/>
      <c r="BR14" s="1601"/>
      <c r="BS14" s="1601"/>
      <c r="BT14" s="1601"/>
      <c r="BU14" s="1601"/>
      <c r="BV14" s="1601"/>
      <c r="BW14" s="1601"/>
      <c r="BX14" s="1601"/>
      <c r="BY14" s="1601"/>
      <c r="BZ14" s="1601"/>
      <c r="CA14" s="1601"/>
      <c r="CB14" s="1601"/>
      <c r="CC14" s="1601"/>
      <c r="CD14" s="1601"/>
      <c r="CE14" s="1601"/>
      <c r="CF14" s="1601"/>
      <c r="CG14" s="1601"/>
      <c r="CH14" s="1601"/>
      <c r="CI14" s="1601"/>
      <c r="CJ14" s="1601"/>
      <c r="CK14" s="1601"/>
      <c r="CL14" s="1601"/>
      <c r="CM14" s="1601"/>
    </row>
    <row r="15" spans="1:91" s="1602" customFormat="1" ht="15" customHeight="1" thickBot="1" x14ac:dyDescent="0.25">
      <c r="A15" s="2325"/>
      <c r="B15" s="2331"/>
      <c r="C15" s="2171" t="s">
        <v>2622</v>
      </c>
      <c r="D15" s="2198">
        <v>0</v>
      </c>
      <c r="E15" s="2331"/>
      <c r="F15" s="2331"/>
      <c r="G15" s="2331"/>
      <c r="H15" s="1601"/>
      <c r="I15" s="1601"/>
      <c r="J15" s="1601"/>
      <c r="K15" s="1601"/>
      <c r="L15" s="1601"/>
      <c r="M15" s="1601"/>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c r="AL15" s="1601"/>
      <c r="AM15" s="1601"/>
      <c r="AN15" s="1601"/>
      <c r="AO15" s="1601"/>
      <c r="AP15" s="1601"/>
      <c r="AQ15" s="1601"/>
      <c r="AR15" s="1601"/>
      <c r="AS15" s="1601"/>
      <c r="AT15" s="1601"/>
      <c r="AU15" s="1601"/>
      <c r="AV15" s="1601"/>
      <c r="AW15" s="1601"/>
      <c r="AX15" s="1601"/>
      <c r="AY15" s="1601"/>
      <c r="AZ15" s="1601"/>
      <c r="BA15" s="1601"/>
      <c r="BB15" s="1601"/>
      <c r="BC15" s="1601"/>
      <c r="BD15" s="1601"/>
      <c r="BE15" s="1601"/>
      <c r="BF15" s="1601"/>
      <c r="BG15" s="1601"/>
      <c r="BH15" s="1601"/>
      <c r="BI15" s="1601"/>
      <c r="BJ15" s="1601"/>
      <c r="BK15" s="1601"/>
      <c r="BL15" s="1601"/>
      <c r="BM15" s="1601"/>
      <c r="BN15" s="1601"/>
      <c r="BO15" s="1601"/>
      <c r="BP15" s="1601"/>
      <c r="BQ15" s="1601"/>
      <c r="BR15" s="1601"/>
      <c r="BS15" s="1601"/>
      <c r="BT15" s="1601"/>
      <c r="BU15" s="1601"/>
      <c r="BV15" s="1601"/>
      <c r="BW15" s="1601"/>
      <c r="BX15" s="1601"/>
      <c r="BY15" s="1601"/>
      <c r="BZ15" s="1601"/>
      <c r="CA15" s="1601"/>
      <c r="CB15" s="1601"/>
      <c r="CC15" s="1601"/>
      <c r="CD15" s="1601"/>
      <c r="CE15" s="1601"/>
      <c r="CF15" s="1601"/>
      <c r="CG15" s="1601"/>
      <c r="CH15" s="1601"/>
      <c r="CI15" s="1601"/>
      <c r="CJ15" s="1601"/>
      <c r="CK15" s="1601"/>
      <c r="CL15" s="1601"/>
      <c r="CM15" s="1601"/>
    </row>
    <row r="16" spans="1:91" s="1602" customFormat="1" ht="30.6" customHeight="1" thickBot="1" x14ac:dyDescent="0.25">
      <c r="A16" s="2323" t="s">
        <v>620</v>
      </c>
      <c r="B16" s="2329" t="s">
        <v>2655</v>
      </c>
      <c r="C16" s="1774" t="s">
        <v>2492</v>
      </c>
      <c r="D16" s="2197"/>
      <c r="E16" s="2329" t="s">
        <v>2567</v>
      </c>
      <c r="F16" s="2329"/>
      <c r="G16" s="2329"/>
      <c r="H16" s="1601"/>
      <c r="I16" s="1601"/>
      <c r="J16" s="1601"/>
      <c r="K16" s="1601"/>
      <c r="L16" s="1601"/>
      <c r="M16" s="1601"/>
      <c r="N16" s="1601"/>
      <c r="O16" s="1601"/>
      <c r="P16" s="1601"/>
      <c r="Q16" s="1601"/>
      <c r="R16" s="1601"/>
      <c r="S16" s="1601"/>
      <c r="T16" s="1601"/>
      <c r="U16" s="1601"/>
      <c r="V16" s="1601"/>
      <c r="W16" s="1601"/>
      <c r="X16" s="1601"/>
      <c r="Y16" s="1601"/>
      <c r="Z16" s="1601"/>
      <c r="AA16" s="1601"/>
      <c r="AB16" s="1601"/>
      <c r="AC16" s="1601"/>
      <c r="AD16" s="1601"/>
      <c r="AE16" s="1601"/>
      <c r="AF16" s="1601"/>
      <c r="AG16" s="1601"/>
      <c r="AH16" s="1601"/>
      <c r="AI16" s="1601"/>
      <c r="AJ16" s="1601"/>
      <c r="AK16" s="1601"/>
      <c r="AL16" s="1601"/>
      <c r="AM16" s="1601"/>
      <c r="AN16" s="1601"/>
      <c r="AO16" s="1601"/>
      <c r="AP16" s="1601"/>
      <c r="AQ16" s="1601"/>
      <c r="AR16" s="1601"/>
      <c r="AS16" s="1601"/>
      <c r="AT16" s="1601"/>
      <c r="AU16" s="1601"/>
      <c r="AV16" s="1601"/>
      <c r="AW16" s="1601"/>
      <c r="AX16" s="1601"/>
      <c r="AY16" s="1601"/>
      <c r="AZ16" s="1601"/>
      <c r="BA16" s="1601"/>
      <c r="BB16" s="1601"/>
      <c r="BC16" s="1601"/>
      <c r="BD16" s="1601"/>
      <c r="BE16" s="1601"/>
      <c r="BF16" s="1601"/>
      <c r="BG16" s="1601"/>
      <c r="BH16" s="1601"/>
      <c r="BI16" s="1601"/>
      <c r="BJ16" s="1601"/>
      <c r="BK16" s="1601"/>
      <c r="BL16" s="1601"/>
      <c r="BM16" s="1601"/>
      <c r="BN16" s="1601"/>
      <c r="BO16" s="1601"/>
      <c r="BP16" s="1601"/>
      <c r="BQ16" s="1601"/>
      <c r="BR16" s="1601"/>
      <c r="BS16" s="1601"/>
      <c r="BT16" s="1601"/>
      <c r="BU16" s="1601"/>
      <c r="BV16" s="1601"/>
      <c r="BW16" s="1601"/>
      <c r="BX16" s="1601"/>
      <c r="BY16" s="1601"/>
      <c r="BZ16" s="1601"/>
      <c r="CA16" s="1601"/>
      <c r="CB16" s="1601"/>
      <c r="CC16" s="1601"/>
      <c r="CD16" s="1601"/>
      <c r="CE16" s="1601"/>
      <c r="CF16" s="1601"/>
      <c r="CG16" s="1601"/>
      <c r="CH16" s="1601"/>
      <c r="CI16" s="1601"/>
      <c r="CJ16" s="1601"/>
      <c r="CK16" s="1601"/>
      <c r="CL16" s="1601"/>
      <c r="CM16" s="1601"/>
    </row>
    <row r="17" spans="1:91" s="1602" customFormat="1" ht="15" customHeight="1" thickBot="1" x14ac:dyDescent="0.25">
      <c r="A17" s="2324"/>
      <c r="B17" s="2330"/>
      <c r="C17" s="2168" t="s">
        <v>2617</v>
      </c>
      <c r="D17" s="2199">
        <v>0</v>
      </c>
      <c r="E17" s="2330"/>
      <c r="F17" s="2330"/>
      <c r="G17" s="2330"/>
      <c r="H17" s="1601"/>
      <c r="I17" s="1601"/>
      <c r="J17" s="1601"/>
      <c r="K17" s="1601"/>
      <c r="L17" s="1601"/>
      <c r="M17" s="1601"/>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c r="AL17" s="1601"/>
      <c r="AM17" s="1601"/>
      <c r="AN17" s="1601"/>
      <c r="AO17" s="1601"/>
      <c r="AP17" s="1601"/>
      <c r="AQ17" s="1601"/>
      <c r="AR17" s="1601"/>
      <c r="AS17" s="1601"/>
      <c r="AT17" s="1601"/>
      <c r="AU17" s="1601"/>
      <c r="AV17" s="1601"/>
      <c r="AW17" s="1601"/>
      <c r="AX17" s="1601"/>
      <c r="AY17" s="1601"/>
      <c r="AZ17" s="1601"/>
      <c r="BA17" s="1601"/>
      <c r="BB17" s="1601"/>
      <c r="BC17" s="1601"/>
      <c r="BD17" s="1601"/>
      <c r="BE17" s="1601"/>
      <c r="BF17" s="1601"/>
      <c r="BG17" s="1601"/>
      <c r="BH17" s="1601"/>
      <c r="BI17" s="1601"/>
      <c r="BJ17" s="1601"/>
      <c r="BK17" s="1601"/>
      <c r="BL17" s="1601"/>
      <c r="BM17" s="1601"/>
      <c r="BN17" s="1601"/>
      <c r="BO17" s="1601"/>
      <c r="BP17" s="1601"/>
      <c r="BQ17" s="1601"/>
      <c r="BR17" s="1601"/>
      <c r="BS17" s="1601"/>
      <c r="BT17" s="1601"/>
      <c r="BU17" s="1601"/>
      <c r="BV17" s="1601"/>
      <c r="BW17" s="1601"/>
      <c r="BX17" s="1601"/>
      <c r="BY17" s="1601"/>
      <c r="BZ17" s="1601"/>
      <c r="CA17" s="1601"/>
      <c r="CB17" s="1601"/>
      <c r="CC17" s="1601"/>
      <c r="CD17" s="1601"/>
      <c r="CE17" s="1601"/>
      <c r="CF17" s="1601"/>
      <c r="CG17" s="1601"/>
      <c r="CH17" s="1601"/>
      <c r="CI17" s="1601"/>
      <c r="CJ17" s="1601"/>
      <c r="CK17" s="1601"/>
      <c r="CL17" s="1601"/>
      <c r="CM17" s="1601"/>
    </row>
    <row r="18" spans="1:91" s="1602" customFormat="1" ht="15" customHeight="1" thickBot="1" x14ac:dyDescent="0.25">
      <c r="A18" s="2324"/>
      <c r="B18" s="2330"/>
      <c r="C18" s="2169" t="s">
        <v>2618</v>
      </c>
      <c r="D18" s="2199">
        <v>0</v>
      </c>
      <c r="E18" s="2330"/>
      <c r="F18" s="2330"/>
      <c r="G18" s="2330"/>
      <c r="H18" s="1601"/>
      <c r="I18" s="1601"/>
      <c r="J18" s="1601"/>
      <c r="K18" s="1601"/>
      <c r="L18" s="1601"/>
      <c r="M18" s="1601"/>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c r="AL18" s="1601"/>
      <c r="AM18" s="1601"/>
      <c r="AN18" s="1601"/>
      <c r="AO18" s="1601"/>
      <c r="AP18" s="1601"/>
      <c r="AQ18" s="1601"/>
      <c r="AR18" s="1601"/>
      <c r="AS18" s="1601"/>
      <c r="AT18" s="1601"/>
      <c r="AU18" s="1601"/>
      <c r="AV18" s="1601"/>
      <c r="AW18" s="1601"/>
      <c r="AX18" s="1601"/>
      <c r="AY18" s="1601"/>
      <c r="AZ18" s="1601"/>
      <c r="BA18" s="1601"/>
      <c r="BB18" s="1601"/>
      <c r="BC18" s="1601"/>
      <c r="BD18" s="1601"/>
      <c r="BE18" s="1601"/>
      <c r="BF18" s="1601"/>
      <c r="BG18" s="1601"/>
      <c r="BH18" s="1601"/>
      <c r="BI18" s="1601"/>
      <c r="BJ18" s="1601"/>
      <c r="BK18" s="1601"/>
      <c r="BL18" s="1601"/>
      <c r="BM18" s="1601"/>
      <c r="BN18" s="1601"/>
      <c r="BO18" s="1601"/>
      <c r="BP18" s="1601"/>
      <c r="BQ18" s="1601"/>
      <c r="BR18" s="1601"/>
      <c r="BS18" s="1601"/>
      <c r="BT18" s="1601"/>
      <c r="BU18" s="1601"/>
      <c r="BV18" s="1601"/>
      <c r="BW18" s="1601"/>
      <c r="BX18" s="1601"/>
      <c r="BY18" s="1601"/>
      <c r="BZ18" s="1601"/>
      <c r="CA18" s="1601"/>
      <c r="CB18" s="1601"/>
      <c r="CC18" s="1601"/>
      <c r="CD18" s="1601"/>
      <c r="CE18" s="1601"/>
      <c r="CF18" s="1601"/>
      <c r="CG18" s="1601"/>
      <c r="CH18" s="1601"/>
      <c r="CI18" s="1601"/>
      <c r="CJ18" s="1601"/>
      <c r="CK18" s="1601"/>
      <c r="CL18" s="1601"/>
      <c r="CM18" s="1601"/>
    </row>
    <row r="19" spans="1:91" s="1602" customFormat="1" ht="15" customHeight="1" thickBot="1" x14ac:dyDescent="0.25">
      <c r="A19" s="2324"/>
      <c r="B19" s="2330"/>
      <c r="C19" s="2169" t="s">
        <v>2619</v>
      </c>
      <c r="D19" s="2199">
        <v>0</v>
      </c>
      <c r="E19" s="2330"/>
      <c r="F19" s="2330"/>
      <c r="G19" s="2330"/>
      <c r="H19" s="1601"/>
      <c r="I19" s="1601"/>
      <c r="J19" s="1601"/>
      <c r="K19" s="1601"/>
      <c r="L19" s="1601"/>
      <c r="M19" s="1601"/>
      <c r="N19" s="1601"/>
      <c r="O19" s="1601"/>
      <c r="P19" s="1601"/>
      <c r="Q19" s="1601"/>
      <c r="R19" s="1601"/>
      <c r="S19" s="1601"/>
      <c r="T19" s="1601"/>
      <c r="U19" s="1601"/>
      <c r="V19" s="1601"/>
      <c r="W19" s="1601"/>
      <c r="X19" s="1601"/>
      <c r="Y19" s="1601"/>
      <c r="Z19" s="1601"/>
      <c r="AA19" s="1601"/>
      <c r="AB19" s="1601"/>
      <c r="AC19" s="1601"/>
      <c r="AD19" s="1601"/>
      <c r="AE19" s="1601"/>
      <c r="AF19" s="1601"/>
      <c r="AG19" s="1601"/>
      <c r="AH19" s="1601"/>
      <c r="AI19" s="1601"/>
      <c r="AJ19" s="1601"/>
      <c r="AK19" s="1601"/>
      <c r="AL19" s="1601"/>
      <c r="AM19" s="1601"/>
      <c r="AN19" s="1601"/>
      <c r="AO19" s="1601"/>
      <c r="AP19" s="1601"/>
      <c r="AQ19" s="1601"/>
      <c r="AR19" s="1601"/>
      <c r="AS19" s="1601"/>
      <c r="AT19" s="1601"/>
      <c r="AU19" s="1601"/>
      <c r="AV19" s="1601"/>
      <c r="AW19" s="1601"/>
      <c r="AX19" s="1601"/>
      <c r="AY19" s="1601"/>
      <c r="AZ19" s="1601"/>
      <c r="BA19" s="1601"/>
      <c r="BB19" s="1601"/>
      <c r="BC19" s="1601"/>
      <c r="BD19" s="1601"/>
      <c r="BE19" s="1601"/>
      <c r="BF19" s="1601"/>
      <c r="BG19" s="1601"/>
      <c r="BH19" s="1601"/>
      <c r="BI19" s="1601"/>
      <c r="BJ19" s="1601"/>
      <c r="BK19" s="1601"/>
      <c r="BL19" s="1601"/>
      <c r="BM19" s="1601"/>
      <c r="BN19" s="1601"/>
      <c r="BO19" s="1601"/>
      <c r="BP19" s="1601"/>
      <c r="BQ19" s="1601"/>
      <c r="BR19" s="1601"/>
      <c r="BS19" s="1601"/>
      <c r="BT19" s="1601"/>
      <c r="BU19" s="1601"/>
      <c r="BV19" s="1601"/>
      <c r="BW19" s="1601"/>
      <c r="BX19" s="1601"/>
      <c r="BY19" s="1601"/>
      <c r="BZ19" s="1601"/>
      <c r="CA19" s="1601"/>
      <c r="CB19" s="1601"/>
      <c r="CC19" s="1601"/>
      <c r="CD19" s="1601"/>
      <c r="CE19" s="1601"/>
      <c r="CF19" s="1601"/>
      <c r="CG19" s="1601"/>
      <c r="CH19" s="1601"/>
      <c r="CI19" s="1601"/>
      <c r="CJ19" s="1601"/>
      <c r="CK19" s="1601"/>
      <c r="CL19" s="1601"/>
      <c r="CM19" s="1601"/>
    </row>
    <row r="20" spans="1:91" s="1602" customFormat="1" ht="15" customHeight="1" thickBot="1" x14ac:dyDescent="0.25">
      <c r="A20" s="2324"/>
      <c r="B20" s="2330"/>
      <c r="C20" s="2170" t="s">
        <v>2620</v>
      </c>
      <c r="D20" s="2199">
        <v>0</v>
      </c>
      <c r="E20" s="2330"/>
      <c r="F20" s="2330"/>
      <c r="G20" s="2330"/>
      <c r="H20" s="1601"/>
      <c r="I20" s="1601"/>
      <c r="J20" s="1601"/>
      <c r="K20" s="1601"/>
      <c r="L20" s="1601"/>
      <c r="M20" s="1601"/>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c r="AL20" s="1601"/>
      <c r="AM20" s="1601"/>
      <c r="AN20" s="1601"/>
      <c r="AO20" s="1601"/>
      <c r="AP20" s="1601"/>
      <c r="AQ20" s="1601"/>
      <c r="AR20" s="1601"/>
      <c r="AS20" s="1601"/>
      <c r="AT20" s="1601"/>
      <c r="AU20" s="1601"/>
      <c r="AV20" s="1601"/>
      <c r="AW20" s="1601"/>
      <c r="AX20" s="1601"/>
      <c r="AY20" s="1601"/>
      <c r="AZ20" s="1601"/>
      <c r="BA20" s="1601"/>
      <c r="BB20" s="1601"/>
      <c r="BC20" s="1601"/>
      <c r="BD20" s="1601"/>
      <c r="BE20" s="1601"/>
      <c r="BF20" s="1601"/>
      <c r="BG20" s="1601"/>
      <c r="BH20" s="1601"/>
      <c r="BI20" s="1601"/>
      <c r="BJ20" s="1601"/>
      <c r="BK20" s="1601"/>
      <c r="BL20" s="1601"/>
      <c r="BM20" s="1601"/>
      <c r="BN20" s="1601"/>
      <c r="BO20" s="1601"/>
      <c r="BP20" s="1601"/>
      <c r="BQ20" s="1601"/>
      <c r="BR20" s="1601"/>
      <c r="BS20" s="1601"/>
      <c r="BT20" s="1601"/>
      <c r="BU20" s="1601"/>
      <c r="BV20" s="1601"/>
      <c r="BW20" s="1601"/>
      <c r="BX20" s="1601"/>
      <c r="BY20" s="1601"/>
      <c r="BZ20" s="1601"/>
      <c r="CA20" s="1601"/>
      <c r="CB20" s="1601"/>
      <c r="CC20" s="1601"/>
      <c r="CD20" s="1601"/>
      <c r="CE20" s="1601"/>
      <c r="CF20" s="1601"/>
      <c r="CG20" s="1601"/>
      <c r="CH20" s="1601"/>
      <c r="CI20" s="1601"/>
      <c r="CJ20" s="1601"/>
      <c r="CK20" s="1601"/>
      <c r="CL20" s="1601"/>
      <c r="CM20" s="1601"/>
    </row>
    <row r="21" spans="1:91" s="1602" customFormat="1" ht="15" customHeight="1" thickBot="1" x14ac:dyDescent="0.25">
      <c r="A21" s="2324"/>
      <c r="B21" s="2330"/>
      <c r="C21" s="2170" t="s">
        <v>2621</v>
      </c>
      <c r="D21" s="2198">
        <v>1</v>
      </c>
      <c r="E21" s="2330"/>
      <c r="F21" s="2330"/>
      <c r="G21" s="2330"/>
      <c r="H21" s="1601"/>
      <c r="I21" s="1601"/>
      <c r="J21" s="1601"/>
      <c r="K21" s="1601"/>
      <c r="L21" s="1601"/>
      <c r="M21" s="1601"/>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c r="AL21" s="1601"/>
      <c r="AM21" s="1601"/>
      <c r="AN21" s="1601"/>
      <c r="AO21" s="1601"/>
      <c r="AP21" s="1601"/>
      <c r="AQ21" s="1601"/>
      <c r="AR21" s="1601"/>
      <c r="AS21" s="1601"/>
      <c r="AT21" s="1601"/>
      <c r="AU21" s="1601"/>
      <c r="AV21" s="1601"/>
      <c r="AW21" s="1601"/>
      <c r="AX21" s="1601"/>
      <c r="AY21" s="1601"/>
      <c r="AZ21" s="1601"/>
      <c r="BA21" s="1601"/>
      <c r="BB21" s="1601"/>
      <c r="BC21" s="1601"/>
      <c r="BD21" s="1601"/>
      <c r="BE21" s="1601"/>
      <c r="BF21" s="1601"/>
      <c r="BG21" s="1601"/>
      <c r="BH21" s="1601"/>
      <c r="BI21" s="1601"/>
      <c r="BJ21" s="1601"/>
      <c r="BK21" s="1601"/>
      <c r="BL21" s="1601"/>
      <c r="BM21" s="1601"/>
      <c r="BN21" s="1601"/>
      <c r="BO21" s="1601"/>
      <c r="BP21" s="1601"/>
      <c r="BQ21" s="1601"/>
      <c r="BR21" s="1601"/>
      <c r="BS21" s="1601"/>
      <c r="BT21" s="1601"/>
      <c r="BU21" s="1601"/>
      <c r="BV21" s="1601"/>
      <c r="BW21" s="1601"/>
      <c r="BX21" s="1601"/>
      <c r="BY21" s="1601"/>
      <c r="BZ21" s="1601"/>
      <c r="CA21" s="1601"/>
      <c r="CB21" s="1601"/>
      <c r="CC21" s="1601"/>
      <c r="CD21" s="1601"/>
      <c r="CE21" s="1601"/>
      <c r="CF21" s="1601"/>
      <c r="CG21" s="1601"/>
      <c r="CH21" s="1601"/>
      <c r="CI21" s="1601"/>
      <c r="CJ21" s="1601"/>
      <c r="CK21" s="1601"/>
      <c r="CL21" s="1601"/>
      <c r="CM21" s="1601"/>
    </row>
    <row r="22" spans="1:91" s="1602" customFormat="1" ht="15" customHeight="1" thickBot="1" x14ac:dyDescent="0.25">
      <c r="A22" s="2325"/>
      <c r="B22" s="2331"/>
      <c r="C22" s="2171" t="s">
        <v>2622</v>
      </c>
      <c r="D22" s="2199">
        <v>0</v>
      </c>
      <c r="E22" s="2331"/>
      <c r="F22" s="2331"/>
      <c r="G22" s="2331"/>
      <c r="H22" s="1601"/>
      <c r="I22" s="1601"/>
      <c r="J22" s="1601"/>
      <c r="K22" s="1601"/>
      <c r="L22" s="1601"/>
      <c r="M22" s="1601"/>
      <c r="N22" s="1601"/>
      <c r="O22" s="1601"/>
      <c r="P22" s="1601"/>
      <c r="Q22" s="1601"/>
      <c r="R22" s="1601"/>
      <c r="S22" s="1601"/>
      <c r="T22" s="1601"/>
      <c r="U22" s="1601"/>
      <c r="V22" s="1601"/>
      <c r="W22" s="1601"/>
      <c r="X22" s="1601"/>
      <c r="Y22" s="1601"/>
      <c r="Z22" s="1601"/>
      <c r="AA22" s="1601"/>
      <c r="AB22" s="1601"/>
      <c r="AC22" s="1601"/>
      <c r="AD22" s="1601"/>
      <c r="AE22" s="1601"/>
      <c r="AF22" s="1601"/>
      <c r="AG22" s="1601"/>
      <c r="AH22" s="1601"/>
      <c r="AI22" s="1601"/>
      <c r="AJ22" s="1601"/>
      <c r="AK22" s="1601"/>
      <c r="AL22" s="1601"/>
      <c r="AM22" s="1601"/>
      <c r="AN22" s="1601"/>
      <c r="AO22" s="1601"/>
      <c r="AP22" s="1601"/>
      <c r="AQ22" s="1601"/>
      <c r="AR22" s="1601"/>
      <c r="AS22" s="1601"/>
      <c r="AT22" s="1601"/>
      <c r="AU22" s="1601"/>
      <c r="AV22" s="1601"/>
      <c r="AW22" s="1601"/>
      <c r="AX22" s="1601"/>
      <c r="AY22" s="1601"/>
      <c r="AZ22" s="1601"/>
      <c r="BA22" s="1601"/>
      <c r="BB22" s="1601"/>
      <c r="BC22" s="1601"/>
      <c r="BD22" s="1601"/>
      <c r="BE22" s="1601"/>
      <c r="BF22" s="1601"/>
      <c r="BG22" s="1601"/>
      <c r="BH22" s="1601"/>
      <c r="BI22" s="1601"/>
      <c r="BJ22" s="1601"/>
      <c r="BK22" s="1601"/>
      <c r="BL22" s="1601"/>
      <c r="BM22" s="1601"/>
      <c r="BN22" s="1601"/>
      <c r="BO22" s="1601"/>
      <c r="BP22" s="1601"/>
      <c r="BQ22" s="1601"/>
      <c r="BR22" s="1601"/>
      <c r="BS22" s="1601"/>
      <c r="BT22" s="1601"/>
      <c r="BU22" s="1601"/>
      <c r="BV22" s="1601"/>
      <c r="BW22" s="1601"/>
      <c r="BX22" s="1601"/>
      <c r="BY22" s="1601"/>
      <c r="BZ22" s="1601"/>
      <c r="CA22" s="1601"/>
      <c r="CB22" s="1601"/>
      <c r="CC22" s="1601"/>
      <c r="CD22" s="1601"/>
      <c r="CE22" s="1601"/>
      <c r="CF22" s="1601"/>
      <c r="CG22" s="1601"/>
      <c r="CH22" s="1601"/>
      <c r="CI22" s="1601"/>
      <c r="CJ22" s="1601"/>
      <c r="CK22" s="1601"/>
      <c r="CL22" s="1601"/>
      <c r="CM22" s="1601"/>
    </row>
    <row r="23" spans="1:91" s="1603" customFormat="1" ht="30" customHeight="1" thickBot="1" x14ac:dyDescent="0.25">
      <c r="A23" s="2339" t="s">
        <v>621</v>
      </c>
      <c r="B23" s="2329" t="s">
        <v>1291</v>
      </c>
      <c r="C23" s="1774" t="s">
        <v>2549</v>
      </c>
      <c r="D23" s="2197"/>
      <c r="E23" s="2329" t="s">
        <v>2566</v>
      </c>
      <c r="F23" s="2329"/>
      <c r="G23" s="2329"/>
      <c r="H23" s="1597"/>
      <c r="I23" s="1597"/>
      <c r="J23" s="1597"/>
      <c r="K23" s="1597"/>
      <c r="L23" s="1597"/>
      <c r="M23" s="1597"/>
      <c r="N23" s="1597"/>
      <c r="O23" s="1597"/>
      <c r="P23" s="1597"/>
      <c r="Q23" s="1597"/>
      <c r="R23" s="1597"/>
      <c r="S23" s="1597"/>
      <c r="T23" s="1597"/>
      <c r="U23" s="1597"/>
      <c r="V23" s="1597"/>
      <c r="W23" s="1597"/>
      <c r="X23" s="1597"/>
      <c r="Y23" s="1597"/>
      <c r="Z23" s="1597"/>
      <c r="AA23" s="1597"/>
      <c r="AB23" s="1597"/>
      <c r="AC23" s="1597"/>
      <c r="AD23" s="1597"/>
      <c r="AE23" s="1597"/>
      <c r="AF23" s="1597"/>
      <c r="AG23" s="1597"/>
      <c r="AH23" s="1597"/>
      <c r="AI23" s="1597"/>
      <c r="AJ23" s="1597"/>
      <c r="AK23" s="1597"/>
      <c r="AL23" s="1597"/>
      <c r="AM23" s="1597"/>
      <c r="AN23" s="1597"/>
      <c r="AO23" s="1597"/>
      <c r="AP23" s="1597"/>
      <c r="AQ23" s="1597"/>
      <c r="AR23" s="1597"/>
      <c r="AS23" s="1597"/>
      <c r="AT23" s="1597"/>
      <c r="AU23" s="1597"/>
      <c r="AV23" s="1597"/>
      <c r="AW23" s="1597"/>
      <c r="AX23" s="1597"/>
      <c r="AY23" s="1597"/>
      <c r="AZ23" s="1597"/>
      <c r="BA23" s="1597"/>
      <c r="BB23" s="1597"/>
      <c r="BC23" s="1597"/>
      <c r="BD23" s="1597"/>
      <c r="BE23" s="1597"/>
      <c r="BF23" s="1597"/>
      <c r="BG23" s="1597"/>
      <c r="BH23" s="1597"/>
      <c r="BI23" s="1597"/>
      <c r="BJ23" s="1597"/>
      <c r="BK23" s="1597"/>
      <c r="BL23" s="1597"/>
      <c r="BM23" s="1597"/>
      <c r="BN23" s="1597"/>
      <c r="BO23" s="1597"/>
      <c r="BP23" s="1597"/>
      <c r="BQ23" s="1597"/>
      <c r="BR23" s="1597"/>
      <c r="BS23" s="1597"/>
      <c r="BT23" s="1597"/>
      <c r="BU23" s="1597"/>
      <c r="BV23" s="1597"/>
      <c r="BW23" s="1597"/>
      <c r="BX23" s="1597"/>
      <c r="BY23" s="1597"/>
      <c r="BZ23" s="1597"/>
      <c r="CA23" s="1597"/>
      <c r="CB23" s="1597"/>
      <c r="CC23" s="1597"/>
      <c r="CD23" s="1597"/>
      <c r="CE23" s="1597"/>
      <c r="CF23" s="1597"/>
      <c r="CG23" s="1597"/>
      <c r="CH23" s="1597"/>
      <c r="CI23" s="1597"/>
      <c r="CJ23" s="1597"/>
      <c r="CK23" s="1597"/>
      <c r="CL23" s="1597"/>
      <c r="CM23" s="1597"/>
    </row>
    <row r="24" spans="1:91" s="1597" customFormat="1" ht="15" customHeight="1" x14ac:dyDescent="0.2">
      <c r="A24" s="2340"/>
      <c r="B24" s="2330"/>
      <c r="C24" s="2168" t="s">
        <v>2617</v>
      </c>
      <c r="D24" s="2198">
        <v>0</v>
      </c>
      <c r="E24" s="2330"/>
      <c r="F24" s="2330"/>
      <c r="G24" s="2330"/>
    </row>
    <row r="25" spans="1:91" s="1597" customFormat="1" ht="15" customHeight="1" x14ac:dyDescent="0.2">
      <c r="A25" s="2340"/>
      <c r="B25" s="2330"/>
      <c r="C25" s="2169" t="s">
        <v>2618</v>
      </c>
      <c r="D25" s="2198">
        <v>0</v>
      </c>
      <c r="E25" s="2330"/>
      <c r="F25" s="2330"/>
      <c r="G25" s="2330"/>
    </row>
    <row r="26" spans="1:91" s="1597" customFormat="1" ht="15" customHeight="1" x14ac:dyDescent="0.2">
      <c r="A26" s="2340"/>
      <c r="B26" s="2330"/>
      <c r="C26" s="2169" t="s">
        <v>2619</v>
      </c>
      <c r="D26" s="2198">
        <v>0</v>
      </c>
      <c r="E26" s="2330"/>
      <c r="F26" s="2330"/>
      <c r="G26" s="2330"/>
    </row>
    <row r="27" spans="1:91" s="1597" customFormat="1" ht="15" customHeight="1" x14ac:dyDescent="0.2">
      <c r="A27" s="2340"/>
      <c r="B27" s="2330"/>
      <c r="C27" s="2170" t="s">
        <v>2620</v>
      </c>
      <c r="D27" s="2198">
        <v>0</v>
      </c>
      <c r="E27" s="2330"/>
      <c r="F27" s="2330"/>
      <c r="G27" s="2330"/>
    </row>
    <row r="28" spans="1:91" s="1597" customFormat="1" ht="15" customHeight="1" x14ac:dyDescent="0.2">
      <c r="A28" s="2340"/>
      <c r="B28" s="2330"/>
      <c r="C28" s="2170" t="s">
        <v>2621</v>
      </c>
      <c r="D28" s="2198">
        <v>1</v>
      </c>
      <c r="E28" s="2330"/>
      <c r="F28" s="2330"/>
      <c r="G28" s="2330"/>
    </row>
    <row r="29" spans="1:91" s="1597" customFormat="1" ht="15" customHeight="1" x14ac:dyDescent="0.2">
      <c r="A29" s="2340"/>
      <c r="B29" s="2330"/>
      <c r="C29" s="2172" t="s">
        <v>2623</v>
      </c>
      <c r="D29" s="2198">
        <v>0</v>
      </c>
      <c r="E29" s="2330"/>
      <c r="F29" s="2330"/>
      <c r="G29" s="2330"/>
    </row>
    <row r="30" spans="1:91" s="1604" customFormat="1" ht="15" customHeight="1" thickBot="1" x14ac:dyDescent="0.25">
      <c r="A30" s="2341"/>
      <c r="B30" s="2331"/>
      <c r="C30" s="2171" t="s">
        <v>2624</v>
      </c>
      <c r="D30" s="2198">
        <v>0</v>
      </c>
      <c r="E30" s="2331"/>
      <c r="F30" s="2331"/>
      <c r="G30" s="2331"/>
      <c r="H30" s="1597"/>
      <c r="I30" s="1597"/>
      <c r="J30" s="1597"/>
      <c r="K30" s="1597"/>
      <c r="L30" s="1597"/>
      <c r="M30" s="1597"/>
      <c r="N30" s="1597"/>
      <c r="O30" s="1597"/>
      <c r="P30" s="1597"/>
      <c r="Q30" s="1597"/>
      <c r="R30" s="1597"/>
      <c r="S30" s="1597"/>
      <c r="T30" s="1597"/>
      <c r="U30" s="1597"/>
      <c r="V30" s="1597"/>
      <c r="W30" s="1597"/>
      <c r="X30" s="1597"/>
      <c r="Y30" s="1597"/>
      <c r="Z30" s="1597"/>
      <c r="AA30" s="1597"/>
      <c r="AB30" s="1597"/>
      <c r="AC30" s="1597"/>
      <c r="AD30" s="1597"/>
      <c r="AE30" s="1597"/>
      <c r="AF30" s="1597"/>
      <c r="AG30" s="1597"/>
      <c r="AH30" s="1597"/>
      <c r="AI30" s="1597"/>
      <c r="AJ30" s="1597"/>
      <c r="AK30" s="1597"/>
      <c r="AL30" s="1597"/>
      <c r="AM30" s="1597"/>
      <c r="AN30" s="1597"/>
      <c r="AO30" s="1597"/>
      <c r="AP30" s="1597"/>
      <c r="AQ30" s="1597"/>
      <c r="AR30" s="1597"/>
      <c r="AS30" s="1597"/>
      <c r="AT30" s="1597"/>
      <c r="AU30" s="1597"/>
      <c r="AV30" s="1597"/>
      <c r="AW30" s="1597"/>
      <c r="AX30" s="1597"/>
      <c r="AY30" s="1597"/>
      <c r="AZ30" s="1597"/>
      <c r="BA30" s="1597"/>
      <c r="BB30" s="1597"/>
      <c r="BC30" s="1597"/>
      <c r="BD30" s="1597"/>
      <c r="BE30" s="1597"/>
      <c r="BF30" s="1597"/>
      <c r="BG30" s="1597"/>
      <c r="BH30" s="1597"/>
      <c r="BI30" s="1597"/>
      <c r="BJ30" s="1597"/>
      <c r="BK30" s="1597"/>
      <c r="BL30" s="1597"/>
      <c r="BM30" s="1597"/>
      <c r="BN30" s="1597"/>
      <c r="BO30" s="1597"/>
      <c r="BP30" s="1597"/>
      <c r="BQ30" s="1597"/>
      <c r="BR30" s="1597"/>
      <c r="BS30" s="1597"/>
      <c r="BT30" s="1597"/>
      <c r="BU30" s="1597"/>
      <c r="BV30" s="1597"/>
      <c r="BW30" s="1597"/>
      <c r="BX30" s="1597"/>
      <c r="BY30" s="1597"/>
      <c r="BZ30" s="1597"/>
      <c r="CA30" s="1597"/>
      <c r="CB30" s="1597"/>
      <c r="CC30" s="1597"/>
      <c r="CD30" s="1597"/>
      <c r="CE30" s="1597"/>
      <c r="CF30" s="1597"/>
      <c r="CG30" s="1597"/>
      <c r="CH30" s="1597"/>
      <c r="CI30" s="1597"/>
      <c r="CJ30" s="1597"/>
      <c r="CK30" s="1597"/>
      <c r="CL30" s="1597"/>
      <c r="CM30" s="1597"/>
    </row>
    <row r="31" spans="1:91" s="1603" customFormat="1" ht="30" customHeight="1" thickBot="1" x14ac:dyDescent="0.25">
      <c r="A31" s="2339" t="s">
        <v>622</v>
      </c>
      <c r="B31" s="2329" t="s">
        <v>1307</v>
      </c>
      <c r="C31" s="1775" t="s">
        <v>2493</v>
      </c>
      <c r="D31" s="2197"/>
      <c r="E31" s="2329" t="s">
        <v>2891</v>
      </c>
      <c r="F31" s="2329"/>
      <c r="G31" s="2329"/>
      <c r="H31" s="1597"/>
      <c r="I31" s="1597"/>
      <c r="J31" s="1597"/>
      <c r="K31" s="1597"/>
      <c r="L31" s="1597"/>
      <c r="M31" s="1597"/>
      <c r="N31" s="1597"/>
      <c r="O31" s="1597"/>
      <c r="P31" s="1597"/>
      <c r="Q31" s="1597"/>
      <c r="R31" s="1597"/>
      <c r="S31" s="1597"/>
      <c r="T31" s="1597"/>
      <c r="U31" s="1597"/>
      <c r="V31" s="1597"/>
      <c r="W31" s="1597"/>
      <c r="X31" s="1597"/>
      <c r="Y31" s="1597"/>
      <c r="Z31" s="1597"/>
      <c r="AA31" s="1597"/>
      <c r="AB31" s="1597"/>
      <c r="AC31" s="1597"/>
      <c r="AD31" s="1597"/>
      <c r="AE31" s="1597"/>
      <c r="AF31" s="1597"/>
      <c r="AG31" s="1597"/>
      <c r="AH31" s="1597"/>
      <c r="AI31" s="1597"/>
      <c r="AJ31" s="1597"/>
      <c r="AK31" s="1597"/>
      <c r="AL31" s="1597"/>
      <c r="AM31" s="1597"/>
      <c r="AN31" s="1597"/>
      <c r="AO31" s="1597"/>
      <c r="AP31" s="1597"/>
      <c r="AQ31" s="1597"/>
      <c r="AR31" s="1597"/>
      <c r="AS31" s="1597"/>
      <c r="AT31" s="1597"/>
      <c r="AU31" s="1597"/>
      <c r="AV31" s="1597"/>
      <c r="AW31" s="1597"/>
      <c r="AX31" s="1597"/>
      <c r="AY31" s="1597"/>
      <c r="AZ31" s="1597"/>
      <c r="BA31" s="1597"/>
      <c r="BB31" s="1597"/>
      <c r="BC31" s="1597"/>
      <c r="BD31" s="1597"/>
      <c r="BE31" s="1597"/>
      <c r="BF31" s="1597"/>
      <c r="BG31" s="1597"/>
      <c r="BH31" s="1597"/>
      <c r="BI31" s="1597"/>
      <c r="BJ31" s="1597"/>
      <c r="BK31" s="1597"/>
      <c r="BL31" s="1597"/>
      <c r="BM31" s="1597"/>
      <c r="BN31" s="1597"/>
      <c r="BO31" s="1597"/>
      <c r="BP31" s="1597"/>
      <c r="BQ31" s="1597"/>
      <c r="BR31" s="1597"/>
      <c r="BS31" s="1597"/>
      <c r="BT31" s="1597"/>
      <c r="BU31" s="1597"/>
      <c r="BV31" s="1597"/>
      <c r="BW31" s="1597"/>
      <c r="BX31" s="1597"/>
      <c r="BY31" s="1597"/>
      <c r="BZ31" s="1597"/>
      <c r="CA31" s="1597"/>
      <c r="CB31" s="1597"/>
      <c r="CC31" s="1597"/>
      <c r="CD31" s="1597"/>
      <c r="CE31" s="1597"/>
      <c r="CF31" s="1597"/>
      <c r="CG31" s="1597"/>
      <c r="CH31" s="1597"/>
      <c r="CI31" s="1597"/>
      <c r="CJ31" s="1597"/>
      <c r="CK31" s="1597"/>
      <c r="CL31" s="1597"/>
      <c r="CM31" s="1597"/>
    </row>
    <row r="32" spans="1:91" s="1597" customFormat="1" ht="41.25" customHeight="1" x14ac:dyDescent="0.2">
      <c r="A32" s="2340"/>
      <c r="B32" s="2330"/>
      <c r="C32" s="2173" t="s">
        <v>2656</v>
      </c>
      <c r="D32" s="2198">
        <v>0</v>
      </c>
      <c r="E32" s="2330"/>
      <c r="F32" s="2330"/>
      <c r="G32" s="2330"/>
    </row>
    <row r="33" spans="1:91" s="1597" customFormat="1" ht="27.75" customHeight="1" x14ac:dyDescent="0.2">
      <c r="A33" s="2340"/>
      <c r="B33" s="2330"/>
      <c r="C33" s="2174" t="s">
        <v>1603</v>
      </c>
      <c r="D33" s="2198">
        <v>0</v>
      </c>
      <c r="E33" s="2330"/>
      <c r="F33" s="2330"/>
      <c r="G33" s="2330"/>
    </row>
    <row r="34" spans="1:91" s="1597" customFormat="1" ht="15" customHeight="1" x14ac:dyDescent="0.2">
      <c r="A34" s="2340"/>
      <c r="B34" s="2330"/>
      <c r="C34" s="2174" t="s">
        <v>2494</v>
      </c>
      <c r="D34" s="2198">
        <v>0</v>
      </c>
      <c r="E34" s="2330"/>
      <c r="F34" s="2330"/>
      <c r="G34" s="2330"/>
    </row>
    <row r="35" spans="1:91" s="1597" customFormat="1" ht="15" customHeight="1" x14ac:dyDescent="0.2">
      <c r="A35" s="2340"/>
      <c r="B35" s="2330"/>
      <c r="C35" s="2174" t="s">
        <v>1949</v>
      </c>
      <c r="D35" s="2198">
        <v>0</v>
      </c>
      <c r="E35" s="2330"/>
      <c r="F35" s="2330"/>
      <c r="G35" s="2330"/>
    </row>
    <row r="36" spans="1:91" s="1597" customFormat="1" ht="15" customHeight="1" x14ac:dyDescent="0.2">
      <c r="A36" s="2340"/>
      <c r="B36" s="2330"/>
      <c r="C36" s="2174" t="s">
        <v>2495</v>
      </c>
      <c r="D36" s="2198">
        <v>0</v>
      </c>
      <c r="E36" s="2330"/>
      <c r="F36" s="2330"/>
      <c r="G36" s="2330"/>
    </row>
    <row r="37" spans="1:91" s="1597" customFormat="1" ht="15" customHeight="1" x14ac:dyDescent="0.2">
      <c r="A37" s="2340"/>
      <c r="B37" s="2330"/>
      <c r="C37" s="2174" t="s">
        <v>1950</v>
      </c>
      <c r="D37" s="2198">
        <v>1</v>
      </c>
      <c r="E37" s="2330"/>
      <c r="F37" s="2330"/>
      <c r="G37" s="2330"/>
    </row>
    <row r="38" spans="1:91" s="1604" customFormat="1" ht="15" customHeight="1" thickBot="1" x14ac:dyDescent="0.25">
      <c r="A38" s="2341"/>
      <c r="B38" s="2331"/>
      <c r="C38" s="2175" t="s">
        <v>2657</v>
      </c>
      <c r="D38" s="2198">
        <v>0</v>
      </c>
      <c r="E38" s="2331"/>
      <c r="F38" s="2331"/>
      <c r="G38" s="2331"/>
      <c r="H38" s="1597"/>
      <c r="I38" s="1597"/>
      <c r="J38" s="1597"/>
      <c r="K38" s="1597"/>
      <c r="L38" s="1597"/>
      <c r="M38" s="1597"/>
      <c r="N38" s="1597"/>
      <c r="O38" s="1597"/>
      <c r="P38" s="1597"/>
      <c r="Q38" s="1597"/>
      <c r="R38" s="1597"/>
      <c r="S38" s="1597"/>
      <c r="T38" s="1597"/>
      <c r="U38" s="1597"/>
      <c r="V38" s="1597"/>
      <c r="W38" s="1597"/>
      <c r="X38" s="1597"/>
      <c r="Y38" s="1597"/>
      <c r="Z38" s="1597"/>
      <c r="AA38" s="1597"/>
      <c r="AB38" s="1597"/>
      <c r="AC38" s="1597"/>
      <c r="AD38" s="1597"/>
      <c r="AE38" s="1597"/>
      <c r="AF38" s="1597"/>
      <c r="AG38" s="1597"/>
      <c r="AH38" s="1597"/>
      <c r="AI38" s="1597"/>
      <c r="AJ38" s="1597"/>
      <c r="AK38" s="1597"/>
      <c r="AL38" s="1597"/>
      <c r="AM38" s="1597"/>
      <c r="AN38" s="1597"/>
      <c r="AO38" s="1597"/>
      <c r="AP38" s="1597"/>
      <c r="AQ38" s="1597"/>
      <c r="AR38" s="1597"/>
      <c r="AS38" s="1597"/>
      <c r="AT38" s="1597"/>
      <c r="AU38" s="1597"/>
      <c r="AV38" s="1597"/>
      <c r="AW38" s="1597"/>
      <c r="AX38" s="1597"/>
      <c r="AY38" s="1597"/>
      <c r="AZ38" s="1597"/>
      <c r="BA38" s="1597"/>
      <c r="BB38" s="1597"/>
      <c r="BC38" s="1597"/>
      <c r="BD38" s="1597"/>
      <c r="BE38" s="1597"/>
      <c r="BF38" s="1597"/>
      <c r="BG38" s="1597"/>
      <c r="BH38" s="1597"/>
      <c r="BI38" s="1597"/>
      <c r="BJ38" s="1597"/>
      <c r="BK38" s="1597"/>
      <c r="BL38" s="1597"/>
      <c r="BM38" s="1597"/>
      <c r="BN38" s="1597"/>
      <c r="BO38" s="1597"/>
      <c r="BP38" s="1597"/>
      <c r="BQ38" s="1597"/>
      <c r="BR38" s="1597"/>
      <c r="BS38" s="1597"/>
      <c r="BT38" s="1597"/>
      <c r="BU38" s="1597"/>
      <c r="BV38" s="1597"/>
      <c r="BW38" s="1597"/>
      <c r="BX38" s="1597"/>
      <c r="BY38" s="1597"/>
      <c r="BZ38" s="1597"/>
      <c r="CA38" s="1597"/>
      <c r="CB38" s="1597"/>
      <c r="CC38" s="1597"/>
      <c r="CD38" s="1597"/>
      <c r="CE38" s="1597"/>
      <c r="CF38" s="1597"/>
      <c r="CG38" s="1597"/>
      <c r="CH38" s="1597"/>
      <c r="CI38" s="1597"/>
      <c r="CJ38" s="1597"/>
      <c r="CK38" s="1597"/>
      <c r="CL38" s="1597"/>
      <c r="CM38" s="1597"/>
    </row>
    <row r="39" spans="1:91" s="1602" customFormat="1" ht="107.25" customHeight="1" thickBot="1" x14ac:dyDescent="0.25">
      <c r="A39" s="1170" t="s">
        <v>623</v>
      </c>
      <c r="B39" s="1776" t="s">
        <v>1304</v>
      </c>
      <c r="C39" s="1775" t="s">
        <v>2671</v>
      </c>
      <c r="D39" s="2218">
        <v>3</v>
      </c>
      <c r="E39" s="1776" t="s">
        <v>2558</v>
      </c>
      <c r="F39" s="1776"/>
      <c r="G39" s="1776"/>
      <c r="H39" s="1601"/>
      <c r="I39" s="1601"/>
      <c r="J39" s="1601"/>
      <c r="K39" s="1601"/>
      <c r="L39" s="1601"/>
      <c r="M39" s="1601"/>
      <c r="N39" s="1601"/>
      <c r="O39" s="1601"/>
      <c r="P39" s="1601"/>
      <c r="Q39" s="1601"/>
      <c r="R39" s="1601"/>
      <c r="S39" s="1601"/>
      <c r="T39" s="1601"/>
      <c r="U39" s="1601"/>
      <c r="V39" s="1601"/>
      <c r="W39" s="1601"/>
      <c r="X39" s="1601"/>
      <c r="Y39" s="1601"/>
      <c r="Z39" s="1601"/>
      <c r="AA39" s="1601"/>
      <c r="AB39" s="1601"/>
      <c r="AC39" s="1601"/>
      <c r="AD39" s="1601"/>
      <c r="AE39" s="1601"/>
      <c r="AF39" s="1601"/>
      <c r="AG39" s="1601"/>
      <c r="AH39" s="1601"/>
      <c r="AI39" s="1601"/>
      <c r="AJ39" s="1601"/>
      <c r="AK39" s="1601"/>
      <c r="AL39" s="1601"/>
      <c r="AM39" s="1601"/>
      <c r="AN39" s="1601"/>
      <c r="AO39" s="1601"/>
      <c r="AP39" s="1601"/>
      <c r="AQ39" s="1601"/>
      <c r="AR39" s="1601"/>
      <c r="AS39" s="1601"/>
      <c r="AT39" s="1601"/>
      <c r="AU39" s="1601"/>
      <c r="AV39" s="1601"/>
      <c r="AW39" s="1601"/>
      <c r="AX39" s="1601"/>
      <c r="AY39" s="1601"/>
      <c r="AZ39" s="1601"/>
      <c r="BA39" s="1601"/>
      <c r="BB39" s="1601"/>
      <c r="BC39" s="1601"/>
      <c r="BD39" s="1601"/>
      <c r="BE39" s="1601"/>
      <c r="BF39" s="1601"/>
      <c r="BG39" s="1601"/>
      <c r="BH39" s="1601"/>
      <c r="BI39" s="1601"/>
      <c r="BJ39" s="1601"/>
      <c r="BK39" s="1601"/>
      <c r="BL39" s="1601"/>
      <c r="BM39" s="1601"/>
      <c r="BN39" s="1601"/>
      <c r="BO39" s="1601"/>
      <c r="BP39" s="1601"/>
      <c r="BQ39" s="1601"/>
      <c r="BR39" s="1601"/>
      <c r="BS39" s="1601"/>
      <c r="BT39" s="1601"/>
      <c r="BU39" s="1601"/>
      <c r="BV39" s="1601"/>
      <c r="BW39" s="1601"/>
      <c r="BX39" s="1601"/>
      <c r="BY39" s="1601"/>
      <c r="BZ39" s="1601"/>
      <c r="CA39" s="1601"/>
      <c r="CB39" s="1601"/>
      <c r="CC39" s="1601"/>
      <c r="CD39" s="1601"/>
      <c r="CE39" s="1601"/>
      <c r="CF39" s="1601"/>
      <c r="CG39" s="1601"/>
      <c r="CH39" s="1601"/>
      <c r="CI39" s="1601"/>
      <c r="CJ39" s="1601"/>
      <c r="CK39" s="1601"/>
      <c r="CL39" s="1601"/>
      <c r="CM39" s="1601"/>
    </row>
    <row r="40" spans="1:91" s="1602" customFormat="1" ht="81.75" customHeight="1" thickBot="1" x14ac:dyDescent="0.25">
      <c r="A40" s="1170" t="s">
        <v>624</v>
      </c>
      <c r="B40" s="1776" t="s">
        <v>1316</v>
      </c>
      <c r="C40" s="2176" t="s">
        <v>2927</v>
      </c>
      <c r="D40" s="2200">
        <v>0</v>
      </c>
      <c r="E40" s="1776" t="s">
        <v>2468</v>
      </c>
      <c r="F40" s="1776"/>
      <c r="G40" s="1776"/>
      <c r="H40" s="1601"/>
      <c r="I40" s="1601"/>
      <c r="J40" s="1601"/>
      <c r="K40" s="1601"/>
      <c r="L40" s="1601"/>
      <c r="M40" s="1601"/>
      <c r="N40" s="1601"/>
      <c r="O40" s="1601"/>
      <c r="P40" s="1601"/>
      <c r="Q40" s="1601"/>
      <c r="R40" s="1601"/>
      <c r="S40" s="1601"/>
      <c r="T40" s="1601"/>
      <c r="U40" s="1601"/>
      <c r="V40" s="1601"/>
      <c r="W40" s="1601"/>
      <c r="X40" s="1601"/>
      <c r="Y40" s="1601"/>
      <c r="Z40" s="1601"/>
      <c r="AA40" s="1601"/>
      <c r="AB40" s="1601"/>
      <c r="AC40" s="1601"/>
      <c r="AD40" s="1601"/>
      <c r="AE40" s="1601"/>
      <c r="AF40" s="1601"/>
      <c r="AG40" s="1601"/>
      <c r="AH40" s="1601"/>
      <c r="AI40" s="1601"/>
      <c r="AJ40" s="1601"/>
      <c r="AK40" s="1601"/>
      <c r="AL40" s="1601"/>
      <c r="AM40" s="1601"/>
      <c r="AN40" s="1601"/>
      <c r="AO40" s="1601"/>
      <c r="AP40" s="1601"/>
      <c r="AQ40" s="1601"/>
      <c r="AR40" s="1601"/>
      <c r="AS40" s="1601"/>
      <c r="AT40" s="1601"/>
      <c r="AU40" s="1601"/>
      <c r="AV40" s="1601"/>
      <c r="AW40" s="1601"/>
      <c r="AX40" s="1601"/>
      <c r="AY40" s="1601"/>
      <c r="AZ40" s="1601"/>
      <c r="BA40" s="1601"/>
      <c r="BB40" s="1601"/>
      <c r="BC40" s="1601"/>
      <c r="BD40" s="1601"/>
      <c r="BE40" s="1601"/>
      <c r="BF40" s="1601"/>
      <c r="BG40" s="1601"/>
      <c r="BH40" s="1601"/>
      <c r="BI40" s="1601"/>
      <c r="BJ40" s="1601"/>
      <c r="BK40" s="1601"/>
      <c r="BL40" s="1601"/>
      <c r="BM40" s="1601"/>
      <c r="BN40" s="1601"/>
      <c r="BO40" s="1601"/>
      <c r="BP40" s="1601"/>
      <c r="BQ40" s="1601"/>
      <c r="BR40" s="1601"/>
      <c r="BS40" s="1601"/>
      <c r="BT40" s="1601"/>
      <c r="BU40" s="1601"/>
      <c r="BV40" s="1601"/>
      <c r="BW40" s="1601"/>
      <c r="BX40" s="1601"/>
      <c r="BY40" s="1601"/>
      <c r="BZ40" s="1601"/>
      <c r="CA40" s="1601"/>
      <c r="CB40" s="1601"/>
      <c r="CC40" s="1601"/>
      <c r="CD40" s="1601"/>
      <c r="CE40" s="1601"/>
      <c r="CF40" s="1601"/>
      <c r="CG40" s="1601"/>
      <c r="CH40" s="1601"/>
      <c r="CI40" s="1601"/>
      <c r="CJ40" s="1601"/>
      <c r="CK40" s="1601"/>
      <c r="CL40" s="1601"/>
      <c r="CM40" s="1601"/>
    </row>
    <row r="41" spans="1:91" s="1603" customFormat="1" ht="42" customHeight="1" thickBot="1" x14ac:dyDescent="0.25">
      <c r="A41" s="2323" t="s">
        <v>625</v>
      </c>
      <c r="B41" s="2329" t="s">
        <v>2270</v>
      </c>
      <c r="C41" s="1774" t="s">
        <v>2487</v>
      </c>
      <c r="D41" s="2197"/>
      <c r="E41" s="2329" t="s">
        <v>2469</v>
      </c>
      <c r="F41" s="2329"/>
      <c r="G41" s="2329"/>
      <c r="H41" s="1597"/>
      <c r="I41" s="1597"/>
      <c r="J41" s="1597"/>
      <c r="K41" s="1597"/>
      <c r="L41" s="1597"/>
      <c r="M41" s="1597"/>
      <c r="N41" s="1597"/>
      <c r="O41" s="1597"/>
      <c r="P41" s="1597"/>
      <c r="Q41" s="1597"/>
      <c r="R41" s="1597"/>
      <c r="S41" s="1597"/>
      <c r="T41" s="1597"/>
      <c r="U41" s="1597"/>
      <c r="V41" s="1597"/>
      <c r="W41" s="1597"/>
      <c r="X41" s="1597"/>
      <c r="Y41" s="1597"/>
      <c r="Z41" s="1597"/>
      <c r="AA41" s="1597"/>
      <c r="AB41" s="1597"/>
      <c r="AC41" s="1597"/>
      <c r="AD41" s="1597"/>
      <c r="AE41" s="1597"/>
      <c r="AF41" s="1597"/>
      <c r="AG41" s="1597"/>
      <c r="AH41" s="1597"/>
      <c r="AI41" s="1597"/>
      <c r="AJ41" s="1597"/>
      <c r="AK41" s="1597"/>
      <c r="AL41" s="1597"/>
      <c r="AM41" s="1597"/>
      <c r="AN41" s="1597"/>
      <c r="AO41" s="1597"/>
      <c r="AP41" s="1597"/>
      <c r="AQ41" s="1597"/>
      <c r="AR41" s="1597"/>
      <c r="AS41" s="1597"/>
      <c r="AT41" s="1597"/>
      <c r="AU41" s="1597"/>
      <c r="AV41" s="1597"/>
      <c r="AW41" s="1597"/>
      <c r="AX41" s="1597"/>
      <c r="AY41" s="1597"/>
      <c r="AZ41" s="1597"/>
      <c r="BA41" s="1597"/>
      <c r="BB41" s="1597"/>
      <c r="BC41" s="1597"/>
      <c r="BD41" s="1597"/>
      <c r="BE41" s="1597"/>
      <c r="BF41" s="1597"/>
      <c r="BG41" s="1597"/>
      <c r="BH41" s="1597"/>
      <c r="BI41" s="1597"/>
      <c r="BJ41" s="1597"/>
      <c r="BK41" s="1597"/>
      <c r="BL41" s="1597"/>
      <c r="BM41" s="1597"/>
      <c r="BN41" s="1597"/>
      <c r="BO41" s="1597"/>
      <c r="BP41" s="1597"/>
      <c r="BQ41" s="1597"/>
      <c r="BR41" s="1597"/>
      <c r="BS41" s="1597"/>
      <c r="BT41" s="1597"/>
      <c r="BU41" s="1597"/>
      <c r="BV41" s="1597"/>
      <c r="BW41" s="1597"/>
      <c r="BX41" s="1597"/>
      <c r="BY41" s="1597"/>
      <c r="BZ41" s="1597"/>
      <c r="CA41" s="1597"/>
      <c r="CB41" s="1597"/>
      <c r="CC41" s="1597"/>
      <c r="CD41" s="1597"/>
      <c r="CE41" s="1597"/>
      <c r="CF41" s="1597"/>
      <c r="CG41" s="1597"/>
      <c r="CH41" s="1597"/>
      <c r="CI41" s="1597"/>
      <c r="CJ41" s="1597"/>
      <c r="CK41" s="1597"/>
      <c r="CL41" s="1597"/>
      <c r="CM41" s="1597"/>
    </row>
    <row r="42" spans="1:91" s="1597" customFormat="1" ht="15" customHeight="1" x14ac:dyDescent="0.2">
      <c r="A42" s="2324"/>
      <c r="B42" s="2330"/>
      <c r="C42" s="2173" t="s">
        <v>1951</v>
      </c>
      <c r="D42" s="2198">
        <v>0</v>
      </c>
      <c r="E42" s="2330"/>
      <c r="F42" s="2330"/>
      <c r="G42" s="2330"/>
    </row>
    <row r="43" spans="1:91" s="1597" customFormat="1" ht="15" customHeight="1" x14ac:dyDescent="0.2">
      <c r="A43" s="2324"/>
      <c r="B43" s="2330"/>
      <c r="C43" s="2174" t="s">
        <v>1952</v>
      </c>
      <c r="D43" s="2198">
        <v>0</v>
      </c>
      <c r="E43" s="2330"/>
      <c r="F43" s="2330"/>
      <c r="G43" s="2330"/>
    </row>
    <row r="44" spans="1:91" s="1597" customFormat="1" ht="15" customHeight="1" x14ac:dyDescent="0.2">
      <c r="A44" s="2324"/>
      <c r="B44" s="2330"/>
      <c r="C44" s="2174" t="s">
        <v>1953</v>
      </c>
      <c r="D44" s="2198">
        <v>1</v>
      </c>
      <c r="E44" s="2330"/>
      <c r="F44" s="2330"/>
      <c r="G44" s="2330"/>
    </row>
    <row r="45" spans="1:91" s="1597" customFormat="1" ht="15" customHeight="1" x14ac:dyDescent="0.2">
      <c r="A45" s="2324"/>
      <c r="B45" s="2330"/>
      <c r="C45" s="2174" t="s">
        <v>1954</v>
      </c>
      <c r="D45" s="2198">
        <v>0</v>
      </c>
      <c r="E45" s="2330"/>
      <c r="F45" s="2330"/>
      <c r="G45" s="2330"/>
    </row>
    <row r="46" spans="1:91" s="1604" customFormat="1" ht="15" customHeight="1" thickBot="1" x14ac:dyDescent="0.25">
      <c r="A46" s="2325"/>
      <c r="B46" s="2331"/>
      <c r="C46" s="2175" t="s">
        <v>2609</v>
      </c>
      <c r="D46" s="2198">
        <v>0</v>
      </c>
      <c r="E46" s="2331"/>
      <c r="F46" s="2331"/>
      <c r="G46" s="2331"/>
      <c r="H46" s="1597"/>
      <c r="I46" s="1597"/>
      <c r="J46" s="1597"/>
      <c r="K46" s="1597"/>
      <c r="L46" s="1597"/>
      <c r="M46" s="1597"/>
      <c r="N46" s="1597"/>
      <c r="O46" s="1597"/>
      <c r="P46" s="1597"/>
      <c r="Q46" s="1597"/>
      <c r="R46" s="1597"/>
      <c r="S46" s="1597"/>
      <c r="T46" s="1597"/>
      <c r="U46" s="1597"/>
      <c r="V46" s="1597"/>
      <c r="W46" s="1597"/>
      <c r="X46" s="1597"/>
      <c r="Y46" s="1597"/>
      <c r="Z46" s="1597"/>
      <c r="AA46" s="1597"/>
      <c r="AB46" s="1597"/>
      <c r="AC46" s="1597"/>
      <c r="AD46" s="1597"/>
      <c r="AE46" s="1597"/>
      <c r="AF46" s="1597"/>
      <c r="AG46" s="1597"/>
      <c r="AH46" s="1597"/>
      <c r="AI46" s="1597"/>
      <c r="AJ46" s="1597"/>
      <c r="AK46" s="1597"/>
      <c r="AL46" s="1597"/>
      <c r="AM46" s="1597"/>
      <c r="AN46" s="1597"/>
      <c r="AO46" s="1597"/>
      <c r="AP46" s="1597"/>
      <c r="AQ46" s="1597"/>
      <c r="AR46" s="1597"/>
      <c r="AS46" s="1597"/>
      <c r="AT46" s="1597"/>
      <c r="AU46" s="1597"/>
      <c r="AV46" s="1597"/>
      <c r="AW46" s="1597"/>
      <c r="AX46" s="1597"/>
      <c r="AY46" s="1597"/>
      <c r="AZ46" s="1597"/>
      <c r="BA46" s="1597"/>
      <c r="BB46" s="1597"/>
      <c r="BC46" s="1597"/>
      <c r="BD46" s="1597"/>
      <c r="BE46" s="1597"/>
      <c r="BF46" s="1597"/>
      <c r="BG46" s="1597"/>
      <c r="BH46" s="1597"/>
      <c r="BI46" s="1597"/>
      <c r="BJ46" s="1597"/>
      <c r="BK46" s="1597"/>
      <c r="BL46" s="1597"/>
      <c r="BM46" s="1597"/>
      <c r="BN46" s="1597"/>
      <c r="BO46" s="1597"/>
      <c r="BP46" s="1597"/>
      <c r="BQ46" s="1597"/>
      <c r="BR46" s="1597"/>
      <c r="BS46" s="1597"/>
      <c r="BT46" s="1597"/>
      <c r="BU46" s="1597"/>
      <c r="BV46" s="1597"/>
      <c r="BW46" s="1597"/>
      <c r="BX46" s="1597"/>
      <c r="BY46" s="1597"/>
      <c r="BZ46" s="1597"/>
      <c r="CA46" s="1597"/>
      <c r="CB46" s="1597"/>
      <c r="CC46" s="1597"/>
      <c r="CD46" s="1597"/>
      <c r="CE46" s="1597"/>
      <c r="CF46" s="1597"/>
      <c r="CG46" s="1597"/>
      <c r="CH46" s="1597"/>
      <c r="CI46" s="1597"/>
      <c r="CJ46" s="1597"/>
      <c r="CK46" s="1597"/>
      <c r="CL46" s="1597"/>
      <c r="CM46" s="1597"/>
    </row>
    <row r="47" spans="1:91" s="1603" customFormat="1" ht="21" customHeight="1" thickBot="1" x14ac:dyDescent="0.25">
      <c r="A47" s="2339" t="s">
        <v>626</v>
      </c>
      <c r="B47" s="2329" t="s">
        <v>261</v>
      </c>
      <c r="C47" s="1775" t="s">
        <v>2496</v>
      </c>
      <c r="D47" s="2197"/>
      <c r="E47" s="2329" t="s">
        <v>1928</v>
      </c>
      <c r="F47" s="2329"/>
      <c r="G47" s="2329"/>
      <c r="H47" s="1597"/>
      <c r="I47" s="1597"/>
      <c r="J47" s="1597"/>
      <c r="K47" s="1597"/>
      <c r="L47" s="1597"/>
      <c r="M47" s="1597"/>
      <c r="N47" s="1597"/>
      <c r="O47" s="1597"/>
      <c r="P47" s="1597"/>
      <c r="Q47" s="1597"/>
      <c r="R47" s="1597"/>
      <c r="S47" s="1597"/>
      <c r="T47" s="1597"/>
      <c r="U47" s="1597"/>
      <c r="V47" s="1597"/>
      <c r="W47" s="1597"/>
      <c r="X47" s="1597"/>
      <c r="Y47" s="1597"/>
      <c r="Z47" s="1597"/>
      <c r="AA47" s="1597"/>
      <c r="AB47" s="1597"/>
      <c r="AC47" s="1597"/>
      <c r="AD47" s="1597"/>
      <c r="AE47" s="1597"/>
      <c r="AF47" s="1597"/>
      <c r="AG47" s="1597"/>
      <c r="AH47" s="1597"/>
      <c r="AI47" s="1597"/>
      <c r="AJ47" s="1597"/>
      <c r="AK47" s="1597"/>
      <c r="AL47" s="1597"/>
      <c r="AM47" s="1597"/>
      <c r="AN47" s="1597"/>
      <c r="AO47" s="1597"/>
      <c r="AP47" s="1597"/>
      <c r="AQ47" s="1597"/>
      <c r="AR47" s="1597"/>
      <c r="AS47" s="1597"/>
      <c r="AT47" s="1597"/>
      <c r="AU47" s="1597"/>
      <c r="AV47" s="1597"/>
      <c r="AW47" s="1597"/>
      <c r="AX47" s="1597"/>
      <c r="AY47" s="1597"/>
      <c r="AZ47" s="1597"/>
      <c r="BA47" s="1597"/>
      <c r="BB47" s="1597"/>
      <c r="BC47" s="1597"/>
      <c r="BD47" s="1597"/>
      <c r="BE47" s="1597"/>
      <c r="BF47" s="1597"/>
      <c r="BG47" s="1597"/>
      <c r="BH47" s="1597"/>
      <c r="BI47" s="1597"/>
      <c r="BJ47" s="1597"/>
      <c r="BK47" s="1597"/>
      <c r="BL47" s="1597"/>
      <c r="BM47" s="1597"/>
      <c r="BN47" s="1597"/>
      <c r="BO47" s="1597"/>
      <c r="BP47" s="1597"/>
      <c r="BQ47" s="1597"/>
      <c r="BR47" s="1597"/>
      <c r="BS47" s="1597"/>
      <c r="BT47" s="1597"/>
      <c r="BU47" s="1597"/>
      <c r="BV47" s="1597"/>
      <c r="BW47" s="1597"/>
      <c r="BX47" s="1597"/>
      <c r="BY47" s="1597"/>
      <c r="BZ47" s="1597"/>
      <c r="CA47" s="1597"/>
      <c r="CB47" s="1597"/>
      <c r="CC47" s="1597"/>
      <c r="CD47" s="1597"/>
      <c r="CE47" s="1597"/>
      <c r="CF47" s="1597"/>
      <c r="CG47" s="1597"/>
      <c r="CH47" s="1597"/>
      <c r="CI47" s="1597"/>
      <c r="CJ47" s="1597"/>
      <c r="CK47" s="1597"/>
      <c r="CL47" s="1597"/>
      <c r="CM47" s="1597"/>
    </row>
    <row r="48" spans="1:91" s="1597" customFormat="1" ht="15" customHeight="1" x14ac:dyDescent="0.2">
      <c r="A48" s="2340"/>
      <c r="B48" s="2330"/>
      <c r="C48" s="2173" t="s">
        <v>2658</v>
      </c>
      <c r="D48" s="2198">
        <v>0</v>
      </c>
      <c r="E48" s="2330"/>
      <c r="F48" s="2330"/>
      <c r="G48" s="2330"/>
    </row>
    <row r="49" spans="1:91" s="1604" customFormat="1" ht="15" customHeight="1" thickBot="1" x14ac:dyDescent="0.25">
      <c r="A49" s="2341"/>
      <c r="B49" s="2331"/>
      <c r="C49" s="2175" t="s">
        <v>2659</v>
      </c>
      <c r="D49" s="2198">
        <v>1</v>
      </c>
      <c r="E49" s="2331"/>
      <c r="F49" s="2331"/>
      <c r="G49" s="2331"/>
      <c r="H49" s="1597"/>
      <c r="I49" s="1597"/>
      <c r="J49" s="1597"/>
      <c r="K49" s="1597"/>
      <c r="L49" s="1597"/>
      <c r="M49" s="1597"/>
      <c r="N49" s="1597"/>
      <c r="O49" s="1597"/>
      <c r="P49" s="1597"/>
      <c r="Q49" s="1597"/>
      <c r="R49" s="1597"/>
      <c r="S49" s="1597"/>
      <c r="T49" s="1597"/>
      <c r="U49" s="1597"/>
      <c r="V49" s="1597"/>
      <c r="W49" s="1597"/>
      <c r="X49" s="1597"/>
      <c r="Y49" s="1597"/>
      <c r="Z49" s="1597"/>
      <c r="AA49" s="1597"/>
      <c r="AB49" s="1597"/>
      <c r="AC49" s="1597"/>
      <c r="AD49" s="1597"/>
      <c r="AE49" s="1597"/>
      <c r="AF49" s="1597"/>
      <c r="AG49" s="1597"/>
      <c r="AH49" s="1597"/>
      <c r="AI49" s="1597"/>
      <c r="AJ49" s="1597"/>
      <c r="AK49" s="1597"/>
      <c r="AL49" s="1597"/>
      <c r="AM49" s="1597"/>
      <c r="AN49" s="1597"/>
      <c r="AO49" s="1597"/>
      <c r="AP49" s="1597"/>
      <c r="AQ49" s="1597"/>
      <c r="AR49" s="1597"/>
      <c r="AS49" s="1597"/>
      <c r="AT49" s="1597"/>
      <c r="AU49" s="1597"/>
      <c r="AV49" s="1597"/>
      <c r="AW49" s="1597"/>
      <c r="AX49" s="1597"/>
      <c r="AY49" s="1597"/>
      <c r="AZ49" s="1597"/>
      <c r="BA49" s="1597"/>
      <c r="BB49" s="1597"/>
      <c r="BC49" s="1597"/>
      <c r="BD49" s="1597"/>
      <c r="BE49" s="1597"/>
      <c r="BF49" s="1597"/>
      <c r="BG49" s="1597"/>
      <c r="BH49" s="1597"/>
      <c r="BI49" s="1597"/>
      <c r="BJ49" s="1597"/>
      <c r="BK49" s="1597"/>
      <c r="BL49" s="1597"/>
      <c r="BM49" s="1597"/>
      <c r="BN49" s="1597"/>
      <c r="BO49" s="1597"/>
      <c r="BP49" s="1597"/>
      <c r="BQ49" s="1597"/>
      <c r="BR49" s="1597"/>
      <c r="BS49" s="1597"/>
      <c r="BT49" s="1597"/>
      <c r="BU49" s="1597"/>
      <c r="BV49" s="1597"/>
      <c r="BW49" s="1597"/>
      <c r="BX49" s="1597"/>
      <c r="BY49" s="1597"/>
      <c r="BZ49" s="1597"/>
      <c r="CA49" s="1597"/>
      <c r="CB49" s="1597"/>
      <c r="CC49" s="1597"/>
      <c r="CD49" s="1597"/>
      <c r="CE49" s="1597"/>
      <c r="CF49" s="1597"/>
      <c r="CG49" s="1597"/>
      <c r="CH49" s="1597"/>
      <c r="CI49" s="1597"/>
      <c r="CJ49" s="1597"/>
      <c r="CK49" s="1597"/>
      <c r="CL49" s="1597"/>
      <c r="CM49" s="1597"/>
    </row>
    <row r="50" spans="1:91" ht="21" customHeight="1" thickBot="1" x14ac:dyDescent="0.25">
      <c r="A50" s="2323" t="s">
        <v>627</v>
      </c>
      <c r="B50" s="2329" t="s">
        <v>484</v>
      </c>
      <c r="C50" s="1774" t="s">
        <v>2497</v>
      </c>
      <c r="D50" s="2197"/>
      <c r="E50" s="2329" t="s">
        <v>2892</v>
      </c>
      <c r="F50" s="2329"/>
      <c r="G50" s="2329"/>
    </row>
    <row r="51" spans="1:91" ht="15" customHeight="1" x14ac:dyDescent="0.2">
      <c r="A51" s="2324"/>
      <c r="B51" s="2330"/>
      <c r="C51" s="2173" t="s">
        <v>2625</v>
      </c>
      <c r="D51" s="2219">
        <v>0</v>
      </c>
      <c r="E51" s="2330"/>
      <c r="F51" s="2330"/>
      <c r="G51" s="2330"/>
    </row>
    <row r="52" spans="1:91" ht="15" customHeight="1" x14ac:dyDescent="0.2">
      <c r="A52" s="2324"/>
      <c r="B52" s="2330"/>
      <c r="C52" s="2174" t="s">
        <v>2626</v>
      </c>
      <c r="D52" s="2220">
        <v>1</v>
      </c>
      <c r="E52" s="2330"/>
      <c r="F52" s="2330"/>
      <c r="G52" s="2330"/>
    </row>
    <row r="53" spans="1:91" ht="15" customHeight="1" x14ac:dyDescent="0.2">
      <c r="A53" s="2324"/>
      <c r="B53" s="2330"/>
      <c r="C53" s="2177" t="s">
        <v>2627</v>
      </c>
      <c r="D53" s="2220">
        <v>0</v>
      </c>
      <c r="E53" s="2330"/>
      <c r="F53" s="2330"/>
      <c r="G53" s="2330"/>
    </row>
    <row r="54" spans="1:91" ht="15" customHeight="1" x14ac:dyDescent="0.2">
      <c r="A54" s="2324"/>
      <c r="B54" s="2330"/>
      <c r="C54" s="2177" t="s">
        <v>2628</v>
      </c>
      <c r="D54" s="2220">
        <v>0</v>
      </c>
      <c r="E54" s="2330"/>
      <c r="F54" s="2330"/>
      <c r="G54" s="2330"/>
    </row>
    <row r="55" spans="1:91" ht="15" customHeight="1" thickBot="1" x14ac:dyDescent="0.25">
      <c r="A55" s="2325"/>
      <c r="B55" s="2331"/>
      <c r="C55" s="2175" t="s">
        <v>2629</v>
      </c>
      <c r="D55" s="2221">
        <v>0</v>
      </c>
      <c r="E55" s="2331"/>
      <c r="F55" s="2331"/>
      <c r="G55" s="2331"/>
    </row>
    <row r="56" spans="1:91" s="1603" customFormat="1" ht="21" customHeight="1" thickBot="1" x14ac:dyDescent="0.25">
      <c r="A56" s="2323" t="s">
        <v>628</v>
      </c>
      <c r="B56" s="2329" t="s">
        <v>971</v>
      </c>
      <c r="C56" s="1775" t="s">
        <v>2498</v>
      </c>
      <c r="D56" s="2197"/>
      <c r="E56" s="2329" t="s">
        <v>2893</v>
      </c>
      <c r="F56" s="2329"/>
      <c r="G56" s="2329"/>
      <c r="H56" s="1597"/>
      <c r="I56" s="1597"/>
      <c r="J56" s="1597"/>
      <c r="K56" s="1597"/>
      <c r="L56" s="1597"/>
      <c r="M56" s="1597"/>
      <c r="N56" s="1597"/>
      <c r="O56" s="1597"/>
      <c r="P56" s="1597"/>
      <c r="Q56" s="1597"/>
      <c r="R56" s="1597"/>
      <c r="S56" s="1597"/>
      <c r="T56" s="1597"/>
      <c r="U56" s="1597"/>
      <c r="V56" s="1597"/>
      <c r="W56" s="1597"/>
      <c r="X56" s="1597"/>
      <c r="Y56" s="1597"/>
      <c r="Z56" s="1597"/>
      <c r="AA56" s="1597"/>
      <c r="AB56" s="1597"/>
      <c r="AC56" s="1597"/>
      <c r="AD56" s="1597"/>
      <c r="AE56" s="1597"/>
      <c r="AF56" s="1597"/>
      <c r="AG56" s="1597"/>
      <c r="AH56" s="1597"/>
      <c r="AI56" s="1597"/>
      <c r="AJ56" s="1597"/>
      <c r="AK56" s="1597"/>
      <c r="AL56" s="1597"/>
      <c r="AM56" s="1597"/>
      <c r="AN56" s="1597"/>
      <c r="AO56" s="1597"/>
      <c r="AP56" s="1597"/>
      <c r="AQ56" s="1597"/>
      <c r="AR56" s="1597"/>
      <c r="AS56" s="1597"/>
      <c r="AT56" s="1597"/>
      <c r="AU56" s="1597"/>
      <c r="AV56" s="1597"/>
      <c r="AW56" s="1597"/>
      <c r="AX56" s="1597"/>
      <c r="AY56" s="1597"/>
      <c r="AZ56" s="1597"/>
      <c r="BA56" s="1597"/>
      <c r="BB56" s="1597"/>
      <c r="BC56" s="1597"/>
      <c r="BD56" s="1597"/>
      <c r="BE56" s="1597"/>
      <c r="BF56" s="1597"/>
      <c r="BG56" s="1597"/>
      <c r="BH56" s="1597"/>
      <c r="BI56" s="1597"/>
      <c r="BJ56" s="1597"/>
      <c r="BK56" s="1597"/>
      <c r="BL56" s="1597"/>
      <c r="BM56" s="1597"/>
      <c r="BN56" s="1597"/>
      <c r="BO56" s="1597"/>
      <c r="BP56" s="1597"/>
      <c r="BQ56" s="1597"/>
      <c r="BR56" s="1597"/>
      <c r="BS56" s="1597"/>
      <c r="BT56" s="1597"/>
      <c r="BU56" s="1597"/>
      <c r="BV56" s="1597"/>
      <c r="BW56" s="1597"/>
      <c r="BX56" s="1597"/>
      <c r="BY56" s="1597"/>
      <c r="BZ56" s="1597"/>
      <c r="CA56" s="1597"/>
      <c r="CB56" s="1597"/>
      <c r="CC56" s="1597"/>
      <c r="CD56" s="1597"/>
      <c r="CE56" s="1597"/>
      <c r="CF56" s="1597"/>
      <c r="CG56" s="1597"/>
      <c r="CH56" s="1597"/>
      <c r="CI56" s="1597"/>
      <c r="CJ56" s="1597"/>
      <c r="CK56" s="1597"/>
      <c r="CL56" s="1597"/>
      <c r="CM56" s="1597"/>
    </row>
    <row r="57" spans="1:91" s="1597" customFormat="1" ht="15" customHeight="1" x14ac:dyDescent="0.2">
      <c r="A57" s="2324"/>
      <c r="B57" s="2330"/>
      <c r="C57" s="2173" t="s">
        <v>2630</v>
      </c>
      <c r="D57" s="2220">
        <v>0</v>
      </c>
      <c r="E57" s="2330"/>
      <c r="F57" s="2330"/>
      <c r="G57" s="2330"/>
    </row>
    <row r="58" spans="1:91" s="1597" customFormat="1" ht="15" customHeight="1" x14ac:dyDescent="0.2">
      <c r="A58" s="2324"/>
      <c r="B58" s="2330"/>
      <c r="C58" s="2174" t="s">
        <v>2631</v>
      </c>
      <c r="D58" s="2198">
        <v>0</v>
      </c>
      <c r="E58" s="2330"/>
      <c r="F58" s="2330"/>
      <c r="G58" s="2330"/>
    </row>
    <row r="59" spans="1:91" s="1597" customFormat="1" ht="15" customHeight="1" x14ac:dyDescent="0.2">
      <c r="A59" s="2324"/>
      <c r="B59" s="2330"/>
      <c r="C59" s="2177" t="s">
        <v>2632</v>
      </c>
      <c r="D59" s="2198">
        <v>0</v>
      </c>
      <c r="E59" s="2330"/>
      <c r="F59" s="2330"/>
      <c r="G59" s="2330"/>
    </row>
    <row r="60" spans="1:91" s="1597" customFormat="1" ht="15" customHeight="1" x14ac:dyDescent="0.2">
      <c r="A60" s="2324"/>
      <c r="B60" s="2330"/>
      <c r="C60" s="2177" t="s">
        <v>2633</v>
      </c>
      <c r="D60" s="2198">
        <v>0</v>
      </c>
      <c r="E60" s="2330"/>
      <c r="F60" s="2330"/>
      <c r="G60" s="2330"/>
    </row>
    <row r="61" spans="1:91" s="1597" customFormat="1" ht="15" customHeight="1" x14ac:dyDescent="0.2">
      <c r="A61" s="2324"/>
      <c r="B61" s="2330"/>
      <c r="C61" s="2177" t="s">
        <v>2626</v>
      </c>
      <c r="D61" s="2198">
        <v>0</v>
      </c>
      <c r="E61" s="2330"/>
      <c r="F61" s="2330"/>
      <c r="G61" s="2330"/>
    </row>
    <row r="62" spans="1:91" s="1604" customFormat="1" ht="15" customHeight="1" thickBot="1" x14ac:dyDescent="0.25">
      <c r="A62" s="2325"/>
      <c r="B62" s="2331"/>
      <c r="C62" s="2175" t="s">
        <v>2634</v>
      </c>
      <c r="D62" s="2199">
        <v>1</v>
      </c>
      <c r="E62" s="2331"/>
      <c r="F62" s="2331"/>
      <c r="G62" s="2331"/>
      <c r="H62" s="1597"/>
      <c r="I62" s="1597"/>
      <c r="J62" s="1597"/>
      <c r="K62" s="1597"/>
      <c r="L62" s="1597"/>
      <c r="M62" s="1597"/>
      <c r="N62" s="1597"/>
      <c r="O62" s="1597"/>
      <c r="P62" s="1597"/>
      <c r="Q62" s="1597"/>
      <c r="R62" s="1597"/>
      <c r="S62" s="1597"/>
      <c r="T62" s="1597"/>
      <c r="U62" s="1597"/>
      <c r="V62" s="1597"/>
      <c r="W62" s="1597"/>
      <c r="X62" s="1597"/>
      <c r="Y62" s="1597"/>
      <c r="Z62" s="1597"/>
      <c r="AA62" s="1597"/>
      <c r="AB62" s="1597"/>
      <c r="AC62" s="1597"/>
      <c r="AD62" s="1597"/>
      <c r="AE62" s="1597"/>
      <c r="AF62" s="1597"/>
      <c r="AG62" s="1597"/>
      <c r="AH62" s="1597"/>
      <c r="AI62" s="1597"/>
      <c r="AJ62" s="1597"/>
      <c r="AK62" s="1597"/>
      <c r="AL62" s="1597"/>
      <c r="AM62" s="1597"/>
      <c r="AN62" s="1597"/>
      <c r="AO62" s="1597"/>
      <c r="AP62" s="1597"/>
      <c r="AQ62" s="1597"/>
      <c r="AR62" s="1597"/>
      <c r="AS62" s="1597"/>
      <c r="AT62" s="1597"/>
      <c r="AU62" s="1597"/>
      <c r="AV62" s="1597"/>
      <c r="AW62" s="1597"/>
      <c r="AX62" s="1597"/>
      <c r="AY62" s="1597"/>
      <c r="AZ62" s="1597"/>
      <c r="BA62" s="1597"/>
      <c r="BB62" s="1597"/>
      <c r="BC62" s="1597"/>
      <c r="BD62" s="1597"/>
      <c r="BE62" s="1597"/>
      <c r="BF62" s="1597"/>
      <c r="BG62" s="1597"/>
      <c r="BH62" s="1597"/>
      <c r="BI62" s="1597"/>
      <c r="BJ62" s="1597"/>
      <c r="BK62" s="1597"/>
      <c r="BL62" s="1597"/>
      <c r="BM62" s="1597"/>
      <c r="BN62" s="1597"/>
      <c r="BO62" s="1597"/>
      <c r="BP62" s="1597"/>
      <c r="BQ62" s="1597"/>
      <c r="BR62" s="1597"/>
      <c r="BS62" s="1597"/>
      <c r="BT62" s="1597"/>
      <c r="BU62" s="1597"/>
      <c r="BV62" s="1597"/>
      <c r="BW62" s="1597"/>
      <c r="BX62" s="1597"/>
      <c r="BY62" s="1597"/>
      <c r="BZ62" s="1597"/>
      <c r="CA62" s="1597"/>
      <c r="CB62" s="1597"/>
      <c r="CC62" s="1597"/>
      <c r="CD62" s="1597"/>
      <c r="CE62" s="1597"/>
      <c r="CF62" s="1597"/>
      <c r="CG62" s="1597"/>
      <c r="CH62" s="1597"/>
      <c r="CI62" s="1597"/>
      <c r="CJ62" s="1597"/>
      <c r="CK62" s="1597"/>
      <c r="CL62" s="1597"/>
      <c r="CM62" s="1597"/>
    </row>
    <row r="63" spans="1:91" s="1605" customFormat="1" ht="54" customHeight="1" thickBot="1" x14ac:dyDescent="0.25">
      <c r="A63" s="1627" t="s">
        <v>629</v>
      </c>
      <c r="B63" s="1777" t="s">
        <v>1090</v>
      </c>
      <c r="C63" s="1778" t="s">
        <v>2660</v>
      </c>
      <c r="D63" s="2222">
        <v>0</v>
      </c>
      <c r="E63" s="2153" t="s">
        <v>2894</v>
      </c>
      <c r="F63" s="2163"/>
      <c r="G63" s="1924"/>
      <c r="H63" s="1601"/>
      <c r="I63" s="1601"/>
      <c r="J63" s="1601"/>
      <c r="K63" s="1601"/>
      <c r="L63" s="1601"/>
      <c r="M63" s="1601"/>
      <c r="N63" s="1601"/>
      <c r="O63" s="1601"/>
      <c r="P63" s="1601"/>
      <c r="Q63" s="1601"/>
      <c r="R63" s="1601"/>
      <c r="S63" s="1601"/>
      <c r="T63" s="1601"/>
      <c r="U63" s="1601"/>
      <c r="V63" s="1601"/>
      <c r="W63" s="1601"/>
      <c r="X63" s="1601"/>
      <c r="Y63" s="1601"/>
      <c r="Z63" s="1601"/>
      <c r="AA63" s="1601"/>
      <c r="AB63" s="1601"/>
      <c r="AC63" s="1601"/>
      <c r="AD63" s="1601"/>
      <c r="AE63" s="1601"/>
      <c r="AF63" s="1601"/>
      <c r="AG63" s="1601"/>
      <c r="AH63" s="1601"/>
      <c r="AI63" s="1601"/>
      <c r="AJ63" s="1601"/>
      <c r="AK63" s="1601"/>
      <c r="AL63" s="1601"/>
      <c r="AM63" s="1601"/>
      <c r="AN63" s="1601"/>
      <c r="AO63" s="1601"/>
      <c r="AP63" s="1601"/>
      <c r="AQ63" s="1601"/>
      <c r="AR63" s="1601"/>
      <c r="AS63" s="1601"/>
      <c r="AT63" s="1601"/>
      <c r="AU63" s="1601"/>
      <c r="AV63" s="1601"/>
      <c r="AW63" s="1601"/>
      <c r="AX63" s="1601"/>
      <c r="AY63" s="1601"/>
      <c r="AZ63" s="1601"/>
      <c r="BA63" s="1601"/>
      <c r="BB63" s="1601"/>
      <c r="BC63" s="1601"/>
      <c r="BD63" s="1601"/>
      <c r="BE63" s="1601"/>
      <c r="BF63" s="1601"/>
      <c r="BG63" s="1601"/>
      <c r="BH63" s="1601"/>
      <c r="BI63" s="1601"/>
      <c r="BJ63" s="1601"/>
      <c r="BK63" s="1601"/>
      <c r="BL63" s="1601"/>
      <c r="BM63" s="1601"/>
      <c r="BN63" s="1601"/>
      <c r="BO63" s="1601"/>
      <c r="BP63" s="1601"/>
      <c r="BQ63" s="1601"/>
      <c r="BR63" s="1601"/>
      <c r="BS63" s="1601"/>
      <c r="BT63" s="1601"/>
      <c r="BU63" s="1601"/>
      <c r="BV63" s="1601"/>
      <c r="BW63" s="1601"/>
      <c r="BX63" s="1601"/>
      <c r="BY63" s="1601"/>
      <c r="BZ63" s="1601"/>
      <c r="CA63" s="1601"/>
      <c r="CB63" s="1601"/>
      <c r="CC63" s="1601"/>
      <c r="CD63" s="1601"/>
      <c r="CE63" s="1601"/>
      <c r="CF63" s="1601"/>
      <c r="CG63" s="1601"/>
      <c r="CH63" s="1601"/>
      <c r="CI63" s="1601"/>
      <c r="CJ63" s="1601"/>
      <c r="CK63" s="1601"/>
      <c r="CL63" s="1601"/>
      <c r="CM63" s="1601"/>
    </row>
    <row r="64" spans="1:91" s="1603" customFormat="1" ht="21" customHeight="1" thickBot="1" x14ac:dyDescent="0.25">
      <c r="A64" s="2339" t="s">
        <v>630</v>
      </c>
      <c r="B64" s="2329" t="s">
        <v>1313</v>
      </c>
      <c r="C64" s="1775" t="s">
        <v>2521</v>
      </c>
      <c r="D64" s="2197"/>
      <c r="E64" s="2329" t="s">
        <v>2895</v>
      </c>
      <c r="F64" s="2329"/>
      <c r="G64" s="2329"/>
      <c r="H64" s="1597"/>
      <c r="I64" s="1597"/>
      <c r="J64" s="1597"/>
      <c r="K64" s="1597"/>
      <c r="L64" s="1597"/>
      <c r="M64" s="1597"/>
      <c r="N64" s="1597"/>
      <c r="O64" s="1597"/>
      <c r="P64" s="1597"/>
      <c r="Q64" s="1597"/>
      <c r="R64" s="1597"/>
      <c r="S64" s="1597"/>
      <c r="T64" s="1597"/>
      <c r="U64" s="1597"/>
      <c r="V64" s="1597"/>
      <c r="W64" s="1597"/>
      <c r="X64" s="1597"/>
      <c r="Y64" s="1597"/>
      <c r="Z64" s="1597"/>
      <c r="AA64" s="1597"/>
      <c r="AB64" s="1597"/>
      <c r="AC64" s="1597"/>
      <c r="AD64" s="1597"/>
      <c r="AE64" s="1597"/>
      <c r="AF64" s="1597"/>
      <c r="AG64" s="1597"/>
      <c r="AH64" s="1597"/>
      <c r="AI64" s="1597"/>
      <c r="AJ64" s="1597"/>
      <c r="AK64" s="1597"/>
      <c r="AL64" s="1597"/>
      <c r="AM64" s="1597"/>
      <c r="AN64" s="1597"/>
      <c r="AO64" s="1597"/>
      <c r="AP64" s="1597"/>
      <c r="AQ64" s="1597"/>
      <c r="AR64" s="1597"/>
      <c r="AS64" s="1597"/>
      <c r="AT64" s="1597"/>
      <c r="AU64" s="1597"/>
      <c r="AV64" s="1597"/>
      <c r="AW64" s="1597"/>
      <c r="AX64" s="1597"/>
      <c r="AY64" s="1597"/>
      <c r="AZ64" s="1597"/>
      <c r="BA64" s="1597"/>
      <c r="BB64" s="1597"/>
      <c r="BC64" s="1597"/>
      <c r="BD64" s="1597"/>
      <c r="BE64" s="1597"/>
      <c r="BF64" s="1597"/>
      <c r="BG64" s="1597"/>
      <c r="BH64" s="1597"/>
      <c r="BI64" s="1597"/>
      <c r="BJ64" s="1597"/>
      <c r="BK64" s="1597"/>
      <c r="BL64" s="1597"/>
      <c r="BM64" s="1597"/>
      <c r="BN64" s="1597"/>
      <c r="BO64" s="1597"/>
      <c r="BP64" s="1597"/>
      <c r="BQ64" s="1597"/>
      <c r="BR64" s="1597"/>
      <c r="BS64" s="1597"/>
      <c r="BT64" s="1597"/>
      <c r="BU64" s="1597"/>
      <c r="BV64" s="1597"/>
      <c r="BW64" s="1597"/>
      <c r="BX64" s="1597"/>
      <c r="BY64" s="1597"/>
      <c r="BZ64" s="1597"/>
      <c r="CA64" s="1597"/>
      <c r="CB64" s="1597"/>
      <c r="CC64" s="1597"/>
      <c r="CD64" s="1597"/>
      <c r="CE64" s="1597"/>
      <c r="CF64" s="1597"/>
      <c r="CG64" s="1597"/>
      <c r="CH64" s="1597"/>
      <c r="CI64" s="1597"/>
      <c r="CJ64" s="1597"/>
      <c r="CK64" s="1597"/>
      <c r="CL64" s="1597"/>
      <c r="CM64" s="1597"/>
    </row>
    <row r="65" spans="1:91" s="1597" customFormat="1" ht="27" customHeight="1" x14ac:dyDescent="0.2">
      <c r="A65" s="2340"/>
      <c r="B65" s="2330"/>
      <c r="C65" s="2173" t="s">
        <v>2610</v>
      </c>
      <c r="D65" s="2198">
        <v>0</v>
      </c>
      <c r="E65" s="2330"/>
      <c r="F65" s="2330"/>
      <c r="G65" s="2330"/>
    </row>
    <row r="66" spans="1:91" s="1597" customFormat="1" ht="15" customHeight="1" x14ac:dyDescent="0.2">
      <c r="A66" s="2340"/>
      <c r="B66" s="2330"/>
      <c r="C66" s="2174" t="s">
        <v>2570</v>
      </c>
      <c r="D66" s="2198">
        <v>0</v>
      </c>
      <c r="E66" s="2330"/>
      <c r="F66" s="2330"/>
      <c r="G66" s="2330"/>
    </row>
    <row r="67" spans="1:91" s="1597" customFormat="1" ht="15" customHeight="1" x14ac:dyDescent="0.2">
      <c r="A67" s="2340"/>
      <c r="B67" s="2330"/>
      <c r="C67" s="2174" t="s">
        <v>1955</v>
      </c>
      <c r="D67" s="2198">
        <v>0</v>
      </c>
      <c r="E67" s="2330"/>
      <c r="F67" s="2330"/>
      <c r="G67" s="2330"/>
    </row>
    <row r="68" spans="1:91" s="1597" customFormat="1" ht="15" customHeight="1" x14ac:dyDescent="0.2">
      <c r="A68" s="2340"/>
      <c r="B68" s="2330"/>
      <c r="C68" s="2174" t="s">
        <v>1949</v>
      </c>
      <c r="D68" s="2198">
        <v>0</v>
      </c>
      <c r="E68" s="2330"/>
      <c r="F68" s="2330"/>
      <c r="G68" s="2330"/>
    </row>
    <row r="69" spans="1:91" s="1597" customFormat="1" ht="15" customHeight="1" x14ac:dyDescent="0.2">
      <c r="A69" s="2340"/>
      <c r="B69" s="2330"/>
      <c r="C69" s="2174" t="s">
        <v>1956</v>
      </c>
      <c r="D69" s="2198">
        <v>0</v>
      </c>
      <c r="E69" s="2330"/>
      <c r="F69" s="2330"/>
      <c r="G69" s="2330"/>
    </row>
    <row r="70" spans="1:91" s="1597" customFormat="1" ht="15" customHeight="1" x14ac:dyDescent="0.2">
      <c r="A70" s="2340"/>
      <c r="B70" s="2330"/>
      <c r="C70" s="2174" t="s">
        <v>1957</v>
      </c>
      <c r="D70" s="2198">
        <v>1</v>
      </c>
      <c r="E70" s="2330"/>
      <c r="F70" s="2330"/>
      <c r="G70" s="2330"/>
    </row>
    <row r="71" spans="1:91" s="1604" customFormat="1" ht="15" customHeight="1" thickBot="1" x14ac:dyDescent="0.25">
      <c r="A71" s="2341"/>
      <c r="B71" s="2331"/>
      <c r="C71" s="2175" t="s">
        <v>2661</v>
      </c>
      <c r="D71" s="2201">
        <v>0</v>
      </c>
      <c r="E71" s="2331"/>
      <c r="F71" s="2331"/>
      <c r="G71" s="2331"/>
      <c r="H71" s="1597"/>
      <c r="I71" s="1597"/>
      <c r="J71" s="1597"/>
      <c r="K71" s="1597"/>
      <c r="L71" s="1597"/>
      <c r="M71" s="1597"/>
      <c r="N71" s="1597"/>
      <c r="O71" s="1597"/>
      <c r="P71" s="1597"/>
      <c r="Q71" s="1597"/>
      <c r="R71" s="1597"/>
      <c r="S71" s="1597"/>
      <c r="T71" s="1597"/>
      <c r="U71" s="1597"/>
      <c r="V71" s="1597"/>
      <c r="W71" s="1597"/>
      <c r="X71" s="1597"/>
      <c r="Y71" s="1597"/>
      <c r="Z71" s="1597"/>
      <c r="AA71" s="1597"/>
      <c r="AB71" s="1597"/>
      <c r="AC71" s="1597"/>
      <c r="AD71" s="1597"/>
      <c r="AE71" s="1597"/>
      <c r="AF71" s="1597"/>
      <c r="AG71" s="1597"/>
      <c r="AH71" s="1597"/>
      <c r="AI71" s="1597"/>
      <c r="AJ71" s="1597"/>
      <c r="AK71" s="1597"/>
      <c r="AL71" s="1597"/>
      <c r="AM71" s="1597"/>
      <c r="AN71" s="1597"/>
      <c r="AO71" s="1597"/>
      <c r="AP71" s="1597"/>
      <c r="AQ71" s="1597"/>
      <c r="AR71" s="1597"/>
      <c r="AS71" s="1597"/>
      <c r="AT71" s="1597"/>
      <c r="AU71" s="1597"/>
      <c r="AV71" s="1597"/>
      <c r="AW71" s="1597"/>
      <c r="AX71" s="1597"/>
      <c r="AY71" s="1597"/>
      <c r="AZ71" s="1597"/>
      <c r="BA71" s="1597"/>
      <c r="BB71" s="1597"/>
      <c r="BC71" s="1597"/>
      <c r="BD71" s="1597"/>
      <c r="BE71" s="1597"/>
      <c r="BF71" s="1597"/>
      <c r="BG71" s="1597"/>
      <c r="BH71" s="1597"/>
      <c r="BI71" s="1597"/>
      <c r="BJ71" s="1597"/>
      <c r="BK71" s="1597"/>
      <c r="BL71" s="1597"/>
      <c r="BM71" s="1597"/>
      <c r="BN71" s="1597"/>
      <c r="BO71" s="1597"/>
      <c r="BP71" s="1597"/>
      <c r="BQ71" s="1597"/>
      <c r="BR71" s="1597"/>
      <c r="BS71" s="1597"/>
      <c r="BT71" s="1597"/>
      <c r="BU71" s="1597"/>
      <c r="BV71" s="1597"/>
      <c r="BW71" s="1597"/>
      <c r="BX71" s="1597"/>
      <c r="BY71" s="1597"/>
      <c r="BZ71" s="1597"/>
      <c r="CA71" s="1597"/>
      <c r="CB71" s="1597"/>
      <c r="CC71" s="1597"/>
      <c r="CD71" s="1597"/>
      <c r="CE71" s="1597"/>
      <c r="CF71" s="1597"/>
      <c r="CG71" s="1597"/>
      <c r="CH71" s="1597"/>
      <c r="CI71" s="1597"/>
      <c r="CJ71" s="1597"/>
      <c r="CK71" s="1597"/>
      <c r="CL71" s="1597"/>
      <c r="CM71" s="1597"/>
    </row>
    <row r="72" spans="1:91" s="1603" customFormat="1" ht="30" customHeight="1" thickBot="1" x14ac:dyDescent="0.25">
      <c r="A72" s="2339" t="s">
        <v>631</v>
      </c>
      <c r="B72" s="2329" t="s">
        <v>2550</v>
      </c>
      <c r="C72" s="1774" t="s">
        <v>2611</v>
      </c>
      <c r="D72" s="2197"/>
      <c r="E72" s="2329" t="s">
        <v>2546</v>
      </c>
      <c r="F72" s="2329"/>
      <c r="G72" s="2329"/>
      <c r="H72" s="1597"/>
      <c r="I72" s="1597"/>
      <c r="J72" s="1597"/>
      <c r="K72" s="1597"/>
      <c r="L72" s="1597"/>
      <c r="M72" s="1597"/>
      <c r="N72" s="1597"/>
      <c r="O72" s="1597"/>
      <c r="P72" s="1597"/>
      <c r="Q72" s="1597"/>
      <c r="R72" s="1597"/>
      <c r="S72" s="1597"/>
      <c r="T72" s="1597"/>
      <c r="U72" s="1597"/>
      <c r="V72" s="1597"/>
      <c r="W72" s="1597"/>
      <c r="X72" s="1597"/>
      <c r="Y72" s="1597"/>
      <c r="Z72" s="1597"/>
      <c r="AA72" s="1597"/>
      <c r="AB72" s="1597"/>
      <c r="AC72" s="1597"/>
      <c r="AD72" s="1597"/>
      <c r="AE72" s="1597"/>
      <c r="AF72" s="1597"/>
      <c r="AG72" s="1597"/>
      <c r="AH72" s="1597"/>
      <c r="AI72" s="1597"/>
      <c r="AJ72" s="1597"/>
      <c r="AK72" s="1597"/>
      <c r="AL72" s="1597"/>
      <c r="AM72" s="1597"/>
      <c r="AN72" s="1597"/>
      <c r="AO72" s="1597"/>
      <c r="AP72" s="1597"/>
      <c r="AQ72" s="1597"/>
      <c r="AR72" s="1597"/>
      <c r="AS72" s="1597"/>
      <c r="AT72" s="1597"/>
      <c r="AU72" s="1597"/>
      <c r="AV72" s="1597"/>
      <c r="AW72" s="1597"/>
      <c r="AX72" s="1597"/>
      <c r="AY72" s="1597"/>
      <c r="AZ72" s="1597"/>
      <c r="BA72" s="1597"/>
      <c r="BB72" s="1597"/>
      <c r="BC72" s="1597"/>
      <c r="BD72" s="1597"/>
      <c r="BE72" s="1597"/>
      <c r="BF72" s="1597"/>
      <c r="BG72" s="1597"/>
      <c r="BH72" s="1597"/>
      <c r="BI72" s="1597"/>
      <c r="BJ72" s="1597"/>
      <c r="BK72" s="1597"/>
      <c r="BL72" s="1597"/>
      <c r="BM72" s="1597"/>
      <c r="BN72" s="1597"/>
      <c r="BO72" s="1597"/>
      <c r="BP72" s="1597"/>
      <c r="BQ72" s="1597"/>
      <c r="BR72" s="1597"/>
      <c r="BS72" s="1597"/>
      <c r="BT72" s="1597"/>
      <c r="BU72" s="1597"/>
      <c r="BV72" s="1597"/>
      <c r="BW72" s="1597"/>
      <c r="BX72" s="1597"/>
      <c r="BY72" s="1597"/>
      <c r="BZ72" s="1597"/>
      <c r="CA72" s="1597"/>
      <c r="CB72" s="1597"/>
      <c r="CC72" s="1597"/>
      <c r="CD72" s="1597"/>
      <c r="CE72" s="1597"/>
      <c r="CF72" s="1597"/>
      <c r="CG72" s="1597"/>
      <c r="CH72" s="1597"/>
      <c r="CI72" s="1597"/>
      <c r="CJ72" s="1597"/>
      <c r="CK72" s="1597"/>
      <c r="CL72" s="1597"/>
      <c r="CM72" s="1597"/>
    </row>
    <row r="73" spans="1:91" s="1597" customFormat="1" ht="15" customHeight="1" x14ac:dyDescent="0.2">
      <c r="A73" s="2340"/>
      <c r="B73" s="2330"/>
      <c r="C73" s="2178" t="s">
        <v>2625</v>
      </c>
      <c r="D73" s="2202">
        <v>0</v>
      </c>
      <c r="E73" s="2330"/>
      <c r="F73" s="2330"/>
      <c r="G73" s="2330"/>
    </row>
    <row r="74" spans="1:91" s="1597" customFormat="1" ht="15" customHeight="1" x14ac:dyDescent="0.2">
      <c r="A74" s="2340"/>
      <c r="B74" s="2330"/>
      <c r="C74" s="2179" t="s">
        <v>2635</v>
      </c>
      <c r="D74" s="2203">
        <v>0</v>
      </c>
      <c r="E74" s="2330"/>
      <c r="F74" s="2330"/>
      <c r="G74" s="2330"/>
    </row>
    <row r="75" spans="1:91" s="1597" customFormat="1" ht="15" customHeight="1" x14ac:dyDescent="0.2">
      <c r="A75" s="2340"/>
      <c r="B75" s="2330"/>
      <c r="C75" s="2179" t="s">
        <v>2636</v>
      </c>
      <c r="D75" s="2203">
        <v>0</v>
      </c>
      <c r="E75" s="2330"/>
      <c r="F75" s="2330"/>
      <c r="G75" s="2330"/>
    </row>
    <row r="76" spans="1:91" s="1597" customFormat="1" ht="15" customHeight="1" x14ac:dyDescent="0.2">
      <c r="A76" s="2340"/>
      <c r="B76" s="2330"/>
      <c r="C76" s="2179" t="s">
        <v>2637</v>
      </c>
      <c r="D76" s="2203">
        <v>0</v>
      </c>
      <c r="E76" s="2330"/>
      <c r="F76" s="2330"/>
      <c r="G76" s="2330"/>
    </row>
    <row r="77" spans="1:91" s="1597" customFormat="1" ht="15" customHeight="1" x14ac:dyDescent="0.2">
      <c r="A77" s="2340"/>
      <c r="B77" s="2330"/>
      <c r="C77" s="2180" t="s">
        <v>2638</v>
      </c>
      <c r="D77" s="2203">
        <v>1</v>
      </c>
      <c r="E77" s="2330"/>
      <c r="F77" s="2330"/>
      <c r="G77" s="2330"/>
    </row>
    <row r="78" spans="1:91" s="1604" customFormat="1" ht="15" customHeight="1" thickBot="1" x14ac:dyDescent="0.25">
      <c r="A78" s="2341"/>
      <c r="B78" s="2331"/>
      <c r="C78" s="2181" t="s">
        <v>2639</v>
      </c>
      <c r="D78" s="2204">
        <v>0</v>
      </c>
      <c r="E78" s="2331"/>
      <c r="F78" s="2331"/>
      <c r="G78" s="2331"/>
      <c r="H78" s="1597"/>
      <c r="I78" s="1597"/>
      <c r="J78" s="1597"/>
      <c r="K78" s="1597"/>
      <c r="L78" s="1597"/>
      <c r="M78" s="1597"/>
      <c r="N78" s="1597"/>
      <c r="O78" s="1597"/>
      <c r="P78" s="1597"/>
      <c r="Q78" s="1597"/>
      <c r="R78" s="1597"/>
      <c r="S78" s="1597"/>
      <c r="T78" s="1597"/>
      <c r="U78" s="1597"/>
      <c r="V78" s="1597"/>
      <c r="W78" s="1597"/>
      <c r="X78" s="1597"/>
      <c r="Y78" s="1597"/>
      <c r="Z78" s="1597"/>
      <c r="AA78" s="1597"/>
      <c r="AB78" s="1597"/>
      <c r="AC78" s="1597"/>
      <c r="AD78" s="1597"/>
      <c r="AE78" s="1597"/>
      <c r="AF78" s="1597"/>
      <c r="AG78" s="1597"/>
      <c r="AH78" s="1597"/>
      <c r="AI78" s="1597"/>
      <c r="AJ78" s="1597"/>
      <c r="AK78" s="1597"/>
      <c r="AL78" s="1597"/>
      <c r="AM78" s="1597"/>
      <c r="AN78" s="1597"/>
      <c r="AO78" s="1597"/>
      <c r="AP78" s="1597"/>
      <c r="AQ78" s="1597"/>
      <c r="AR78" s="1597"/>
      <c r="AS78" s="1597"/>
      <c r="AT78" s="1597"/>
      <c r="AU78" s="1597"/>
      <c r="AV78" s="1597"/>
      <c r="AW78" s="1597"/>
      <c r="AX78" s="1597"/>
      <c r="AY78" s="1597"/>
      <c r="AZ78" s="1597"/>
      <c r="BA78" s="1597"/>
      <c r="BB78" s="1597"/>
      <c r="BC78" s="1597"/>
      <c r="BD78" s="1597"/>
      <c r="BE78" s="1597"/>
      <c r="BF78" s="1597"/>
      <c r="BG78" s="1597"/>
      <c r="BH78" s="1597"/>
      <c r="BI78" s="1597"/>
      <c r="BJ78" s="1597"/>
      <c r="BK78" s="1597"/>
      <c r="BL78" s="1597"/>
      <c r="BM78" s="1597"/>
      <c r="BN78" s="1597"/>
      <c r="BO78" s="1597"/>
      <c r="BP78" s="1597"/>
      <c r="BQ78" s="1597"/>
      <c r="BR78" s="1597"/>
      <c r="BS78" s="1597"/>
      <c r="BT78" s="1597"/>
      <c r="BU78" s="1597"/>
      <c r="BV78" s="1597"/>
      <c r="BW78" s="1597"/>
      <c r="BX78" s="1597"/>
      <c r="BY78" s="1597"/>
      <c r="BZ78" s="1597"/>
      <c r="CA78" s="1597"/>
      <c r="CB78" s="1597"/>
      <c r="CC78" s="1597"/>
      <c r="CD78" s="1597"/>
      <c r="CE78" s="1597"/>
      <c r="CF78" s="1597"/>
      <c r="CG78" s="1597"/>
      <c r="CH78" s="1597"/>
      <c r="CI78" s="1597"/>
      <c r="CJ78" s="1597"/>
      <c r="CK78" s="1597"/>
      <c r="CL78" s="1597"/>
      <c r="CM78" s="1597"/>
    </row>
    <row r="79" spans="1:91" s="1603" customFormat="1" ht="21" customHeight="1" thickBot="1" x14ac:dyDescent="0.25">
      <c r="A79" s="2339" t="s">
        <v>632</v>
      </c>
      <c r="B79" s="2329" t="s">
        <v>5</v>
      </c>
      <c r="C79" s="1775" t="s">
        <v>2499</v>
      </c>
      <c r="D79" s="2197"/>
      <c r="E79" s="2329" t="s">
        <v>2896</v>
      </c>
      <c r="F79" s="2329"/>
      <c r="G79" s="2329"/>
      <c r="H79" s="1597"/>
      <c r="I79" s="1597"/>
      <c r="J79" s="1597"/>
      <c r="K79" s="1597"/>
      <c r="L79" s="1597"/>
      <c r="M79" s="1597"/>
      <c r="N79" s="1597"/>
      <c r="O79" s="1597"/>
      <c r="P79" s="1597"/>
      <c r="Q79" s="1597"/>
      <c r="R79" s="1597"/>
      <c r="S79" s="1597"/>
      <c r="T79" s="1597"/>
      <c r="U79" s="1597"/>
      <c r="V79" s="1597"/>
      <c r="W79" s="1597"/>
      <c r="X79" s="1597"/>
      <c r="Y79" s="1597"/>
      <c r="Z79" s="1597"/>
      <c r="AA79" s="1597"/>
      <c r="AB79" s="1597"/>
      <c r="AC79" s="1597"/>
      <c r="AD79" s="1597"/>
      <c r="AE79" s="1597"/>
      <c r="AF79" s="1597"/>
      <c r="AG79" s="1597"/>
      <c r="AH79" s="1597"/>
      <c r="AI79" s="1597"/>
      <c r="AJ79" s="1597"/>
      <c r="AK79" s="1597"/>
      <c r="AL79" s="1597"/>
      <c r="AM79" s="1597"/>
      <c r="AN79" s="1597"/>
      <c r="AO79" s="1597"/>
      <c r="AP79" s="1597"/>
      <c r="AQ79" s="1597"/>
      <c r="AR79" s="1597"/>
      <c r="AS79" s="1597"/>
      <c r="AT79" s="1597"/>
      <c r="AU79" s="1597"/>
      <c r="AV79" s="1597"/>
      <c r="AW79" s="1597"/>
      <c r="AX79" s="1597"/>
      <c r="AY79" s="1597"/>
      <c r="AZ79" s="1597"/>
      <c r="BA79" s="1597"/>
      <c r="BB79" s="1597"/>
      <c r="BC79" s="1597"/>
      <c r="BD79" s="1597"/>
      <c r="BE79" s="1597"/>
      <c r="BF79" s="1597"/>
      <c r="BG79" s="1597"/>
      <c r="BH79" s="1597"/>
      <c r="BI79" s="1597"/>
      <c r="BJ79" s="1597"/>
      <c r="BK79" s="1597"/>
      <c r="BL79" s="1597"/>
      <c r="BM79" s="1597"/>
      <c r="BN79" s="1597"/>
      <c r="BO79" s="1597"/>
      <c r="BP79" s="1597"/>
      <c r="BQ79" s="1597"/>
      <c r="BR79" s="1597"/>
      <c r="BS79" s="1597"/>
      <c r="BT79" s="1597"/>
      <c r="BU79" s="1597"/>
      <c r="BV79" s="1597"/>
      <c r="BW79" s="1597"/>
      <c r="BX79" s="1597"/>
      <c r="BY79" s="1597"/>
      <c r="BZ79" s="1597"/>
      <c r="CA79" s="1597"/>
      <c r="CB79" s="1597"/>
      <c r="CC79" s="1597"/>
      <c r="CD79" s="1597"/>
      <c r="CE79" s="1597"/>
      <c r="CF79" s="1597"/>
      <c r="CG79" s="1597"/>
      <c r="CH79" s="1597"/>
      <c r="CI79" s="1597"/>
      <c r="CJ79" s="1597"/>
      <c r="CK79" s="1597"/>
      <c r="CL79" s="1597"/>
      <c r="CM79" s="1597"/>
    </row>
    <row r="80" spans="1:91" s="1597" customFormat="1" ht="15" customHeight="1" x14ac:dyDescent="0.2">
      <c r="A80" s="2340"/>
      <c r="B80" s="2330"/>
      <c r="C80" s="2178" t="s">
        <v>2625</v>
      </c>
      <c r="D80" s="2202">
        <v>1</v>
      </c>
      <c r="E80" s="2330"/>
      <c r="F80" s="2330"/>
      <c r="G80" s="2330"/>
    </row>
    <row r="81" spans="1:91" s="1597" customFormat="1" ht="15" customHeight="1" x14ac:dyDescent="0.2">
      <c r="A81" s="2340"/>
      <c r="B81" s="2330"/>
      <c r="C81" s="2179" t="s">
        <v>2635</v>
      </c>
      <c r="D81" s="2203">
        <v>0</v>
      </c>
      <c r="E81" s="2330"/>
      <c r="F81" s="2330"/>
      <c r="G81" s="2330"/>
    </row>
    <row r="82" spans="1:91" s="1597" customFormat="1" ht="15" customHeight="1" x14ac:dyDescent="0.2">
      <c r="A82" s="2340"/>
      <c r="B82" s="2330"/>
      <c r="C82" s="2179" t="s">
        <v>2628</v>
      </c>
      <c r="D82" s="2203">
        <v>0</v>
      </c>
      <c r="E82" s="2330"/>
      <c r="F82" s="2330"/>
      <c r="G82" s="2330"/>
    </row>
    <row r="83" spans="1:91" s="1597" customFormat="1" ht="15" customHeight="1" x14ac:dyDescent="0.2">
      <c r="A83" s="2340"/>
      <c r="B83" s="2330"/>
      <c r="C83" s="2179" t="s">
        <v>2638</v>
      </c>
      <c r="D83" s="2203">
        <v>0</v>
      </c>
      <c r="E83" s="2330"/>
      <c r="F83" s="2330"/>
      <c r="G83" s="2330"/>
    </row>
    <row r="84" spans="1:91" s="1597" customFormat="1" ht="15" customHeight="1" x14ac:dyDescent="0.2">
      <c r="A84" s="2340"/>
      <c r="B84" s="2330"/>
      <c r="C84" s="2180" t="s">
        <v>2640</v>
      </c>
      <c r="D84" s="2203">
        <v>0</v>
      </c>
      <c r="E84" s="2330"/>
      <c r="F84" s="2330"/>
      <c r="G84" s="2330"/>
    </row>
    <row r="85" spans="1:91" s="1604" customFormat="1" ht="15" customHeight="1" thickBot="1" x14ac:dyDescent="0.25">
      <c r="A85" s="2341"/>
      <c r="B85" s="2331"/>
      <c r="C85" s="2181" t="s">
        <v>2641</v>
      </c>
      <c r="D85" s="2204">
        <v>0</v>
      </c>
      <c r="E85" s="2331"/>
      <c r="F85" s="2331"/>
      <c r="G85" s="2331"/>
      <c r="H85" s="1597"/>
      <c r="I85" s="1597"/>
      <c r="J85" s="1597"/>
      <c r="K85" s="1597"/>
      <c r="L85" s="1597"/>
      <c r="M85" s="1597"/>
      <c r="N85" s="1597"/>
      <c r="O85" s="1597"/>
      <c r="P85" s="1597"/>
      <c r="Q85" s="1597"/>
      <c r="R85" s="1597"/>
      <c r="S85" s="1597"/>
      <c r="T85" s="1597"/>
      <c r="U85" s="1597"/>
      <c r="V85" s="1597"/>
      <c r="W85" s="1597"/>
      <c r="X85" s="1597"/>
      <c r="Y85" s="1597"/>
      <c r="Z85" s="1597"/>
      <c r="AA85" s="1597"/>
      <c r="AB85" s="1597"/>
      <c r="AC85" s="1597"/>
      <c r="AD85" s="1597"/>
      <c r="AE85" s="1597"/>
      <c r="AF85" s="1597"/>
      <c r="AG85" s="1597"/>
      <c r="AH85" s="1597"/>
      <c r="AI85" s="1597"/>
      <c r="AJ85" s="1597"/>
      <c r="AK85" s="1597"/>
      <c r="AL85" s="1597"/>
      <c r="AM85" s="1597"/>
      <c r="AN85" s="1597"/>
      <c r="AO85" s="1597"/>
      <c r="AP85" s="1597"/>
      <c r="AQ85" s="1597"/>
      <c r="AR85" s="1597"/>
      <c r="AS85" s="1597"/>
      <c r="AT85" s="1597"/>
      <c r="AU85" s="1597"/>
      <c r="AV85" s="1597"/>
      <c r="AW85" s="1597"/>
      <c r="AX85" s="1597"/>
      <c r="AY85" s="1597"/>
      <c r="AZ85" s="1597"/>
      <c r="BA85" s="1597"/>
      <c r="BB85" s="1597"/>
      <c r="BC85" s="1597"/>
      <c r="BD85" s="1597"/>
      <c r="BE85" s="1597"/>
      <c r="BF85" s="1597"/>
      <c r="BG85" s="1597"/>
      <c r="BH85" s="1597"/>
      <c r="BI85" s="1597"/>
      <c r="BJ85" s="1597"/>
      <c r="BK85" s="1597"/>
      <c r="BL85" s="1597"/>
      <c r="BM85" s="1597"/>
      <c r="BN85" s="1597"/>
      <c r="BO85" s="1597"/>
      <c r="BP85" s="1597"/>
      <c r="BQ85" s="1597"/>
      <c r="BR85" s="1597"/>
      <c r="BS85" s="1597"/>
      <c r="BT85" s="1597"/>
      <c r="BU85" s="1597"/>
      <c r="BV85" s="1597"/>
      <c r="BW85" s="1597"/>
      <c r="BX85" s="1597"/>
      <c r="BY85" s="1597"/>
      <c r="BZ85" s="1597"/>
      <c r="CA85" s="1597"/>
      <c r="CB85" s="1597"/>
      <c r="CC85" s="1597"/>
      <c r="CD85" s="1597"/>
      <c r="CE85" s="1597"/>
      <c r="CF85" s="1597"/>
      <c r="CG85" s="1597"/>
      <c r="CH85" s="1597"/>
      <c r="CI85" s="1597"/>
      <c r="CJ85" s="1597"/>
      <c r="CK85" s="1597"/>
      <c r="CL85" s="1597"/>
      <c r="CM85" s="1597"/>
    </row>
    <row r="86" spans="1:91" s="1607" customFormat="1" ht="21" customHeight="1" thickBot="1" x14ac:dyDescent="0.25">
      <c r="A86" s="2339" t="s">
        <v>633</v>
      </c>
      <c r="B86" s="2329" t="s">
        <v>1155</v>
      </c>
      <c r="C86" s="1774" t="s">
        <v>1151</v>
      </c>
      <c r="D86" s="2197"/>
      <c r="E86" s="2329" t="s">
        <v>1929</v>
      </c>
      <c r="F86" s="2329" t="s">
        <v>912</v>
      </c>
      <c r="G86" s="2329"/>
      <c r="H86" s="1606"/>
      <c r="I86" s="1606"/>
      <c r="J86" s="1606"/>
      <c r="K86" s="1606"/>
      <c r="L86" s="1606"/>
      <c r="M86" s="1606"/>
      <c r="N86" s="1606"/>
      <c r="O86" s="1606"/>
      <c r="P86" s="1606"/>
      <c r="Q86" s="1606"/>
      <c r="R86" s="1606"/>
      <c r="S86" s="1606"/>
      <c r="T86" s="1606"/>
      <c r="U86" s="1606"/>
      <c r="V86" s="1606"/>
      <c r="W86" s="1606"/>
      <c r="X86" s="1606"/>
      <c r="Y86" s="1606"/>
      <c r="Z86" s="1606"/>
      <c r="AA86" s="1606"/>
      <c r="AB86" s="1606"/>
      <c r="AC86" s="1606"/>
      <c r="AD86" s="1606"/>
      <c r="AE86" s="1606"/>
      <c r="AF86" s="1606"/>
      <c r="AG86" s="1606"/>
      <c r="AH86" s="1606"/>
      <c r="AI86" s="1606"/>
      <c r="AJ86" s="1606"/>
      <c r="AK86" s="1606"/>
      <c r="AL86" s="1606"/>
      <c r="AM86" s="1606"/>
      <c r="AN86" s="1606"/>
      <c r="AO86" s="1606"/>
      <c r="AP86" s="1606"/>
      <c r="AQ86" s="1606"/>
      <c r="AR86" s="1606"/>
      <c r="AS86" s="1606"/>
      <c r="AT86" s="1606"/>
      <c r="AU86" s="1606"/>
      <c r="AV86" s="1606"/>
      <c r="AW86" s="1606"/>
      <c r="AX86" s="1606"/>
      <c r="AY86" s="1606"/>
      <c r="AZ86" s="1606"/>
      <c r="BA86" s="1606"/>
      <c r="BB86" s="1606"/>
      <c r="BC86" s="1606"/>
      <c r="BD86" s="1606"/>
      <c r="BE86" s="1606"/>
      <c r="BF86" s="1606"/>
      <c r="BG86" s="1606"/>
      <c r="BH86" s="1606"/>
      <c r="BI86" s="1606"/>
      <c r="BJ86" s="1606"/>
      <c r="BK86" s="1606"/>
      <c r="BL86" s="1606"/>
      <c r="BM86" s="1606"/>
      <c r="BN86" s="1606"/>
      <c r="BO86" s="1606"/>
      <c r="BP86" s="1606"/>
      <c r="BQ86" s="1606"/>
      <c r="BR86" s="1606"/>
      <c r="BS86" s="1606"/>
      <c r="BT86" s="1606"/>
      <c r="BU86" s="1606"/>
      <c r="BV86" s="1606"/>
      <c r="BW86" s="1606"/>
      <c r="BX86" s="1606"/>
      <c r="BY86" s="1606"/>
      <c r="BZ86" s="1606"/>
      <c r="CA86" s="1606"/>
      <c r="CB86" s="1606"/>
      <c r="CC86" s="1606"/>
      <c r="CD86" s="1606"/>
      <c r="CE86" s="1606"/>
      <c r="CF86" s="1606"/>
      <c r="CG86" s="1606"/>
      <c r="CH86" s="1606"/>
      <c r="CI86" s="1606"/>
      <c r="CJ86" s="1606"/>
      <c r="CK86" s="1606"/>
      <c r="CL86" s="1606"/>
      <c r="CM86" s="1606"/>
    </row>
    <row r="87" spans="1:91" s="1606" customFormat="1" ht="27.75" customHeight="1" x14ac:dyDescent="0.2">
      <c r="A87" s="2340"/>
      <c r="B87" s="2330"/>
      <c r="C87" s="2173" t="s">
        <v>2327</v>
      </c>
      <c r="D87" s="2198">
        <v>1</v>
      </c>
      <c r="E87" s="2330"/>
      <c r="F87" s="2330"/>
      <c r="G87" s="2330"/>
    </row>
    <row r="88" spans="1:91" s="1606" customFormat="1" ht="29.25" customHeight="1" x14ac:dyDescent="0.2">
      <c r="A88" s="2340"/>
      <c r="B88" s="2330"/>
      <c r="C88" s="2174" t="s">
        <v>1152</v>
      </c>
      <c r="D88" s="2198">
        <v>0</v>
      </c>
      <c r="E88" s="2330"/>
      <c r="F88" s="2330"/>
      <c r="G88" s="2330"/>
    </row>
    <row r="89" spans="1:91" s="1606" customFormat="1" ht="15" customHeight="1" x14ac:dyDescent="0.2">
      <c r="A89" s="2340"/>
      <c r="B89" s="2330"/>
      <c r="C89" s="2174" t="s">
        <v>1153</v>
      </c>
      <c r="D89" s="2198">
        <v>0</v>
      </c>
      <c r="E89" s="2330"/>
      <c r="F89" s="2330"/>
      <c r="G89" s="2330"/>
    </row>
    <row r="90" spans="1:91" s="1606" customFormat="1" ht="15" customHeight="1" x14ac:dyDescent="0.2">
      <c r="A90" s="2340"/>
      <c r="B90" s="2330"/>
      <c r="C90" s="2174" t="s">
        <v>1154</v>
      </c>
      <c r="D90" s="2198">
        <v>0</v>
      </c>
      <c r="E90" s="2330"/>
      <c r="F90" s="2330"/>
      <c r="G90" s="2330"/>
    </row>
    <row r="91" spans="1:91" s="1608" customFormat="1" ht="27" customHeight="1" thickBot="1" x14ac:dyDescent="0.25">
      <c r="A91" s="2341"/>
      <c r="B91" s="2331"/>
      <c r="C91" s="2177" t="s">
        <v>2500</v>
      </c>
      <c r="D91" s="2203">
        <v>0</v>
      </c>
      <c r="E91" s="2331"/>
      <c r="F91" s="2331"/>
      <c r="G91" s="2331"/>
      <c r="H91" s="1606"/>
      <c r="I91" s="1606"/>
      <c r="J91" s="1606"/>
      <c r="K91" s="1606"/>
      <c r="L91" s="1606"/>
      <c r="M91" s="1606"/>
      <c r="N91" s="1606"/>
      <c r="O91" s="1606"/>
      <c r="P91" s="1606"/>
      <c r="Q91" s="1606"/>
      <c r="R91" s="1606"/>
      <c r="S91" s="1606"/>
      <c r="T91" s="1606"/>
      <c r="U91" s="1606"/>
      <c r="V91" s="1606"/>
      <c r="W91" s="1606"/>
      <c r="X91" s="1606"/>
      <c r="Y91" s="1606"/>
      <c r="Z91" s="1606"/>
      <c r="AA91" s="1606"/>
      <c r="AB91" s="1606"/>
      <c r="AC91" s="1606"/>
      <c r="AD91" s="1606"/>
      <c r="AE91" s="1606"/>
      <c r="AF91" s="1606"/>
      <c r="AG91" s="1606"/>
      <c r="AH91" s="1606"/>
      <c r="AI91" s="1606"/>
      <c r="AJ91" s="1606"/>
      <c r="AK91" s="1606"/>
      <c r="AL91" s="1606"/>
      <c r="AM91" s="1606"/>
      <c r="AN91" s="1606"/>
      <c r="AO91" s="1606"/>
      <c r="AP91" s="1606"/>
      <c r="AQ91" s="1606"/>
      <c r="AR91" s="1606"/>
      <c r="AS91" s="1606"/>
      <c r="AT91" s="1606"/>
      <c r="AU91" s="1606"/>
      <c r="AV91" s="1606"/>
      <c r="AW91" s="1606"/>
      <c r="AX91" s="1606"/>
      <c r="AY91" s="1606"/>
      <c r="AZ91" s="1606"/>
      <c r="BA91" s="1606"/>
      <c r="BB91" s="1606"/>
      <c r="BC91" s="1606"/>
      <c r="BD91" s="1606"/>
      <c r="BE91" s="1606"/>
      <c r="BF91" s="1606"/>
      <c r="BG91" s="1606"/>
      <c r="BH91" s="1606"/>
      <c r="BI91" s="1606"/>
      <c r="BJ91" s="1606"/>
      <c r="BK91" s="1606"/>
      <c r="BL91" s="1606"/>
      <c r="BM91" s="1606"/>
      <c r="BN91" s="1606"/>
      <c r="BO91" s="1606"/>
      <c r="BP91" s="1606"/>
      <c r="BQ91" s="1606"/>
      <c r="BR91" s="1606"/>
      <c r="BS91" s="1606"/>
      <c r="BT91" s="1606"/>
      <c r="BU91" s="1606"/>
      <c r="BV91" s="1606"/>
      <c r="BW91" s="1606"/>
      <c r="BX91" s="1606"/>
      <c r="BY91" s="1606"/>
      <c r="BZ91" s="1606"/>
      <c r="CA91" s="1606"/>
      <c r="CB91" s="1606"/>
      <c r="CC91" s="1606"/>
      <c r="CD91" s="1606"/>
      <c r="CE91" s="1606"/>
      <c r="CF91" s="1606"/>
      <c r="CG91" s="1606"/>
      <c r="CH91" s="1606"/>
      <c r="CI91" s="1606"/>
      <c r="CJ91" s="1606"/>
      <c r="CK91" s="1606"/>
      <c r="CL91" s="1606"/>
      <c r="CM91" s="1606"/>
    </row>
    <row r="92" spans="1:91" s="1609" customFormat="1" ht="21" customHeight="1" thickBot="1" x14ac:dyDescent="0.25">
      <c r="A92" s="2323" t="s">
        <v>634</v>
      </c>
      <c r="B92" s="2329" t="s">
        <v>2522</v>
      </c>
      <c r="C92" s="2182" t="s">
        <v>2464</v>
      </c>
      <c r="D92" s="2197"/>
      <c r="E92" s="2329" t="s">
        <v>2897</v>
      </c>
      <c r="F92" s="2329"/>
      <c r="G92" s="2329"/>
      <c r="H92" s="1597"/>
      <c r="I92" s="1597"/>
      <c r="J92" s="1597"/>
      <c r="K92" s="1597"/>
      <c r="L92" s="1597"/>
      <c r="M92" s="1597"/>
      <c r="N92" s="1597"/>
      <c r="O92" s="1597"/>
      <c r="P92" s="1597"/>
      <c r="Q92" s="1597"/>
      <c r="R92" s="1597"/>
      <c r="S92" s="1597"/>
      <c r="T92" s="1597"/>
      <c r="U92" s="1597"/>
      <c r="V92" s="1597"/>
      <c r="W92" s="1597"/>
      <c r="X92" s="1597"/>
      <c r="Y92" s="1597"/>
      <c r="Z92" s="1597"/>
      <c r="AA92" s="1597"/>
      <c r="AB92" s="1597"/>
      <c r="AC92" s="1597"/>
      <c r="AD92" s="1597"/>
      <c r="AE92" s="1597"/>
      <c r="AF92" s="1597"/>
      <c r="AG92" s="1597"/>
      <c r="AH92" s="1597"/>
      <c r="AI92" s="1597"/>
      <c r="AJ92" s="1597"/>
      <c r="AK92" s="1597"/>
      <c r="AL92" s="1597"/>
      <c r="AM92" s="1597"/>
      <c r="AN92" s="1597"/>
      <c r="AO92" s="1597"/>
      <c r="AP92" s="1597"/>
      <c r="AQ92" s="1597"/>
      <c r="AR92" s="1597"/>
      <c r="AS92" s="1597"/>
      <c r="AT92" s="1597"/>
      <c r="AU92" s="1597"/>
      <c r="AV92" s="1597"/>
      <c r="AW92" s="1597"/>
      <c r="AX92" s="1597"/>
      <c r="AY92" s="1597"/>
      <c r="AZ92" s="1597"/>
      <c r="BA92" s="1597"/>
      <c r="BB92" s="1597"/>
      <c r="BC92" s="1597"/>
      <c r="BD92" s="1597"/>
      <c r="BE92" s="1597"/>
      <c r="BF92" s="1597"/>
      <c r="BG92" s="1597"/>
      <c r="BH92" s="1597"/>
      <c r="BI92" s="1597"/>
      <c r="BJ92" s="1597"/>
      <c r="BK92" s="1597"/>
      <c r="BL92" s="1597"/>
      <c r="BM92" s="1597"/>
      <c r="BN92" s="1597"/>
      <c r="BO92" s="1597"/>
      <c r="BP92" s="1597"/>
      <c r="BQ92" s="1597"/>
      <c r="BR92" s="1597"/>
      <c r="BS92" s="1597"/>
      <c r="BT92" s="1597"/>
      <c r="BU92" s="1597"/>
      <c r="BV92" s="1597"/>
      <c r="BW92" s="1597"/>
      <c r="BX92" s="1597"/>
      <c r="BY92" s="1597"/>
      <c r="BZ92" s="1597"/>
      <c r="CA92" s="1597"/>
      <c r="CB92" s="1597"/>
      <c r="CC92" s="1597"/>
      <c r="CD92" s="1597"/>
      <c r="CE92" s="1597"/>
      <c r="CF92" s="1597"/>
      <c r="CG92" s="1597"/>
      <c r="CH92" s="1597"/>
      <c r="CI92" s="1597"/>
      <c r="CJ92" s="1597"/>
      <c r="CK92" s="1597"/>
      <c r="CL92" s="1597"/>
      <c r="CM92" s="1597"/>
    </row>
    <row r="93" spans="1:91" s="1603" customFormat="1" ht="27.75" customHeight="1" thickBot="1" x14ac:dyDescent="0.25">
      <c r="A93" s="2324"/>
      <c r="B93" s="2330"/>
      <c r="C93" s="2183" t="s">
        <v>2523</v>
      </c>
      <c r="D93" s="2198">
        <v>1</v>
      </c>
      <c r="E93" s="2330"/>
      <c r="F93" s="2330"/>
      <c r="G93" s="2330"/>
      <c r="H93" s="1597"/>
      <c r="I93" s="1597"/>
      <c r="J93" s="1597"/>
      <c r="K93" s="1597"/>
      <c r="L93" s="1597"/>
      <c r="M93" s="1597"/>
      <c r="N93" s="1597"/>
      <c r="O93" s="1597"/>
      <c r="P93" s="1597"/>
      <c r="Q93" s="1597"/>
      <c r="R93" s="1597"/>
      <c r="S93" s="1597"/>
      <c r="T93" s="1597"/>
      <c r="U93" s="1597"/>
      <c r="V93" s="1597"/>
      <c r="W93" s="1597"/>
      <c r="X93" s="1597"/>
      <c r="Y93" s="1597"/>
      <c r="Z93" s="1597"/>
      <c r="AA93" s="1597"/>
      <c r="AB93" s="1597"/>
      <c r="AC93" s="1597"/>
      <c r="AD93" s="1597"/>
      <c r="AE93" s="1597"/>
      <c r="AF93" s="1597"/>
      <c r="AG93" s="1597"/>
      <c r="AH93" s="1597"/>
      <c r="AI93" s="1597"/>
      <c r="AJ93" s="1597"/>
      <c r="AK93" s="1597"/>
      <c r="AL93" s="1597"/>
      <c r="AM93" s="1597"/>
      <c r="AN93" s="1597"/>
      <c r="AO93" s="1597"/>
      <c r="AP93" s="1597"/>
      <c r="AQ93" s="1597"/>
      <c r="AR93" s="1597"/>
      <c r="AS93" s="1597"/>
      <c r="AT93" s="1597"/>
      <c r="AU93" s="1597"/>
      <c r="AV93" s="1597"/>
      <c r="AW93" s="1597"/>
      <c r="AX93" s="1597"/>
      <c r="AY93" s="1597"/>
      <c r="AZ93" s="1597"/>
      <c r="BA93" s="1597"/>
      <c r="BB93" s="1597"/>
      <c r="BC93" s="1597"/>
      <c r="BD93" s="1597"/>
      <c r="BE93" s="1597"/>
      <c r="BF93" s="1597"/>
      <c r="BG93" s="1597"/>
      <c r="BH93" s="1597"/>
      <c r="BI93" s="1597"/>
      <c r="BJ93" s="1597"/>
      <c r="BK93" s="1597"/>
      <c r="BL93" s="1597"/>
      <c r="BM93" s="1597"/>
      <c r="BN93" s="1597"/>
      <c r="BO93" s="1597"/>
      <c r="BP93" s="1597"/>
      <c r="BQ93" s="1597"/>
      <c r="BR93" s="1597"/>
      <c r="BS93" s="1597"/>
      <c r="BT93" s="1597"/>
      <c r="BU93" s="1597"/>
      <c r="BV93" s="1597"/>
      <c r="BW93" s="1597"/>
      <c r="BX93" s="1597"/>
      <c r="BY93" s="1597"/>
      <c r="BZ93" s="1597"/>
      <c r="CA93" s="1597"/>
      <c r="CB93" s="1597"/>
      <c r="CC93" s="1597"/>
      <c r="CD93" s="1597"/>
      <c r="CE93" s="1597"/>
      <c r="CF93" s="1597"/>
      <c r="CG93" s="1597"/>
      <c r="CH93" s="1597"/>
      <c r="CI93" s="1597"/>
      <c r="CJ93" s="1597"/>
      <c r="CK93" s="1597"/>
      <c r="CL93" s="1597"/>
      <c r="CM93" s="1597"/>
    </row>
    <row r="94" spans="1:91" s="1603" customFormat="1" ht="27" customHeight="1" thickBot="1" x14ac:dyDescent="0.25">
      <c r="A94" s="2324"/>
      <c r="B94" s="2330"/>
      <c r="C94" s="2184" t="s">
        <v>2471</v>
      </c>
      <c r="D94" s="2198">
        <v>0</v>
      </c>
      <c r="E94" s="2330"/>
      <c r="F94" s="2330"/>
      <c r="G94" s="2330"/>
      <c r="H94" s="1597"/>
      <c r="I94" s="1597"/>
      <c r="J94" s="1597"/>
      <c r="K94" s="1597"/>
      <c r="L94" s="1597"/>
      <c r="M94" s="1597"/>
      <c r="N94" s="1597"/>
      <c r="O94" s="1597"/>
      <c r="P94" s="1597"/>
      <c r="Q94" s="1597"/>
      <c r="R94" s="1597"/>
      <c r="S94" s="1597"/>
      <c r="T94" s="1597"/>
      <c r="U94" s="1597"/>
      <c r="V94" s="1597"/>
      <c r="W94" s="1597"/>
      <c r="X94" s="1597"/>
      <c r="Y94" s="1597"/>
      <c r="Z94" s="1597"/>
      <c r="AA94" s="1597"/>
      <c r="AB94" s="1597"/>
      <c r="AC94" s="1597"/>
      <c r="AD94" s="1597"/>
      <c r="AE94" s="1597"/>
      <c r="AF94" s="1597"/>
      <c r="AG94" s="1597"/>
      <c r="AH94" s="1597"/>
      <c r="AI94" s="1597"/>
      <c r="AJ94" s="1597"/>
      <c r="AK94" s="1597"/>
      <c r="AL94" s="1597"/>
      <c r="AM94" s="1597"/>
      <c r="AN94" s="1597"/>
      <c r="AO94" s="1597"/>
      <c r="AP94" s="1597"/>
      <c r="AQ94" s="1597"/>
      <c r="AR94" s="1597"/>
      <c r="AS94" s="1597"/>
      <c r="AT94" s="1597"/>
      <c r="AU94" s="1597"/>
      <c r="AV94" s="1597"/>
      <c r="AW94" s="1597"/>
      <c r="AX94" s="1597"/>
      <c r="AY94" s="1597"/>
      <c r="AZ94" s="1597"/>
      <c r="BA94" s="1597"/>
      <c r="BB94" s="1597"/>
      <c r="BC94" s="1597"/>
      <c r="BD94" s="1597"/>
      <c r="BE94" s="1597"/>
      <c r="BF94" s="1597"/>
      <c r="BG94" s="1597"/>
      <c r="BH94" s="1597"/>
      <c r="BI94" s="1597"/>
      <c r="BJ94" s="1597"/>
      <c r="BK94" s="1597"/>
      <c r="BL94" s="1597"/>
      <c r="BM94" s="1597"/>
      <c r="BN94" s="1597"/>
      <c r="BO94" s="1597"/>
      <c r="BP94" s="1597"/>
      <c r="BQ94" s="1597"/>
      <c r="BR94" s="1597"/>
      <c r="BS94" s="1597"/>
      <c r="BT94" s="1597"/>
      <c r="BU94" s="1597"/>
      <c r="BV94" s="1597"/>
      <c r="BW94" s="1597"/>
      <c r="BX94" s="1597"/>
      <c r="BY94" s="1597"/>
      <c r="BZ94" s="1597"/>
      <c r="CA94" s="1597"/>
      <c r="CB94" s="1597"/>
      <c r="CC94" s="1597"/>
      <c r="CD94" s="1597"/>
      <c r="CE94" s="1597"/>
      <c r="CF94" s="1597"/>
      <c r="CG94" s="1597"/>
      <c r="CH94" s="1597"/>
      <c r="CI94" s="1597"/>
      <c r="CJ94" s="1597"/>
      <c r="CK94" s="1597"/>
      <c r="CL94" s="1597"/>
      <c r="CM94" s="1597"/>
    </row>
    <row r="95" spans="1:91" s="1603" customFormat="1" ht="27" customHeight="1" thickBot="1" x14ac:dyDescent="0.25">
      <c r="A95" s="2324"/>
      <c r="B95" s="2330"/>
      <c r="C95" s="2184" t="s">
        <v>2501</v>
      </c>
      <c r="D95" s="2223">
        <v>0</v>
      </c>
      <c r="E95" s="2330"/>
      <c r="F95" s="2330"/>
      <c r="G95" s="2330"/>
      <c r="H95" s="1597"/>
      <c r="I95" s="1597"/>
      <c r="J95" s="1597"/>
      <c r="K95" s="1597"/>
      <c r="L95" s="1597"/>
      <c r="M95" s="1597"/>
      <c r="N95" s="1597"/>
      <c r="O95" s="1597"/>
      <c r="P95" s="1597"/>
      <c r="Q95" s="1597"/>
      <c r="R95" s="1597"/>
      <c r="S95" s="1597"/>
      <c r="T95" s="1597"/>
      <c r="U95" s="1597"/>
      <c r="V95" s="1597"/>
      <c r="W95" s="1597"/>
      <c r="X95" s="1597"/>
      <c r="Y95" s="1597"/>
      <c r="Z95" s="1597"/>
      <c r="AA95" s="1597"/>
      <c r="AB95" s="1597"/>
      <c r="AC95" s="1597"/>
      <c r="AD95" s="1597"/>
      <c r="AE95" s="1597"/>
      <c r="AF95" s="1597"/>
      <c r="AG95" s="1597"/>
      <c r="AH95" s="1597"/>
      <c r="AI95" s="1597"/>
      <c r="AJ95" s="1597"/>
      <c r="AK95" s="1597"/>
      <c r="AL95" s="1597"/>
      <c r="AM95" s="1597"/>
      <c r="AN95" s="1597"/>
      <c r="AO95" s="1597"/>
      <c r="AP95" s="1597"/>
      <c r="AQ95" s="1597"/>
      <c r="AR95" s="1597"/>
      <c r="AS95" s="1597"/>
      <c r="AT95" s="1597"/>
      <c r="AU95" s="1597"/>
      <c r="AV95" s="1597"/>
      <c r="AW95" s="1597"/>
      <c r="AX95" s="1597"/>
      <c r="AY95" s="1597"/>
      <c r="AZ95" s="1597"/>
      <c r="BA95" s="1597"/>
      <c r="BB95" s="1597"/>
      <c r="BC95" s="1597"/>
      <c r="BD95" s="1597"/>
      <c r="BE95" s="1597"/>
      <c r="BF95" s="1597"/>
      <c r="BG95" s="1597"/>
      <c r="BH95" s="1597"/>
      <c r="BI95" s="1597"/>
      <c r="BJ95" s="1597"/>
      <c r="BK95" s="1597"/>
      <c r="BL95" s="1597"/>
      <c r="BM95" s="1597"/>
      <c r="BN95" s="1597"/>
      <c r="BO95" s="1597"/>
      <c r="BP95" s="1597"/>
      <c r="BQ95" s="1597"/>
      <c r="BR95" s="1597"/>
      <c r="BS95" s="1597"/>
      <c r="BT95" s="1597"/>
      <c r="BU95" s="1597"/>
      <c r="BV95" s="1597"/>
      <c r="BW95" s="1597"/>
      <c r="BX95" s="1597"/>
      <c r="BY95" s="1597"/>
      <c r="BZ95" s="1597"/>
      <c r="CA95" s="1597"/>
      <c r="CB95" s="1597"/>
      <c r="CC95" s="1597"/>
      <c r="CD95" s="1597"/>
      <c r="CE95" s="1597"/>
      <c r="CF95" s="1597"/>
      <c r="CG95" s="1597"/>
      <c r="CH95" s="1597"/>
      <c r="CI95" s="1597"/>
      <c r="CJ95" s="1597"/>
      <c r="CK95" s="1597"/>
      <c r="CL95" s="1597"/>
      <c r="CM95" s="1597"/>
    </row>
    <row r="96" spans="1:91" s="1603" customFormat="1" ht="27" customHeight="1" thickBot="1" x14ac:dyDescent="0.25">
      <c r="A96" s="2325"/>
      <c r="B96" s="2331"/>
      <c r="C96" s="2185" t="s">
        <v>2502</v>
      </c>
      <c r="D96" s="2224">
        <v>0</v>
      </c>
      <c r="E96" s="2331"/>
      <c r="F96" s="2331"/>
      <c r="G96" s="2331"/>
      <c r="H96" s="1597"/>
      <c r="I96" s="1597"/>
      <c r="J96" s="1597"/>
      <c r="K96" s="1597"/>
      <c r="L96" s="1597"/>
      <c r="M96" s="1597"/>
      <c r="N96" s="1597"/>
      <c r="O96" s="1597"/>
      <c r="P96" s="1597"/>
      <c r="Q96" s="1597"/>
      <c r="R96" s="1597"/>
      <c r="S96" s="1597"/>
      <c r="T96" s="1597"/>
      <c r="U96" s="1597"/>
      <c r="V96" s="1597"/>
      <c r="W96" s="1597"/>
      <c r="X96" s="1597"/>
      <c r="Y96" s="1597"/>
      <c r="Z96" s="1597"/>
      <c r="AA96" s="1597"/>
      <c r="AB96" s="1597"/>
      <c r="AC96" s="1597"/>
      <c r="AD96" s="1597"/>
      <c r="AE96" s="1597"/>
      <c r="AF96" s="1597"/>
      <c r="AG96" s="1597"/>
      <c r="AH96" s="1597"/>
      <c r="AI96" s="1597"/>
      <c r="AJ96" s="1597"/>
      <c r="AK96" s="1597"/>
      <c r="AL96" s="1597"/>
      <c r="AM96" s="1597"/>
      <c r="AN96" s="1597"/>
      <c r="AO96" s="1597"/>
      <c r="AP96" s="1597"/>
      <c r="AQ96" s="1597"/>
      <c r="AR96" s="1597"/>
      <c r="AS96" s="1597"/>
      <c r="AT96" s="1597"/>
      <c r="AU96" s="1597"/>
      <c r="AV96" s="1597"/>
      <c r="AW96" s="1597"/>
      <c r="AX96" s="1597"/>
      <c r="AY96" s="1597"/>
      <c r="AZ96" s="1597"/>
      <c r="BA96" s="1597"/>
      <c r="BB96" s="1597"/>
      <c r="BC96" s="1597"/>
      <c r="BD96" s="1597"/>
      <c r="BE96" s="1597"/>
      <c r="BF96" s="1597"/>
      <c r="BG96" s="1597"/>
      <c r="BH96" s="1597"/>
      <c r="BI96" s="1597"/>
      <c r="BJ96" s="1597"/>
      <c r="BK96" s="1597"/>
      <c r="BL96" s="1597"/>
      <c r="BM96" s="1597"/>
      <c r="BN96" s="1597"/>
      <c r="BO96" s="1597"/>
      <c r="BP96" s="1597"/>
      <c r="BQ96" s="1597"/>
      <c r="BR96" s="1597"/>
      <c r="BS96" s="1597"/>
      <c r="BT96" s="1597"/>
      <c r="BU96" s="1597"/>
      <c r="BV96" s="1597"/>
      <c r="BW96" s="1597"/>
      <c r="BX96" s="1597"/>
      <c r="BY96" s="1597"/>
      <c r="BZ96" s="1597"/>
      <c r="CA96" s="1597"/>
      <c r="CB96" s="1597"/>
      <c r="CC96" s="1597"/>
      <c r="CD96" s="1597"/>
      <c r="CE96" s="1597"/>
      <c r="CF96" s="1597"/>
      <c r="CG96" s="1597"/>
      <c r="CH96" s="1597"/>
      <c r="CI96" s="1597"/>
      <c r="CJ96" s="1597"/>
      <c r="CK96" s="1597"/>
      <c r="CL96" s="1597"/>
      <c r="CM96" s="1597"/>
    </row>
    <row r="97" spans="1:91" s="1603" customFormat="1" ht="45" customHeight="1" thickBot="1" x14ac:dyDescent="0.25">
      <c r="A97" s="1792" t="s">
        <v>2559</v>
      </c>
      <c r="B97" s="1839" t="s">
        <v>1303</v>
      </c>
      <c r="C97" s="2176" t="s">
        <v>2902</v>
      </c>
      <c r="D97" s="2225">
        <v>0.01</v>
      </c>
      <c r="E97" s="1839" t="s">
        <v>2613</v>
      </c>
      <c r="F97" s="2163" t="s">
        <v>2933</v>
      </c>
      <c r="G97" s="1924"/>
      <c r="H97" s="1597"/>
      <c r="I97" s="1597"/>
      <c r="J97" s="1597"/>
      <c r="K97" s="1597"/>
      <c r="L97" s="1597"/>
      <c r="M97" s="1597"/>
      <c r="N97" s="1597"/>
      <c r="O97" s="1597"/>
      <c r="P97" s="1597"/>
      <c r="Q97" s="1597"/>
      <c r="R97" s="1597"/>
      <c r="S97" s="1597"/>
      <c r="T97" s="1597"/>
      <c r="U97" s="1597"/>
      <c r="V97" s="1597"/>
      <c r="W97" s="1597"/>
      <c r="X97" s="1597"/>
      <c r="Y97" s="1597"/>
      <c r="Z97" s="1597"/>
      <c r="AA97" s="1597"/>
      <c r="AB97" s="1597"/>
      <c r="AC97" s="1597"/>
      <c r="AD97" s="1597"/>
      <c r="AE97" s="1597"/>
      <c r="AF97" s="1597"/>
      <c r="AG97" s="1597"/>
      <c r="AH97" s="1597"/>
      <c r="AI97" s="1597"/>
      <c r="AJ97" s="1597"/>
      <c r="AK97" s="1597"/>
      <c r="AL97" s="1597"/>
      <c r="AM97" s="1597"/>
      <c r="AN97" s="1597"/>
      <c r="AO97" s="1597"/>
      <c r="AP97" s="1597"/>
      <c r="AQ97" s="1597"/>
      <c r="AR97" s="1597"/>
      <c r="AS97" s="1597"/>
      <c r="AT97" s="1597"/>
      <c r="AU97" s="1597"/>
      <c r="AV97" s="1597"/>
      <c r="AW97" s="1597"/>
      <c r="AX97" s="1597"/>
      <c r="AY97" s="1597"/>
      <c r="AZ97" s="1597"/>
      <c r="BA97" s="1597"/>
      <c r="BB97" s="1597"/>
      <c r="BC97" s="1597"/>
      <c r="BD97" s="1597"/>
      <c r="BE97" s="1597"/>
      <c r="BF97" s="1597"/>
      <c r="BG97" s="1597"/>
      <c r="BH97" s="1597"/>
      <c r="BI97" s="1597"/>
      <c r="BJ97" s="1597"/>
      <c r="BK97" s="1597"/>
      <c r="BL97" s="1597"/>
      <c r="BM97" s="1597"/>
      <c r="BN97" s="1597"/>
      <c r="BO97" s="1597"/>
      <c r="BP97" s="1597"/>
      <c r="BQ97" s="1597"/>
      <c r="BR97" s="1597"/>
      <c r="BS97" s="1597"/>
      <c r="BT97" s="1597"/>
      <c r="BU97" s="1597"/>
      <c r="BV97" s="1597"/>
      <c r="BW97" s="1597"/>
      <c r="BX97" s="1597"/>
      <c r="BY97" s="1597"/>
      <c r="BZ97" s="1597"/>
      <c r="CA97" s="1597"/>
      <c r="CB97" s="1597"/>
      <c r="CC97" s="1597"/>
      <c r="CD97" s="1597"/>
      <c r="CE97" s="1597"/>
      <c r="CF97" s="1597"/>
      <c r="CG97" s="1597"/>
      <c r="CH97" s="1597"/>
      <c r="CI97" s="1597"/>
      <c r="CJ97" s="1597"/>
      <c r="CK97" s="1597"/>
      <c r="CL97" s="1597"/>
      <c r="CM97" s="1597"/>
    </row>
    <row r="98" spans="1:91" s="1603" customFormat="1" ht="30" customHeight="1" thickBot="1" x14ac:dyDescent="0.25">
      <c r="A98" s="1170" t="s">
        <v>635</v>
      </c>
      <c r="B98" s="1776" t="s">
        <v>2486</v>
      </c>
      <c r="C98" s="1775" t="s">
        <v>2903</v>
      </c>
      <c r="D98" s="2226">
        <v>0</v>
      </c>
      <c r="E98" s="1776" t="s">
        <v>2547</v>
      </c>
      <c r="F98" s="1776"/>
      <c r="G98" s="1776" t="s">
        <v>2548</v>
      </c>
      <c r="H98" s="1597"/>
      <c r="I98" s="1597"/>
      <c r="J98" s="1597"/>
      <c r="K98" s="1597"/>
      <c r="L98" s="1597"/>
      <c r="M98" s="1597"/>
      <c r="N98" s="1597"/>
      <c r="O98" s="1597"/>
      <c r="P98" s="1597"/>
      <c r="Q98" s="1597"/>
      <c r="R98" s="1597"/>
      <c r="S98" s="1597"/>
      <c r="T98" s="1597"/>
      <c r="U98" s="1597"/>
      <c r="V98" s="1597"/>
      <c r="W98" s="1597"/>
      <c r="X98" s="1597"/>
      <c r="Y98" s="1597"/>
      <c r="Z98" s="1597"/>
      <c r="AA98" s="1597"/>
      <c r="AB98" s="1597"/>
      <c r="AC98" s="1597"/>
      <c r="AD98" s="1597"/>
      <c r="AE98" s="1597"/>
      <c r="AF98" s="1597"/>
      <c r="AG98" s="1597"/>
      <c r="AH98" s="1597"/>
      <c r="AI98" s="1597"/>
      <c r="AJ98" s="1597"/>
      <c r="AK98" s="1597"/>
      <c r="AL98" s="1597"/>
      <c r="AM98" s="1597"/>
      <c r="AN98" s="1597"/>
      <c r="AO98" s="1597"/>
      <c r="AP98" s="1597"/>
      <c r="AQ98" s="1597"/>
      <c r="AR98" s="1597"/>
      <c r="AS98" s="1597"/>
      <c r="AT98" s="1597"/>
      <c r="AU98" s="1597"/>
      <c r="AV98" s="1597"/>
      <c r="AW98" s="1597"/>
      <c r="AX98" s="1597"/>
      <c r="AY98" s="1597"/>
      <c r="AZ98" s="1597"/>
      <c r="BA98" s="1597"/>
      <c r="BB98" s="1597"/>
      <c r="BC98" s="1597"/>
      <c r="BD98" s="1597"/>
      <c r="BE98" s="1597"/>
      <c r="BF98" s="1597"/>
      <c r="BG98" s="1597"/>
      <c r="BH98" s="1597"/>
      <c r="BI98" s="1597"/>
      <c r="BJ98" s="1597"/>
      <c r="BK98" s="1597"/>
      <c r="BL98" s="1597"/>
      <c r="BM98" s="1597"/>
      <c r="BN98" s="1597"/>
      <c r="BO98" s="1597"/>
      <c r="BP98" s="1597"/>
      <c r="BQ98" s="1597"/>
      <c r="BR98" s="1597"/>
      <c r="BS98" s="1597"/>
      <c r="BT98" s="1597"/>
      <c r="BU98" s="1597"/>
      <c r="BV98" s="1597"/>
      <c r="BW98" s="1597"/>
      <c r="BX98" s="1597"/>
      <c r="BY98" s="1597"/>
      <c r="BZ98" s="1597"/>
      <c r="CA98" s="1597"/>
      <c r="CB98" s="1597"/>
      <c r="CC98" s="1597"/>
      <c r="CD98" s="1597"/>
      <c r="CE98" s="1597"/>
      <c r="CF98" s="1597"/>
      <c r="CG98" s="1597"/>
      <c r="CH98" s="1597"/>
      <c r="CI98" s="1597"/>
      <c r="CJ98" s="1597"/>
      <c r="CK98" s="1597"/>
      <c r="CL98" s="1597"/>
      <c r="CM98" s="1597"/>
    </row>
    <row r="99" spans="1:91" s="1603" customFormat="1" ht="30" customHeight="1" thickBot="1" x14ac:dyDescent="0.25">
      <c r="A99" s="2323" t="s">
        <v>2343</v>
      </c>
      <c r="B99" s="2329" t="s">
        <v>1292</v>
      </c>
      <c r="C99" s="1774" t="s">
        <v>2503</v>
      </c>
      <c r="D99" s="2197"/>
      <c r="E99" s="2329" t="s">
        <v>2479</v>
      </c>
      <c r="F99" s="2329"/>
      <c r="G99" s="2329"/>
      <c r="H99" s="1597"/>
      <c r="I99" s="1597"/>
      <c r="J99" s="1597"/>
      <c r="K99" s="1597"/>
      <c r="L99" s="1597"/>
      <c r="M99" s="1597"/>
      <c r="N99" s="1597"/>
      <c r="O99" s="1597"/>
      <c r="P99" s="1597"/>
      <c r="Q99" s="1597"/>
      <c r="R99" s="1597"/>
      <c r="S99" s="1597"/>
      <c r="T99" s="1597"/>
      <c r="U99" s="1597"/>
      <c r="V99" s="1597"/>
      <c r="W99" s="1597"/>
      <c r="X99" s="1597"/>
      <c r="Y99" s="1597"/>
      <c r="Z99" s="1597"/>
      <c r="AA99" s="1597"/>
      <c r="AB99" s="1597"/>
      <c r="AC99" s="1597"/>
      <c r="AD99" s="1597"/>
      <c r="AE99" s="1597"/>
      <c r="AF99" s="1597"/>
      <c r="AG99" s="1597"/>
      <c r="AH99" s="1597"/>
      <c r="AI99" s="1597"/>
      <c r="AJ99" s="1597"/>
      <c r="AK99" s="1597"/>
      <c r="AL99" s="1597"/>
      <c r="AM99" s="1597"/>
      <c r="AN99" s="1597"/>
      <c r="AO99" s="1597"/>
      <c r="AP99" s="1597"/>
      <c r="AQ99" s="1597"/>
      <c r="AR99" s="1597"/>
      <c r="AS99" s="1597"/>
      <c r="AT99" s="1597"/>
      <c r="AU99" s="1597"/>
      <c r="AV99" s="1597"/>
      <c r="AW99" s="1597"/>
      <c r="AX99" s="1597"/>
      <c r="AY99" s="1597"/>
      <c r="AZ99" s="1597"/>
      <c r="BA99" s="1597"/>
      <c r="BB99" s="1597"/>
      <c r="BC99" s="1597"/>
      <c r="BD99" s="1597"/>
      <c r="BE99" s="1597"/>
      <c r="BF99" s="1597"/>
      <c r="BG99" s="1597"/>
      <c r="BH99" s="1597"/>
      <c r="BI99" s="1597"/>
      <c r="BJ99" s="1597"/>
      <c r="BK99" s="1597"/>
      <c r="BL99" s="1597"/>
      <c r="BM99" s="1597"/>
      <c r="BN99" s="1597"/>
      <c r="BO99" s="1597"/>
      <c r="BP99" s="1597"/>
      <c r="BQ99" s="1597"/>
      <c r="BR99" s="1597"/>
      <c r="BS99" s="1597"/>
      <c r="BT99" s="1597"/>
      <c r="BU99" s="1597"/>
      <c r="BV99" s="1597"/>
      <c r="BW99" s="1597"/>
      <c r="BX99" s="1597"/>
      <c r="BY99" s="1597"/>
      <c r="BZ99" s="1597"/>
      <c r="CA99" s="1597"/>
      <c r="CB99" s="1597"/>
      <c r="CC99" s="1597"/>
      <c r="CD99" s="1597"/>
      <c r="CE99" s="1597"/>
      <c r="CF99" s="1597"/>
      <c r="CG99" s="1597"/>
      <c r="CH99" s="1597"/>
      <c r="CI99" s="1597"/>
      <c r="CJ99" s="1597"/>
      <c r="CK99" s="1597"/>
      <c r="CL99" s="1597"/>
      <c r="CM99" s="1597"/>
    </row>
    <row r="100" spans="1:91" s="1597" customFormat="1" ht="15" customHeight="1" x14ac:dyDescent="0.2">
      <c r="A100" s="2324"/>
      <c r="B100" s="2330"/>
      <c r="C100" s="2173" t="s">
        <v>1882</v>
      </c>
      <c r="D100" s="2203">
        <v>0</v>
      </c>
      <c r="E100" s="2330"/>
      <c r="F100" s="2330"/>
      <c r="G100" s="2330"/>
    </row>
    <row r="101" spans="1:91" s="1597" customFormat="1" ht="15" customHeight="1" x14ac:dyDescent="0.2">
      <c r="A101" s="2324"/>
      <c r="B101" s="2330"/>
      <c r="C101" s="2174" t="s">
        <v>2504</v>
      </c>
      <c r="D101" s="2203">
        <v>0</v>
      </c>
      <c r="E101" s="2330"/>
      <c r="F101" s="2330"/>
      <c r="G101" s="2330"/>
    </row>
    <row r="102" spans="1:91" s="1597" customFormat="1" ht="27.75" customHeight="1" x14ac:dyDescent="0.2">
      <c r="A102" s="2324"/>
      <c r="B102" s="2330"/>
      <c r="C102" s="2174" t="s">
        <v>1883</v>
      </c>
      <c r="D102" s="2203">
        <v>0</v>
      </c>
      <c r="E102" s="2330"/>
      <c r="F102" s="2330"/>
      <c r="G102" s="2330"/>
    </row>
    <row r="103" spans="1:91" s="1604" customFormat="1" ht="27" customHeight="1" thickBot="1" x14ac:dyDescent="0.25">
      <c r="A103" s="2325"/>
      <c r="B103" s="2331"/>
      <c r="C103" s="2175" t="s">
        <v>2505</v>
      </c>
      <c r="D103" s="2203">
        <v>1</v>
      </c>
      <c r="E103" s="2331"/>
      <c r="F103" s="2331"/>
      <c r="G103" s="2331"/>
      <c r="H103" s="1597"/>
      <c r="I103" s="1597"/>
      <c r="J103" s="1597"/>
      <c r="K103" s="1597"/>
      <c r="L103" s="1597"/>
      <c r="M103" s="1597"/>
      <c r="N103" s="1597"/>
      <c r="O103" s="1597"/>
      <c r="P103" s="1597"/>
      <c r="Q103" s="1597"/>
      <c r="R103" s="1597"/>
      <c r="S103" s="1597"/>
      <c r="T103" s="1597"/>
      <c r="U103" s="1597"/>
      <c r="V103" s="1597"/>
      <c r="W103" s="1597"/>
      <c r="X103" s="1597"/>
      <c r="Y103" s="1597"/>
      <c r="Z103" s="1597"/>
      <c r="AA103" s="1597"/>
      <c r="AB103" s="1597"/>
      <c r="AC103" s="1597"/>
      <c r="AD103" s="1597"/>
      <c r="AE103" s="1597"/>
      <c r="AF103" s="1597"/>
      <c r="AG103" s="1597"/>
      <c r="AH103" s="1597"/>
      <c r="AI103" s="1597"/>
      <c r="AJ103" s="1597"/>
      <c r="AK103" s="1597"/>
      <c r="AL103" s="1597"/>
      <c r="AM103" s="1597"/>
      <c r="AN103" s="1597"/>
      <c r="AO103" s="1597"/>
      <c r="AP103" s="1597"/>
      <c r="AQ103" s="1597"/>
      <c r="AR103" s="1597"/>
      <c r="AS103" s="1597"/>
      <c r="AT103" s="1597"/>
      <c r="AU103" s="1597"/>
      <c r="AV103" s="1597"/>
      <c r="AW103" s="1597"/>
      <c r="AX103" s="1597"/>
      <c r="AY103" s="1597"/>
      <c r="AZ103" s="1597"/>
      <c r="BA103" s="1597"/>
      <c r="BB103" s="1597"/>
      <c r="BC103" s="1597"/>
      <c r="BD103" s="1597"/>
      <c r="BE103" s="1597"/>
      <c r="BF103" s="1597"/>
      <c r="BG103" s="1597"/>
      <c r="BH103" s="1597"/>
      <c r="BI103" s="1597"/>
      <c r="BJ103" s="1597"/>
      <c r="BK103" s="1597"/>
      <c r="BL103" s="1597"/>
      <c r="BM103" s="1597"/>
      <c r="BN103" s="1597"/>
      <c r="BO103" s="1597"/>
      <c r="BP103" s="1597"/>
      <c r="BQ103" s="1597"/>
      <c r="BR103" s="1597"/>
      <c r="BS103" s="1597"/>
      <c r="BT103" s="1597"/>
      <c r="BU103" s="1597"/>
      <c r="BV103" s="1597"/>
      <c r="BW103" s="1597"/>
      <c r="BX103" s="1597"/>
      <c r="BY103" s="1597"/>
      <c r="BZ103" s="1597"/>
      <c r="CA103" s="1597"/>
      <c r="CB103" s="1597"/>
      <c r="CC103" s="1597"/>
      <c r="CD103" s="1597"/>
      <c r="CE103" s="1597"/>
      <c r="CF103" s="1597"/>
      <c r="CG103" s="1597"/>
      <c r="CH103" s="1597"/>
      <c r="CI103" s="1597"/>
      <c r="CJ103" s="1597"/>
      <c r="CK103" s="1597"/>
      <c r="CL103" s="1597"/>
      <c r="CM103" s="1597"/>
    </row>
    <row r="104" spans="1:91" s="1603" customFormat="1" ht="21" customHeight="1" thickBot="1" x14ac:dyDescent="0.25">
      <c r="A104" s="2323" t="s">
        <v>648</v>
      </c>
      <c r="B104" s="2329" t="s">
        <v>1293</v>
      </c>
      <c r="C104" s="1775" t="s">
        <v>2506</v>
      </c>
      <c r="D104" s="2197"/>
      <c r="E104" s="2329" t="s">
        <v>2470</v>
      </c>
      <c r="F104" s="2329"/>
      <c r="G104" s="2329"/>
      <c r="H104" s="1597"/>
      <c r="I104" s="1597"/>
      <c r="J104" s="1597"/>
      <c r="K104" s="1597"/>
      <c r="L104" s="1597"/>
      <c r="M104" s="1597"/>
      <c r="N104" s="1597"/>
      <c r="O104" s="1597"/>
      <c r="P104" s="1597"/>
      <c r="Q104" s="1597"/>
      <c r="R104" s="1597"/>
      <c r="S104" s="1597"/>
      <c r="T104" s="1597"/>
      <c r="U104" s="1597"/>
      <c r="V104" s="1597"/>
      <c r="W104" s="1597"/>
      <c r="X104" s="1597"/>
      <c r="Y104" s="1597"/>
      <c r="Z104" s="1597"/>
      <c r="AA104" s="1597"/>
      <c r="AB104" s="1597"/>
      <c r="AC104" s="1597"/>
      <c r="AD104" s="1597"/>
      <c r="AE104" s="1597"/>
      <c r="AF104" s="1597"/>
      <c r="AG104" s="1597"/>
      <c r="AH104" s="1597"/>
      <c r="AI104" s="1597"/>
      <c r="AJ104" s="1597"/>
      <c r="AK104" s="1597"/>
      <c r="AL104" s="1597"/>
      <c r="AM104" s="1597"/>
      <c r="AN104" s="1597"/>
      <c r="AO104" s="1597"/>
      <c r="AP104" s="1597"/>
      <c r="AQ104" s="1597"/>
      <c r="AR104" s="1597"/>
      <c r="AS104" s="1597"/>
      <c r="AT104" s="1597"/>
      <c r="AU104" s="1597"/>
      <c r="AV104" s="1597"/>
      <c r="AW104" s="1597"/>
      <c r="AX104" s="1597"/>
      <c r="AY104" s="1597"/>
      <c r="AZ104" s="1597"/>
      <c r="BA104" s="1597"/>
      <c r="BB104" s="1597"/>
      <c r="BC104" s="1597"/>
      <c r="BD104" s="1597"/>
      <c r="BE104" s="1597"/>
      <c r="BF104" s="1597"/>
      <c r="BG104" s="1597"/>
      <c r="BH104" s="1597"/>
      <c r="BI104" s="1597"/>
      <c r="BJ104" s="1597"/>
      <c r="BK104" s="1597"/>
      <c r="BL104" s="1597"/>
      <c r="BM104" s="1597"/>
      <c r="BN104" s="1597"/>
      <c r="BO104" s="1597"/>
      <c r="BP104" s="1597"/>
      <c r="BQ104" s="1597"/>
      <c r="BR104" s="1597"/>
      <c r="BS104" s="1597"/>
      <c r="BT104" s="1597"/>
      <c r="BU104" s="1597"/>
      <c r="BV104" s="1597"/>
      <c r="BW104" s="1597"/>
      <c r="BX104" s="1597"/>
      <c r="BY104" s="1597"/>
      <c r="BZ104" s="1597"/>
      <c r="CA104" s="1597"/>
      <c r="CB104" s="1597"/>
      <c r="CC104" s="1597"/>
      <c r="CD104" s="1597"/>
      <c r="CE104" s="1597"/>
      <c r="CF104" s="1597"/>
      <c r="CG104" s="1597"/>
      <c r="CH104" s="1597"/>
      <c r="CI104" s="1597"/>
      <c r="CJ104" s="1597"/>
      <c r="CK104" s="1597"/>
      <c r="CL104" s="1597"/>
      <c r="CM104" s="1597"/>
    </row>
    <row r="105" spans="1:91" s="1597" customFormat="1" ht="15" customHeight="1" x14ac:dyDescent="0.2">
      <c r="A105" s="2324"/>
      <c r="B105" s="2330"/>
      <c r="C105" s="2173" t="s">
        <v>1885</v>
      </c>
      <c r="D105" s="2203">
        <v>0</v>
      </c>
      <c r="E105" s="2330"/>
      <c r="F105" s="2330"/>
      <c r="G105" s="2330"/>
    </row>
    <row r="106" spans="1:91" s="1597" customFormat="1" ht="25.5" customHeight="1" x14ac:dyDescent="0.2">
      <c r="A106" s="2324"/>
      <c r="B106" s="2330"/>
      <c r="C106" s="2186" t="s">
        <v>1884</v>
      </c>
      <c r="D106" s="2203">
        <v>0</v>
      </c>
      <c r="E106" s="2330"/>
      <c r="F106" s="2330"/>
      <c r="G106" s="2330"/>
    </row>
    <row r="107" spans="1:91" s="1597" customFormat="1" ht="24.75" customHeight="1" x14ac:dyDescent="0.2">
      <c r="A107" s="2324"/>
      <c r="B107" s="2330"/>
      <c r="C107" s="2174" t="s">
        <v>1883</v>
      </c>
      <c r="D107" s="2203">
        <v>0</v>
      </c>
      <c r="E107" s="2330"/>
      <c r="F107" s="2330"/>
      <c r="G107" s="2330"/>
    </row>
    <row r="108" spans="1:91" s="1604" customFormat="1" ht="30" customHeight="1" thickBot="1" x14ac:dyDescent="0.25">
      <c r="A108" s="2325"/>
      <c r="B108" s="2331"/>
      <c r="C108" s="2175" t="s">
        <v>2505</v>
      </c>
      <c r="D108" s="2203">
        <v>1</v>
      </c>
      <c r="E108" s="2331"/>
      <c r="F108" s="2331"/>
      <c r="G108" s="2331"/>
      <c r="H108" s="1597"/>
      <c r="I108" s="1597"/>
      <c r="J108" s="1597"/>
      <c r="K108" s="1597"/>
      <c r="L108" s="1597"/>
      <c r="M108" s="1597"/>
      <c r="N108" s="1597"/>
      <c r="O108" s="1597"/>
      <c r="P108" s="1597"/>
      <c r="Q108" s="1597"/>
      <c r="R108" s="1597"/>
      <c r="S108" s="1597"/>
      <c r="T108" s="1597"/>
      <c r="U108" s="1597"/>
      <c r="V108" s="1597"/>
      <c r="W108" s="1597"/>
      <c r="X108" s="1597"/>
      <c r="Y108" s="1597"/>
      <c r="Z108" s="1597"/>
      <c r="AA108" s="1597"/>
      <c r="AB108" s="1597"/>
      <c r="AC108" s="1597"/>
      <c r="AD108" s="1597"/>
      <c r="AE108" s="1597"/>
      <c r="AF108" s="1597"/>
      <c r="AG108" s="1597"/>
      <c r="AH108" s="1597"/>
      <c r="AI108" s="1597"/>
      <c r="AJ108" s="1597"/>
      <c r="AK108" s="1597"/>
      <c r="AL108" s="1597"/>
      <c r="AM108" s="1597"/>
      <c r="AN108" s="1597"/>
      <c r="AO108" s="1597"/>
      <c r="AP108" s="1597"/>
      <c r="AQ108" s="1597"/>
      <c r="AR108" s="1597"/>
      <c r="AS108" s="1597"/>
      <c r="AT108" s="1597"/>
      <c r="AU108" s="1597"/>
      <c r="AV108" s="1597"/>
      <c r="AW108" s="1597"/>
      <c r="AX108" s="1597"/>
      <c r="AY108" s="1597"/>
      <c r="AZ108" s="1597"/>
      <c r="BA108" s="1597"/>
      <c r="BB108" s="1597"/>
      <c r="BC108" s="1597"/>
      <c r="BD108" s="1597"/>
      <c r="BE108" s="1597"/>
      <c r="BF108" s="1597"/>
      <c r="BG108" s="1597"/>
      <c r="BH108" s="1597"/>
      <c r="BI108" s="1597"/>
      <c r="BJ108" s="1597"/>
      <c r="BK108" s="1597"/>
      <c r="BL108" s="1597"/>
      <c r="BM108" s="1597"/>
      <c r="BN108" s="1597"/>
      <c r="BO108" s="1597"/>
      <c r="BP108" s="1597"/>
      <c r="BQ108" s="1597"/>
      <c r="BR108" s="1597"/>
      <c r="BS108" s="1597"/>
      <c r="BT108" s="1597"/>
      <c r="BU108" s="1597"/>
      <c r="BV108" s="1597"/>
      <c r="BW108" s="1597"/>
      <c r="BX108" s="1597"/>
      <c r="BY108" s="1597"/>
      <c r="BZ108" s="1597"/>
      <c r="CA108" s="1597"/>
      <c r="CB108" s="1597"/>
      <c r="CC108" s="1597"/>
      <c r="CD108" s="1597"/>
      <c r="CE108" s="1597"/>
      <c r="CF108" s="1597"/>
      <c r="CG108" s="1597"/>
      <c r="CH108" s="1597"/>
      <c r="CI108" s="1597"/>
      <c r="CJ108" s="1597"/>
      <c r="CK108" s="1597"/>
      <c r="CL108" s="1597"/>
      <c r="CM108" s="1597"/>
    </row>
    <row r="109" spans="1:91" s="1603" customFormat="1" ht="66" customHeight="1" thickBot="1" x14ac:dyDescent="0.25">
      <c r="A109" s="2323" t="s">
        <v>636</v>
      </c>
      <c r="B109" s="2332" t="s">
        <v>2322</v>
      </c>
      <c r="C109" s="2187" t="s">
        <v>2488</v>
      </c>
      <c r="D109" s="2197"/>
      <c r="E109" s="2332" t="s">
        <v>2937</v>
      </c>
      <c r="F109" s="2332"/>
      <c r="G109" s="2332"/>
      <c r="H109" s="1597"/>
      <c r="I109" s="1597"/>
      <c r="J109" s="1597"/>
      <c r="K109" s="1597"/>
      <c r="L109" s="1597"/>
      <c r="M109" s="1597"/>
      <c r="N109" s="1597"/>
      <c r="O109" s="1597"/>
      <c r="P109" s="1597"/>
      <c r="Q109" s="1597"/>
      <c r="R109" s="1597"/>
      <c r="S109" s="1597"/>
      <c r="T109" s="1597"/>
      <c r="U109" s="1597"/>
      <c r="V109" s="1597"/>
      <c r="W109" s="1597"/>
      <c r="X109" s="1597"/>
      <c r="Y109" s="1597"/>
      <c r="Z109" s="1597"/>
      <c r="AA109" s="1597"/>
      <c r="AB109" s="1597"/>
      <c r="AC109" s="1597"/>
      <c r="AD109" s="1597"/>
      <c r="AE109" s="1597"/>
      <c r="AF109" s="1597"/>
      <c r="AG109" s="1597"/>
      <c r="AH109" s="1597"/>
      <c r="AI109" s="1597"/>
      <c r="AJ109" s="1597"/>
      <c r="AK109" s="1597"/>
      <c r="AL109" s="1597"/>
      <c r="AM109" s="1597"/>
      <c r="AN109" s="1597"/>
      <c r="AO109" s="1597"/>
      <c r="AP109" s="1597"/>
      <c r="AQ109" s="1597"/>
      <c r="AR109" s="1597"/>
      <c r="AS109" s="1597"/>
      <c r="AT109" s="1597"/>
      <c r="AU109" s="1597"/>
      <c r="AV109" s="1597"/>
      <c r="AW109" s="1597"/>
      <c r="AX109" s="1597"/>
      <c r="AY109" s="1597"/>
      <c r="AZ109" s="1597"/>
      <c r="BA109" s="1597"/>
      <c r="BB109" s="1597"/>
      <c r="BC109" s="1597"/>
      <c r="BD109" s="1597"/>
      <c r="BE109" s="1597"/>
      <c r="BF109" s="1597"/>
      <c r="BG109" s="1597"/>
      <c r="BH109" s="1597"/>
      <c r="BI109" s="1597"/>
      <c r="BJ109" s="1597"/>
      <c r="BK109" s="1597"/>
      <c r="BL109" s="1597"/>
      <c r="BM109" s="1597"/>
      <c r="BN109" s="1597"/>
      <c r="BO109" s="1597"/>
      <c r="BP109" s="1597"/>
      <c r="BQ109" s="1597"/>
      <c r="BR109" s="1597"/>
      <c r="BS109" s="1597"/>
      <c r="BT109" s="1597"/>
      <c r="BU109" s="1597"/>
      <c r="BV109" s="1597"/>
      <c r="BW109" s="1597"/>
      <c r="BX109" s="1597"/>
      <c r="BY109" s="1597"/>
      <c r="BZ109" s="1597"/>
      <c r="CA109" s="1597"/>
      <c r="CB109" s="1597"/>
      <c r="CC109" s="1597"/>
      <c r="CD109" s="1597"/>
      <c r="CE109" s="1597"/>
      <c r="CF109" s="1597"/>
      <c r="CG109" s="1597"/>
      <c r="CH109" s="1597"/>
      <c r="CI109" s="1597"/>
      <c r="CJ109" s="1597"/>
      <c r="CK109" s="1597"/>
      <c r="CL109" s="1597"/>
      <c r="CM109" s="1597"/>
    </row>
    <row r="110" spans="1:91" s="1597" customFormat="1" ht="15" customHeight="1" x14ac:dyDescent="0.2">
      <c r="A110" s="2324"/>
      <c r="B110" s="2333"/>
      <c r="C110" s="2188" t="s">
        <v>2323</v>
      </c>
      <c r="D110" s="2223">
        <v>0</v>
      </c>
      <c r="E110" s="2333"/>
      <c r="F110" s="2333"/>
      <c r="G110" s="2333"/>
    </row>
    <row r="111" spans="1:91" s="1597" customFormat="1" ht="15" customHeight="1" x14ac:dyDescent="0.2">
      <c r="A111" s="2324"/>
      <c r="B111" s="2333"/>
      <c r="C111" s="2189" t="s">
        <v>2642</v>
      </c>
      <c r="D111" s="2223">
        <v>0</v>
      </c>
      <c r="E111" s="2333"/>
      <c r="F111" s="2333"/>
      <c r="G111" s="2333"/>
    </row>
    <row r="112" spans="1:91" s="1597" customFormat="1" ht="15" customHeight="1" x14ac:dyDescent="0.2">
      <c r="A112" s="2324"/>
      <c r="B112" s="2333"/>
      <c r="C112" s="2189" t="s">
        <v>2643</v>
      </c>
      <c r="D112" s="2223">
        <v>0</v>
      </c>
      <c r="E112" s="2333"/>
      <c r="F112" s="2333"/>
      <c r="G112" s="2333"/>
    </row>
    <row r="113" spans="1:91" s="1604" customFormat="1" ht="29.25" customHeight="1" thickBot="1" x14ac:dyDescent="0.25">
      <c r="A113" s="2325"/>
      <c r="B113" s="2334"/>
      <c r="C113" s="2190" t="s">
        <v>2524</v>
      </c>
      <c r="D113" s="2223">
        <v>0</v>
      </c>
      <c r="E113" s="2334"/>
      <c r="F113" s="2334" t="s">
        <v>2379</v>
      </c>
      <c r="G113" s="2334"/>
      <c r="H113" s="1597"/>
      <c r="I113" s="1597"/>
      <c r="J113" s="1597"/>
      <c r="K113" s="1597"/>
      <c r="L113" s="1597"/>
      <c r="M113" s="1597"/>
      <c r="N113" s="1597"/>
      <c r="O113" s="1597"/>
      <c r="P113" s="1597"/>
      <c r="Q113" s="1597"/>
      <c r="R113" s="1597"/>
      <c r="S113" s="1597"/>
      <c r="T113" s="1597"/>
      <c r="U113" s="1597"/>
      <c r="V113" s="1597"/>
      <c r="W113" s="1597"/>
      <c r="X113" s="1597"/>
      <c r="Y113" s="1597"/>
      <c r="Z113" s="1597"/>
      <c r="AA113" s="1597"/>
      <c r="AB113" s="1597"/>
      <c r="AC113" s="1597"/>
      <c r="AD113" s="1597"/>
      <c r="AE113" s="1597"/>
      <c r="AF113" s="1597"/>
      <c r="AG113" s="1597"/>
      <c r="AH113" s="1597"/>
      <c r="AI113" s="1597"/>
      <c r="AJ113" s="1597"/>
      <c r="AK113" s="1597"/>
      <c r="AL113" s="1597"/>
      <c r="AM113" s="1597"/>
      <c r="AN113" s="1597"/>
      <c r="AO113" s="1597"/>
      <c r="AP113" s="1597"/>
      <c r="AQ113" s="1597"/>
      <c r="AR113" s="1597"/>
      <c r="AS113" s="1597"/>
      <c r="AT113" s="1597"/>
      <c r="AU113" s="1597"/>
      <c r="AV113" s="1597"/>
      <c r="AW113" s="1597"/>
      <c r="AX113" s="1597"/>
      <c r="AY113" s="1597"/>
      <c r="AZ113" s="1597"/>
      <c r="BA113" s="1597"/>
      <c r="BB113" s="1597"/>
      <c r="BC113" s="1597"/>
      <c r="BD113" s="1597"/>
      <c r="BE113" s="1597"/>
      <c r="BF113" s="1597"/>
      <c r="BG113" s="1597"/>
      <c r="BH113" s="1597"/>
      <c r="BI113" s="1597"/>
      <c r="BJ113" s="1597"/>
      <c r="BK113" s="1597"/>
      <c r="BL113" s="1597"/>
      <c r="BM113" s="1597"/>
      <c r="BN113" s="1597"/>
      <c r="BO113" s="1597"/>
      <c r="BP113" s="1597"/>
      <c r="BQ113" s="1597"/>
      <c r="BR113" s="1597"/>
      <c r="BS113" s="1597"/>
      <c r="BT113" s="1597"/>
      <c r="BU113" s="1597"/>
      <c r="BV113" s="1597"/>
      <c r="BW113" s="1597"/>
      <c r="BX113" s="1597"/>
      <c r="BY113" s="1597"/>
      <c r="BZ113" s="1597"/>
      <c r="CA113" s="1597"/>
      <c r="CB113" s="1597"/>
      <c r="CC113" s="1597"/>
      <c r="CD113" s="1597"/>
      <c r="CE113" s="1597"/>
      <c r="CF113" s="1597"/>
      <c r="CG113" s="1597"/>
      <c r="CH113" s="1597"/>
      <c r="CI113" s="1597"/>
      <c r="CJ113" s="1597"/>
      <c r="CK113" s="1597"/>
      <c r="CL113" s="1597"/>
      <c r="CM113" s="1597"/>
    </row>
    <row r="114" spans="1:91" s="1603" customFormat="1" ht="30" customHeight="1" thickBot="1" x14ac:dyDescent="0.25">
      <c r="A114" s="2323" t="s">
        <v>649</v>
      </c>
      <c r="B114" s="2329" t="s">
        <v>1169</v>
      </c>
      <c r="C114" s="1775" t="s">
        <v>1688</v>
      </c>
      <c r="D114" s="2197"/>
      <c r="E114" s="2329" t="s">
        <v>2673</v>
      </c>
      <c r="F114" s="2329"/>
      <c r="G114" s="2329"/>
      <c r="H114" s="1597"/>
      <c r="I114" s="1597"/>
      <c r="J114" s="1597"/>
      <c r="K114" s="1597"/>
      <c r="L114" s="1597"/>
      <c r="M114" s="1597"/>
      <c r="N114" s="1597"/>
      <c r="O114" s="1597"/>
      <c r="P114" s="1597"/>
      <c r="Q114" s="1597"/>
      <c r="R114" s="1597"/>
      <c r="S114" s="1597"/>
      <c r="T114" s="1597"/>
      <c r="U114" s="1597"/>
      <c r="V114" s="1597"/>
      <c r="W114" s="1597"/>
      <c r="X114" s="1597"/>
      <c r="Y114" s="1597"/>
      <c r="Z114" s="1597"/>
      <c r="AA114" s="1597"/>
      <c r="AB114" s="1597"/>
      <c r="AC114" s="1597"/>
      <c r="AD114" s="1597"/>
      <c r="AE114" s="1597"/>
      <c r="AF114" s="1597"/>
      <c r="AG114" s="1597"/>
      <c r="AH114" s="1597"/>
      <c r="AI114" s="1597"/>
      <c r="AJ114" s="1597"/>
      <c r="AK114" s="1597"/>
      <c r="AL114" s="1597"/>
      <c r="AM114" s="1597"/>
      <c r="AN114" s="1597"/>
      <c r="AO114" s="1597"/>
      <c r="AP114" s="1597"/>
      <c r="AQ114" s="1597"/>
      <c r="AR114" s="1597"/>
      <c r="AS114" s="1597"/>
      <c r="AT114" s="1597"/>
      <c r="AU114" s="1597"/>
      <c r="AV114" s="1597"/>
      <c r="AW114" s="1597"/>
      <c r="AX114" s="1597"/>
      <c r="AY114" s="1597"/>
      <c r="AZ114" s="1597"/>
      <c r="BA114" s="1597"/>
      <c r="BB114" s="1597"/>
      <c r="BC114" s="1597"/>
      <c r="BD114" s="1597"/>
      <c r="BE114" s="1597"/>
      <c r="BF114" s="1597"/>
      <c r="BG114" s="1597"/>
      <c r="BH114" s="1597"/>
      <c r="BI114" s="1597"/>
      <c r="BJ114" s="1597"/>
      <c r="BK114" s="1597"/>
      <c r="BL114" s="1597"/>
      <c r="BM114" s="1597"/>
      <c r="BN114" s="1597"/>
      <c r="BO114" s="1597"/>
      <c r="BP114" s="1597"/>
      <c r="BQ114" s="1597"/>
      <c r="BR114" s="1597"/>
      <c r="BS114" s="1597"/>
      <c r="BT114" s="1597"/>
      <c r="BU114" s="1597"/>
      <c r="BV114" s="1597"/>
      <c r="BW114" s="1597"/>
      <c r="BX114" s="1597"/>
      <c r="BY114" s="1597"/>
      <c r="BZ114" s="1597"/>
      <c r="CA114" s="1597"/>
      <c r="CB114" s="1597"/>
      <c r="CC114" s="1597"/>
      <c r="CD114" s="1597"/>
      <c r="CE114" s="1597"/>
      <c r="CF114" s="1597"/>
      <c r="CG114" s="1597"/>
      <c r="CH114" s="1597"/>
      <c r="CI114" s="1597"/>
      <c r="CJ114" s="1597"/>
      <c r="CK114" s="1597"/>
      <c r="CL114" s="1597"/>
      <c r="CM114" s="1597"/>
    </row>
    <row r="115" spans="1:91" s="1597" customFormat="1" ht="15" customHeight="1" x14ac:dyDescent="0.2">
      <c r="A115" s="2324"/>
      <c r="B115" s="2330"/>
      <c r="C115" s="2191" t="s">
        <v>2644</v>
      </c>
      <c r="D115" s="2223">
        <v>1</v>
      </c>
      <c r="E115" s="2330"/>
      <c r="F115" s="2330"/>
      <c r="G115" s="2330"/>
    </row>
    <row r="116" spans="1:91" s="1597" customFormat="1" ht="15" customHeight="1" x14ac:dyDescent="0.2">
      <c r="A116" s="2324"/>
      <c r="B116" s="2330"/>
      <c r="C116" s="2174" t="s">
        <v>2645</v>
      </c>
      <c r="D116" s="2223">
        <v>0</v>
      </c>
      <c r="E116" s="2330"/>
      <c r="F116" s="2330"/>
      <c r="G116" s="2330"/>
    </row>
    <row r="117" spans="1:91" s="1604" customFormat="1" ht="15" customHeight="1" thickBot="1" x14ac:dyDescent="0.25">
      <c r="A117" s="2325"/>
      <c r="B117" s="2331"/>
      <c r="C117" s="2175" t="s">
        <v>2646</v>
      </c>
      <c r="D117" s="2223">
        <v>0</v>
      </c>
      <c r="E117" s="2331"/>
      <c r="F117" s="2331"/>
      <c r="G117" s="2331"/>
      <c r="H117" s="1597"/>
      <c r="I117" s="1597"/>
      <c r="J117" s="1597"/>
      <c r="K117" s="1597"/>
      <c r="L117" s="1597"/>
      <c r="M117" s="1597"/>
      <c r="N117" s="1597"/>
      <c r="O117" s="1597"/>
      <c r="P117" s="1597"/>
      <c r="Q117" s="1597"/>
      <c r="R117" s="1597"/>
      <c r="S117" s="1597"/>
      <c r="T117" s="1597"/>
      <c r="U117" s="1597"/>
      <c r="V117" s="1597"/>
      <c r="W117" s="1597"/>
      <c r="X117" s="1597"/>
      <c r="Y117" s="1597"/>
      <c r="Z117" s="1597"/>
      <c r="AA117" s="1597"/>
      <c r="AB117" s="1597"/>
      <c r="AC117" s="1597"/>
      <c r="AD117" s="1597"/>
      <c r="AE117" s="1597"/>
      <c r="AF117" s="1597"/>
      <c r="AG117" s="1597"/>
      <c r="AH117" s="1597"/>
      <c r="AI117" s="1597"/>
      <c r="AJ117" s="1597"/>
      <c r="AK117" s="1597"/>
      <c r="AL117" s="1597"/>
      <c r="AM117" s="1597"/>
      <c r="AN117" s="1597"/>
      <c r="AO117" s="1597"/>
      <c r="AP117" s="1597"/>
      <c r="AQ117" s="1597"/>
      <c r="AR117" s="1597"/>
      <c r="AS117" s="1597"/>
      <c r="AT117" s="1597"/>
      <c r="AU117" s="1597"/>
      <c r="AV117" s="1597"/>
      <c r="AW117" s="1597"/>
      <c r="AX117" s="1597"/>
      <c r="AY117" s="1597"/>
      <c r="AZ117" s="1597"/>
      <c r="BA117" s="1597"/>
      <c r="BB117" s="1597"/>
      <c r="BC117" s="1597"/>
      <c r="BD117" s="1597"/>
      <c r="BE117" s="1597"/>
      <c r="BF117" s="1597"/>
      <c r="BG117" s="1597"/>
      <c r="BH117" s="1597"/>
      <c r="BI117" s="1597"/>
      <c r="BJ117" s="1597"/>
      <c r="BK117" s="1597"/>
      <c r="BL117" s="1597"/>
      <c r="BM117" s="1597"/>
      <c r="BN117" s="1597"/>
      <c r="BO117" s="1597"/>
      <c r="BP117" s="1597"/>
      <c r="BQ117" s="1597"/>
      <c r="BR117" s="1597"/>
      <c r="BS117" s="1597"/>
      <c r="BT117" s="1597"/>
      <c r="BU117" s="1597"/>
      <c r="BV117" s="1597"/>
      <c r="BW117" s="1597"/>
      <c r="BX117" s="1597"/>
      <c r="BY117" s="1597"/>
      <c r="BZ117" s="1597"/>
      <c r="CA117" s="1597"/>
      <c r="CB117" s="1597"/>
      <c r="CC117" s="1597"/>
      <c r="CD117" s="1597"/>
      <c r="CE117" s="1597"/>
      <c r="CF117" s="1597"/>
      <c r="CG117" s="1597"/>
      <c r="CH117" s="1597"/>
      <c r="CI117" s="1597"/>
      <c r="CJ117" s="1597"/>
      <c r="CK117" s="1597"/>
      <c r="CL117" s="1597"/>
      <c r="CM117" s="1597"/>
    </row>
    <row r="118" spans="1:91" s="1603" customFormat="1" ht="126" customHeight="1" thickBot="1" x14ac:dyDescent="0.25">
      <c r="A118" s="2323" t="s">
        <v>999</v>
      </c>
      <c r="B118" s="2329" t="s">
        <v>446</v>
      </c>
      <c r="C118" s="1774" t="s">
        <v>2489</v>
      </c>
      <c r="D118" s="2197"/>
      <c r="E118" s="2329" t="s">
        <v>1930</v>
      </c>
      <c r="F118" s="2329"/>
      <c r="G118" s="2329"/>
      <c r="H118" s="1597"/>
      <c r="I118" s="1597"/>
      <c r="J118" s="1597"/>
      <c r="K118" s="1597"/>
      <c r="L118" s="1597"/>
      <c r="M118" s="1597"/>
      <c r="N118" s="1597"/>
      <c r="O118" s="1597"/>
      <c r="P118" s="1597"/>
      <c r="Q118" s="1597"/>
      <c r="R118" s="1597"/>
      <c r="S118" s="1597"/>
      <c r="T118" s="1597"/>
      <c r="U118" s="1597"/>
      <c r="V118" s="1597"/>
      <c r="W118" s="1597"/>
      <c r="X118" s="1597"/>
      <c r="Y118" s="1597"/>
      <c r="Z118" s="1597"/>
      <c r="AA118" s="1597"/>
      <c r="AB118" s="1597"/>
      <c r="AC118" s="1597"/>
      <c r="AD118" s="1597"/>
      <c r="AE118" s="1597"/>
      <c r="AF118" s="1597"/>
      <c r="AG118" s="1597"/>
      <c r="AH118" s="1597"/>
      <c r="AI118" s="1597"/>
      <c r="AJ118" s="1597"/>
      <c r="AK118" s="1597"/>
      <c r="AL118" s="1597"/>
      <c r="AM118" s="1597"/>
      <c r="AN118" s="1597"/>
      <c r="AO118" s="1597"/>
      <c r="AP118" s="1597"/>
      <c r="AQ118" s="1597"/>
      <c r="AR118" s="1597"/>
      <c r="AS118" s="1597"/>
      <c r="AT118" s="1597"/>
      <c r="AU118" s="1597"/>
      <c r="AV118" s="1597"/>
      <c r="AW118" s="1597"/>
      <c r="AX118" s="1597"/>
      <c r="AY118" s="1597"/>
      <c r="AZ118" s="1597"/>
      <c r="BA118" s="1597"/>
      <c r="BB118" s="1597"/>
      <c r="BC118" s="1597"/>
      <c r="BD118" s="1597"/>
      <c r="BE118" s="1597"/>
      <c r="BF118" s="1597"/>
      <c r="BG118" s="1597"/>
      <c r="BH118" s="1597"/>
      <c r="BI118" s="1597"/>
      <c r="BJ118" s="1597"/>
      <c r="BK118" s="1597"/>
      <c r="BL118" s="1597"/>
      <c r="BM118" s="1597"/>
      <c r="BN118" s="1597"/>
      <c r="BO118" s="1597"/>
      <c r="BP118" s="1597"/>
      <c r="BQ118" s="1597"/>
      <c r="BR118" s="1597"/>
      <c r="BS118" s="1597"/>
      <c r="BT118" s="1597"/>
      <c r="BU118" s="1597"/>
      <c r="BV118" s="1597"/>
      <c r="BW118" s="1597"/>
      <c r="BX118" s="1597"/>
      <c r="BY118" s="1597"/>
      <c r="BZ118" s="1597"/>
      <c r="CA118" s="1597"/>
      <c r="CB118" s="1597"/>
      <c r="CC118" s="1597"/>
      <c r="CD118" s="1597"/>
      <c r="CE118" s="1597"/>
      <c r="CF118" s="1597"/>
      <c r="CG118" s="1597"/>
      <c r="CH118" s="1597"/>
      <c r="CI118" s="1597"/>
      <c r="CJ118" s="1597"/>
      <c r="CK118" s="1597"/>
      <c r="CL118" s="1597"/>
      <c r="CM118" s="1597"/>
    </row>
    <row r="119" spans="1:91" s="1597" customFormat="1" ht="15" customHeight="1" x14ac:dyDescent="0.2">
      <c r="A119" s="2324"/>
      <c r="B119" s="2330"/>
      <c r="C119" s="2173" t="s">
        <v>2647</v>
      </c>
      <c r="D119" s="2223">
        <v>0</v>
      </c>
      <c r="E119" s="2330"/>
      <c r="F119" s="2330"/>
      <c r="G119" s="2330"/>
    </row>
    <row r="120" spans="1:91" s="1597" customFormat="1" ht="15" customHeight="1" x14ac:dyDescent="0.2">
      <c r="A120" s="2324"/>
      <c r="B120" s="2330"/>
      <c r="C120" s="2174" t="s">
        <v>2648</v>
      </c>
      <c r="D120" s="2223">
        <v>0</v>
      </c>
      <c r="E120" s="2330"/>
      <c r="F120" s="2330"/>
      <c r="G120" s="2330"/>
    </row>
    <row r="121" spans="1:91" s="1604" customFormat="1" ht="15" customHeight="1" thickBot="1" x14ac:dyDescent="0.25">
      <c r="A121" s="2325"/>
      <c r="B121" s="2331"/>
      <c r="C121" s="2175" t="s">
        <v>2649</v>
      </c>
      <c r="D121" s="2223">
        <v>1</v>
      </c>
      <c r="E121" s="2331"/>
      <c r="F121" s="2331"/>
      <c r="G121" s="2331"/>
      <c r="H121" s="1597"/>
      <c r="I121" s="1597"/>
      <c r="J121" s="1597"/>
      <c r="K121" s="1597"/>
      <c r="L121" s="1597"/>
      <c r="M121" s="1597"/>
      <c r="N121" s="1597"/>
      <c r="O121" s="1597"/>
      <c r="P121" s="1597"/>
      <c r="Q121" s="1597"/>
      <c r="R121" s="1597"/>
      <c r="S121" s="1597"/>
      <c r="T121" s="1597"/>
      <c r="U121" s="1597"/>
      <c r="V121" s="1597"/>
      <c r="W121" s="1597"/>
      <c r="X121" s="1597"/>
      <c r="Y121" s="1597"/>
      <c r="Z121" s="1597"/>
      <c r="AA121" s="1597"/>
      <c r="AB121" s="1597"/>
      <c r="AC121" s="1597"/>
      <c r="AD121" s="1597"/>
      <c r="AE121" s="1597"/>
      <c r="AF121" s="1597"/>
      <c r="AG121" s="1597"/>
      <c r="AH121" s="1597"/>
      <c r="AI121" s="1597"/>
      <c r="AJ121" s="1597"/>
      <c r="AK121" s="1597"/>
      <c r="AL121" s="1597"/>
      <c r="AM121" s="1597"/>
      <c r="AN121" s="1597"/>
      <c r="AO121" s="1597"/>
      <c r="AP121" s="1597"/>
      <c r="AQ121" s="1597"/>
      <c r="AR121" s="1597"/>
      <c r="AS121" s="1597"/>
      <c r="AT121" s="1597"/>
      <c r="AU121" s="1597"/>
      <c r="AV121" s="1597"/>
      <c r="AW121" s="1597"/>
      <c r="AX121" s="1597"/>
      <c r="AY121" s="1597"/>
      <c r="AZ121" s="1597"/>
      <c r="BA121" s="1597"/>
      <c r="BB121" s="1597"/>
      <c r="BC121" s="1597"/>
      <c r="BD121" s="1597"/>
      <c r="BE121" s="1597"/>
      <c r="BF121" s="1597"/>
      <c r="BG121" s="1597"/>
      <c r="BH121" s="1597"/>
      <c r="BI121" s="1597"/>
      <c r="BJ121" s="1597"/>
      <c r="BK121" s="1597"/>
      <c r="BL121" s="1597"/>
      <c r="BM121" s="1597"/>
      <c r="BN121" s="1597"/>
      <c r="BO121" s="1597"/>
      <c r="BP121" s="1597"/>
      <c r="BQ121" s="1597"/>
      <c r="BR121" s="1597"/>
      <c r="BS121" s="1597"/>
      <c r="BT121" s="1597"/>
      <c r="BU121" s="1597"/>
      <c r="BV121" s="1597"/>
      <c r="BW121" s="1597"/>
      <c r="BX121" s="1597"/>
      <c r="BY121" s="1597"/>
      <c r="BZ121" s="1597"/>
      <c r="CA121" s="1597"/>
      <c r="CB121" s="1597"/>
      <c r="CC121" s="1597"/>
      <c r="CD121" s="1597"/>
      <c r="CE121" s="1597"/>
      <c r="CF121" s="1597"/>
      <c r="CG121" s="1597"/>
      <c r="CH121" s="1597"/>
      <c r="CI121" s="1597"/>
      <c r="CJ121" s="1597"/>
      <c r="CK121" s="1597"/>
      <c r="CL121" s="1597"/>
      <c r="CM121" s="1597"/>
    </row>
    <row r="122" spans="1:91" s="1603" customFormat="1" ht="21" customHeight="1" thickBot="1" x14ac:dyDescent="0.25">
      <c r="A122" s="2323" t="s">
        <v>1000</v>
      </c>
      <c r="B122" s="2329" t="s">
        <v>54</v>
      </c>
      <c r="C122" s="1775" t="s">
        <v>2376</v>
      </c>
      <c r="D122" s="2197"/>
      <c r="E122" s="2329" t="s">
        <v>2672</v>
      </c>
      <c r="F122" s="2329"/>
      <c r="G122" s="2329"/>
      <c r="H122" s="1597"/>
      <c r="I122" s="1597"/>
      <c r="J122" s="1597"/>
      <c r="K122" s="1597"/>
      <c r="L122" s="1597"/>
      <c r="M122" s="1597"/>
      <c r="N122" s="1597"/>
      <c r="O122" s="1597"/>
      <c r="P122" s="1597"/>
      <c r="Q122" s="1597"/>
      <c r="R122" s="1597"/>
      <c r="S122" s="1597"/>
      <c r="T122" s="1597"/>
      <c r="U122" s="1597"/>
      <c r="V122" s="1597"/>
      <c r="W122" s="1597"/>
      <c r="X122" s="1597"/>
      <c r="Y122" s="1597"/>
      <c r="Z122" s="1597"/>
      <c r="AA122" s="1597"/>
      <c r="AB122" s="1597"/>
      <c r="AC122" s="1597"/>
      <c r="AD122" s="1597"/>
      <c r="AE122" s="1597"/>
      <c r="AF122" s="1597"/>
      <c r="AG122" s="1597"/>
      <c r="AH122" s="1597"/>
      <c r="AI122" s="1597"/>
      <c r="AJ122" s="1597"/>
      <c r="AK122" s="1597"/>
      <c r="AL122" s="1597"/>
      <c r="AM122" s="1597"/>
      <c r="AN122" s="1597"/>
      <c r="AO122" s="1597"/>
      <c r="AP122" s="1597"/>
      <c r="AQ122" s="1597"/>
      <c r="AR122" s="1597"/>
      <c r="AS122" s="1597"/>
      <c r="AT122" s="1597"/>
      <c r="AU122" s="1597"/>
      <c r="AV122" s="1597"/>
      <c r="AW122" s="1597"/>
      <c r="AX122" s="1597"/>
      <c r="AY122" s="1597"/>
      <c r="AZ122" s="1597"/>
      <c r="BA122" s="1597"/>
      <c r="BB122" s="1597"/>
      <c r="BC122" s="1597"/>
      <c r="BD122" s="1597"/>
      <c r="BE122" s="1597"/>
      <c r="BF122" s="1597"/>
      <c r="BG122" s="1597"/>
      <c r="BH122" s="1597"/>
      <c r="BI122" s="1597"/>
      <c r="BJ122" s="1597"/>
      <c r="BK122" s="1597"/>
      <c r="BL122" s="1597"/>
      <c r="BM122" s="1597"/>
      <c r="BN122" s="1597"/>
      <c r="BO122" s="1597"/>
      <c r="BP122" s="1597"/>
      <c r="BQ122" s="1597"/>
      <c r="BR122" s="1597"/>
      <c r="BS122" s="1597"/>
      <c r="BT122" s="1597"/>
      <c r="BU122" s="1597"/>
      <c r="BV122" s="1597"/>
      <c r="BW122" s="1597"/>
      <c r="BX122" s="1597"/>
      <c r="BY122" s="1597"/>
      <c r="BZ122" s="1597"/>
      <c r="CA122" s="1597"/>
      <c r="CB122" s="1597"/>
      <c r="CC122" s="1597"/>
      <c r="CD122" s="1597"/>
      <c r="CE122" s="1597"/>
      <c r="CF122" s="1597"/>
      <c r="CG122" s="1597"/>
      <c r="CH122" s="1597"/>
      <c r="CI122" s="1597"/>
      <c r="CJ122" s="1597"/>
      <c r="CK122" s="1597"/>
      <c r="CL122" s="1597"/>
      <c r="CM122" s="1597"/>
    </row>
    <row r="123" spans="1:91" s="1597" customFormat="1" ht="15" customHeight="1" x14ac:dyDescent="0.2">
      <c r="A123" s="2324"/>
      <c r="B123" s="2330"/>
      <c r="C123" s="2173" t="s">
        <v>1426</v>
      </c>
      <c r="D123" s="2223">
        <v>0</v>
      </c>
      <c r="E123" s="2330"/>
      <c r="F123" s="2330"/>
      <c r="G123" s="2330"/>
    </row>
    <row r="124" spans="1:91" s="1597" customFormat="1" ht="15" customHeight="1" x14ac:dyDescent="0.2">
      <c r="A124" s="2324"/>
      <c r="B124" s="2330"/>
      <c r="C124" s="2174" t="s">
        <v>1427</v>
      </c>
      <c r="D124" s="2223">
        <v>0</v>
      </c>
      <c r="E124" s="2330"/>
      <c r="F124" s="2330"/>
      <c r="G124" s="2330"/>
    </row>
    <row r="125" spans="1:91" s="1604" customFormat="1" ht="15" customHeight="1" thickBot="1" x14ac:dyDescent="0.25">
      <c r="A125" s="2325"/>
      <c r="B125" s="2331"/>
      <c r="C125" s="2175" t="s">
        <v>2662</v>
      </c>
      <c r="D125" s="2223">
        <v>1</v>
      </c>
      <c r="E125" s="2331"/>
      <c r="F125" s="2331"/>
      <c r="G125" s="2331"/>
      <c r="H125" s="1597"/>
      <c r="I125" s="1597"/>
      <c r="J125" s="1597"/>
      <c r="K125" s="1597"/>
      <c r="L125" s="1597"/>
      <c r="M125" s="1597"/>
      <c r="N125" s="1597"/>
      <c r="O125" s="1597"/>
      <c r="P125" s="1597"/>
      <c r="Q125" s="1597"/>
      <c r="R125" s="1597"/>
      <c r="S125" s="1597"/>
      <c r="T125" s="1597"/>
      <c r="U125" s="1597"/>
      <c r="V125" s="1597"/>
      <c r="W125" s="1597"/>
      <c r="X125" s="1597"/>
      <c r="Y125" s="1597"/>
      <c r="Z125" s="1597"/>
      <c r="AA125" s="1597"/>
      <c r="AB125" s="1597"/>
      <c r="AC125" s="1597"/>
      <c r="AD125" s="1597"/>
      <c r="AE125" s="1597"/>
      <c r="AF125" s="1597"/>
      <c r="AG125" s="1597"/>
      <c r="AH125" s="1597"/>
      <c r="AI125" s="1597"/>
      <c r="AJ125" s="1597"/>
      <c r="AK125" s="1597"/>
      <c r="AL125" s="1597"/>
      <c r="AM125" s="1597"/>
      <c r="AN125" s="1597"/>
      <c r="AO125" s="1597"/>
      <c r="AP125" s="1597"/>
      <c r="AQ125" s="1597"/>
      <c r="AR125" s="1597"/>
      <c r="AS125" s="1597"/>
      <c r="AT125" s="1597"/>
      <c r="AU125" s="1597"/>
      <c r="AV125" s="1597"/>
      <c r="AW125" s="1597"/>
      <c r="AX125" s="1597"/>
      <c r="AY125" s="1597"/>
      <c r="AZ125" s="1597"/>
      <c r="BA125" s="1597"/>
      <c r="BB125" s="1597"/>
      <c r="BC125" s="1597"/>
      <c r="BD125" s="1597"/>
      <c r="BE125" s="1597"/>
      <c r="BF125" s="1597"/>
      <c r="BG125" s="1597"/>
      <c r="BH125" s="1597"/>
      <c r="BI125" s="1597"/>
      <c r="BJ125" s="1597"/>
      <c r="BK125" s="1597"/>
      <c r="BL125" s="1597"/>
      <c r="BM125" s="1597"/>
      <c r="BN125" s="1597"/>
      <c r="BO125" s="1597"/>
      <c r="BP125" s="1597"/>
      <c r="BQ125" s="1597"/>
      <c r="BR125" s="1597"/>
      <c r="BS125" s="1597"/>
      <c r="BT125" s="1597"/>
      <c r="BU125" s="1597"/>
      <c r="BV125" s="1597"/>
      <c r="BW125" s="1597"/>
      <c r="BX125" s="1597"/>
      <c r="BY125" s="1597"/>
      <c r="BZ125" s="1597"/>
      <c r="CA125" s="1597"/>
      <c r="CB125" s="1597"/>
      <c r="CC125" s="1597"/>
      <c r="CD125" s="1597"/>
      <c r="CE125" s="1597"/>
      <c r="CF125" s="1597"/>
      <c r="CG125" s="1597"/>
      <c r="CH125" s="1597"/>
      <c r="CI125" s="1597"/>
      <c r="CJ125" s="1597"/>
      <c r="CK125" s="1597"/>
      <c r="CL125" s="1597"/>
      <c r="CM125" s="1597"/>
    </row>
    <row r="126" spans="1:91" s="1607" customFormat="1" ht="21" customHeight="1" thickBot="1" x14ac:dyDescent="0.25">
      <c r="A126" s="2323" t="s">
        <v>637</v>
      </c>
      <c r="B126" s="2329" t="s">
        <v>1091</v>
      </c>
      <c r="C126" s="1774" t="s">
        <v>1897</v>
      </c>
      <c r="D126" s="2197"/>
      <c r="E126" s="2329" t="s">
        <v>2899</v>
      </c>
      <c r="F126" s="2329"/>
      <c r="G126" s="2329"/>
      <c r="H126" s="1606"/>
      <c r="I126" s="1606"/>
      <c r="J126" s="1606"/>
      <c r="K126" s="1606"/>
      <c r="L126" s="1606"/>
      <c r="M126" s="1606"/>
      <c r="N126" s="1606"/>
      <c r="O126" s="1606"/>
      <c r="P126" s="1606"/>
      <c r="Q126" s="1606"/>
      <c r="R126" s="1606"/>
      <c r="S126" s="1606"/>
      <c r="T126" s="1606"/>
      <c r="U126" s="1606"/>
      <c r="V126" s="1606"/>
      <c r="W126" s="1606"/>
      <c r="X126" s="1606"/>
      <c r="Y126" s="1606"/>
      <c r="Z126" s="1606"/>
      <c r="AA126" s="1606"/>
      <c r="AB126" s="1606"/>
      <c r="AC126" s="1606"/>
      <c r="AD126" s="1606"/>
      <c r="AE126" s="1606"/>
      <c r="AF126" s="1606"/>
      <c r="AG126" s="1606"/>
      <c r="AH126" s="1606"/>
      <c r="AI126" s="1606"/>
      <c r="AJ126" s="1606"/>
      <c r="AK126" s="1606"/>
      <c r="AL126" s="1606"/>
      <c r="AM126" s="1606"/>
      <c r="AN126" s="1606"/>
      <c r="AO126" s="1606"/>
      <c r="AP126" s="1606"/>
      <c r="AQ126" s="1606"/>
      <c r="AR126" s="1606"/>
      <c r="AS126" s="1606"/>
      <c r="AT126" s="1606"/>
      <c r="AU126" s="1606"/>
      <c r="AV126" s="1606"/>
      <c r="AW126" s="1606"/>
      <c r="AX126" s="1606"/>
      <c r="AY126" s="1606"/>
      <c r="AZ126" s="1606"/>
      <c r="BA126" s="1606"/>
      <c r="BB126" s="1606"/>
      <c r="BC126" s="1606"/>
      <c r="BD126" s="1606"/>
      <c r="BE126" s="1606"/>
      <c r="BF126" s="1606"/>
      <c r="BG126" s="1606"/>
      <c r="BH126" s="1606"/>
      <c r="BI126" s="1606"/>
      <c r="BJ126" s="1606"/>
      <c r="BK126" s="1606"/>
      <c r="BL126" s="1606"/>
      <c r="BM126" s="1606"/>
      <c r="BN126" s="1606"/>
      <c r="BO126" s="1606"/>
      <c r="BP126" s="1606"/>
      <c r="BQ126" s="1606"/>
      <c r="BR126" s="1606"/>
      <c r="BS126" s="1606"/>
      <c r="BT126" s="1606"/>
      <c r="BU126" s="1606"/>
      <c r="BV126" s="1606"/>
      <c r="BW126" s="1606"/>
      <c r="BX126" s="1606"/>
      <c r="BY126" s="1606"/>
      <c r="BZ126" s="1606"/>
      <c r="CA126" s="1606"/>
      <c r="CB126" s="1606"/>
      <c r="CC126" s="1606"/>
      <c r="CD126" s="1606"/>
      <c r="CE126" s="1606"/>
      <c r="CF126" s="1606"/>
      <c r="CG126" s="1606"/>
      <c r="CH126" s="1606"/>
      <c r="CI126" s="1606"/>
      <c r="CJ126" s="1606"/>
      <c r="CK126" s="1606"/>
      <c r="CL126" s="1606"/>
      <c r="CM126" s="1606"/>
    </row>
    <row r="127" spans="1:91" s="1606" customFormat="1" ht="15" customHeight="1" x14ac:dyDescent="0.2">
      <c r="A127" s="2324"/>
      <c r="B127" s="2330"/>
      <c r="C127" s="2173" t="s">
        <v>2630</v>
      </c>
      <c r="D127" s="2203">
        <v>0</v>
      </c>
      <c r="E127" s="2330"/>
      <c r="F127" s="2330"/>
      <c r="G127" s="2330"/>
    </row>
    <row r="128" spans="1:91" s="1606" customFormat="1" ht="15" customHeight="1" x14ac:dyDescent="0.2">
      <c r="A128" s="2324"/>
      <c r="B128" s="2330"/>
      <c r="C128" s="2174" t="s">
        <v>2650</v>
      </c>
      <c r="D128" s="2203">
        <v>0</v>
      </c>
      <c r="E128" s="2330"/>
      <c r="F128" s="2330"/>
      <c r="G128" s="2330"/>
    </row>
    <row r="129" spans="1:91" s="1606" customFormat="1" ht="15" customHeight="1" x14ac:dyDescent="0.2">
      <c r="A129" s="2324"/>
      <c r="B129" s="2330"/>
      <c r="C129" s="2177" t="s">
        <v>2633</v>
      </c>
      <c r="D129" s="2203">
        <v>0</v>
      </c>
      <c r="E129" s="2330"/>
      <c r="F129" s="2330"/>
      <c r="G129" s="2330"/>
    </row>
    <row r="130" spans="1:91" s="1606" customFormat="1" ht="15" customHeight="1" x14ac:dyDescent="0.2">
      <c r="A130" s="2324"/>
      <c r="B130" s="2330"/>
      <c r="C130" s="2177" t="s">
        <v>2651</v>
      </c>
      <c r="D130" s="2203">
        <v>0</v>
      </c>
      <c r="E130" s="2330"/>
      <c r="F130" s="2330"/>
      <c r="G130" s="2330"/>
    </row>
    <row r="131" spans="1:91" s="1606" customFormat="1" ht="15" customHeight="1" x14ac:dyDescent="0.2">
      <c r="A131" s="2324"/>
      <c r="B131" s="2330"/>
      <c r="C131" s="2177" t="s">
        <v>2652</v>
      </c>
      <c r="D131" s="2203">
        <v>0</v>
      </c>
      <c r="E131" s="2330"/>
      <c r="F131" s="2330"/>
      <c r="G131" s="2330"/>
    </row>
    <row r="132" spans="1:91" s="1608" customFormat="1" ht="15" customHeight="1" thickBot="1" x14ac:dyDescent="0.25">
      <c r="A132" s="2325"/>
      <c r="B132" s="2331"/>
      <c r="C132" s="2175" t="s">
        <v>2571</v>
      </c>
      <c r="D132" s="2204">
        <v>1</v>
      </c>
      <c r="E132" s="2331"/>
      <c r="F132" s="2331"/>
      <c r="G132" s="2331"/>
      <c r="H132" s="1606"/>
      <c r="I132" s="1606"/>
      <c r="J132" s="1606"/>
      <c r="K132" s="1606"/>
      <c r="L132" s="1606"/>
      <c r="M132" s="1606"/>
      <c r="N132" s="1606"/>
      <c r="O132" s="1606"/>
      <c r="P132" s="1606"/>
      <c r="Q132" s="1606"/>
      <c r="R132" s="1606"/>
      <c r="S132" s="1606"/>
      <c r="T132" s="1606"/>
      <c r="U132" s="1606"/>
      <c r="V132" s="1606"/>
      <c r="W132" s="1606"/>
      <c r="X132" s="1606"/>
      <c r="Y132" s="1606"/>
      <c r="Z132" s="1606"/>
      <c r="AA132" s="1606"/>
      <c r="AB132" s="1606"/>
      <c r="AC132" s="1606"/>
      <c r="AD132" s="1606"/>
      <c r="AE132" s="1606"/>
      <c r="AF132" s="1606"/>
      <c r="AG132" s="1606"/>
      <c r="AH132" s="1606"/>
      <c r="AI132" s="1606"/>
      <c r="AJ132" s="1606"/>
      <c r="AK132" s="1606"/>
      <c r="AL132" s="1606"/>
      <c r="AM132" s="1606"/>
      <c r="AN132" s="1606"/>
      <c r="AO132" s="1606"/>
      <c r="AP132" s="1606"/>
      <c r="AQ132" s="1606"/>
      <c r="AR132" s="1606"/>
      <c r="AS132" s="1606"/>
      <c r="AT132" s="1606"/>
      <c r="AU132" s="1606"/>
      <c r="AV132" s="1606"/>
      <c r="AW132" s="1606"/>
      <c r="AX132" s="1606"/>
      <c r="AY132" s="1606"/>
      <c r="AZ132" s="1606"/>
      <c r="BA132" s="1606"/>
      <c r="BB132" s="1606"/>
      <c r="BC132" s="1606"/>
      <c r="BD132" s="1606"/>
      <c r="BE132" s="1606"/>
      <c r="BF132" s="1606"/>
      <c r="BG132" s="1606"/>
      <c r="BH132" s="1606"/>
      <c r="BI132" s="1606"/>
      <c r="BJ132" s="1606"/>
      <c r="BK132" s="1606"/>
      <c r="BL132" s="1606"/>
      <c r="BM132" s="1606"/>
      <c r="BN132" s="1606"/>
      <c r="BO132" s="1606"/>
      <c r="BP132" s="1606"/>
      <c r="BQ132" s="1606"/>
      <c r="BR132" s="1606"/>
      <c r="BS132" s="1606"/>
      <c r="BT132" s="1606"/>
      <c r="BU132" s="1606"/>
      <c r="BV132" s="1606"/>
      <c r="BW132" s="1606"/>
      <c r="BX132" s="1606"/>
      <c r="BY132" s="1606"/>
      <c r="BZ132" s="1606"/>
      <c r="CA132" s="1606"/>
      <c r="CB132" s="1606"/>
      <c r="CC132" s="1606"/>
      <c r="CD132" s="1606"/>
      <c r="CE132" s="1606"/>
      <c r="CF132" s="1606"/>
      <c r="CG132" s="1606"/>
      <c r="CH132" s="1606"/>
      <c r="CI132" s="1606"/>
      <c r="CJ132" s="1606"/>
      <c r="CK132" s="1606"/>
      <c r="CL132" s="1606"/>
      <c r="CM132" s="1606"/>
    </row>
    <row r="133" spans="1:91" s="1607" customFormat="1" ht="30" customHeight="1" thickBot="1" x14ac:dyDescent="0.25">
      <c r="A133" s="1170" t="s">
        <v>1958</v>
      </c>
      <c r="B133" s="1776" t="s">
        <v>1297</v>
      </c>
      <c r="C133" s="1775" t="s">
        <v>2938</v>
      </c>
      <c r="D133" s="2227">
        <v>2135</v>
      </c>
      <c r="E133" s="1776" t="s">
        <v>2480</v>
      </c>
      <c r="F133" s="1776" t="s">
        <v>2934</v>
      </c>
      <c r="G133" s="1776"/>
      <c r="H133" s="1606"/>
      <c r="I133" s="1606"/>
      <c r="J133" s="1606"/>
      <c r="K133" s="1606"/>
      <c r="L133" s="1606"/>
      <c r="M133" s="1606"/>
      <c r="N133" s="1606"/>
      <c r="O133" s="1606"/>
      <c r="P133" s="1606"/>
      <c r="Q133" s="1606"/>
      <c r="R133" s="1606"/>
      <c r="S133" s="1606"/>
      <c r="T133" s="1606"/>
      <c r="U133" s="1606"/>
      <c r="V133" s="1606"/>
      <c r="W133" s="1606"/>
      <c r="X133" s="1606"/>
      <c r="Y133" s="1606"/>
      <c r="Z133" s="1606"/>
      <c r="AA133" s="1606"/>
      <c r="AB133" s="1606"/>
      <c r="AC133" s="1606"/>
      <c r="AD133" s="1606"/>
      <c r="AE133" s="1606"/>
      <c r="AF133" s="1606"/>
      <c r="AG133" s="1606"/>
      <c r="AH133" s="1606"/>
      <c r="AI133" s="1606"/>
      <c r="AJ133" s="1606"/>
      <c r="AK133" s="1606"/>
      <c r="AL133" s="1606"/>
      <c r="AM133" s="1606"/>
      <c r="AN133" s="1606"/>
      <c r="AO133" s="1606"/>
      <c r="AP133" s="1606"/>
      <c r="AQ133" s="1606"/>
      <c r="AR133" s="1606"/>
      <c r="AS133" s="1606"/>
      <c r="AT133" s="1606"/>
      <c r="AU133" s="1606"/>
      <c r="AV133" s="1606"/>
      <c r="AW133" s="1606"/>
      <c r="AX133" s="1606"/>
      <c r="AY133" s="1606"/>
      <c r="AZ133" s="1606"/>
      <c r="BA133" s="1606"/>
      <c r="BB133" s="1606"/>
      <c r="BC133" s="1606"/>
      <c r="BD133" s="1606"/>
      <c r="BE133" s="1606"/>
      <c r="BF133" s="1606"/>
      <c r="BG133" s="1606"/>
      <c r="BH133" s="1606"/>
      <c r="BI133" s="1606"/>
      <c r="BJ133" s="1606"/>
      <c r="BK133" s="1606"/>
      <c r="BL133" s="1606"/>
      <c r="BM133" s="1606"/>
      <c r="BN133" s="1606"/>
      <c r="BO133" s="1606"/>
      <c r="BP133" s="1606"/>
      <c r="BQ133" s="1606"/>
      <c r="BR133" s="1606"/>
      <c r="BS133" s="1606"/>
      <c r="BT133" s="1606"/>
      <c r="BU133" s="1606"/>
      <c r="BV133" s="1606"/>
      <c r="BW133" s="1606"/>
      <c r="BX133" s="1606"/>
      <c r="BY133" s="1606"/>
      <c r="BZ133" s="1606"/>
      <c r="CA133" s="1606"/>
      <c r="CB133" s="1606"/>
      <c r="CC133" s="1606"/>
      <c r="CD133" s="1606"/>
      <c r="CE133" s="1606"/>
      <c r="CF133" s="1606"/>
      <c r="CG133" s="1606"/>
      <c r="CH133" s="1606"/>
      <c r="CI133" s="1606"/>
      <c r="CJ133" s="1606"/>
      <c r="CK133" s="1606"/>
      <c r="CL133" s="1606"/>
      <c r="CM133" s="1606"/>
    </row>
    <row r="134" spans="1:91" s="1603" customFormat="1" ht="21" customHeight="1" thickBot="1" x14ac:dyDescent="0.25">
      <c r="A134" s="2323" t="s">
        <v>638</v>
      </c>
      <c r="B134" s="2329" t="s">
        <v>4</v>
      </c>
      <c r="C134" s="1774" t="s">
        <v>2857</v>
      </c>
      <c r="D134" s="2197"/>
      <c r="E134" s="2329" t="s">
        <v>2898</v>
      </c>
      <c r="F134" s="2329"/>
      <c r="G134" s="2329"/>
      <c r="H134" s="1597"/>
      <c r="I134" s="1597"/>
      <c r="J134" s="1597"/>
      <c r="K134" s="1597"/>
      <c r="L134" s="1597"/>
      <c r="M134" s="1597"/>
      <c r="N134" s="1597"/>
      <c r="O134" s="1597"/>
      <c r="P134" s="1597"/>
      <c r="Q134" s="1597"/>
      <c r="R134" s="1597"/>
      <c r="S134" s="1597"/>
      <c r="T134" s="1597"/>
      <c r="U134" s="1597"/>
      <c r="V134" s="1597"/>
      <c r="W134" s="1597"/>
      <c r="X134" s="1597"/>
      <c r="Y134" s="1597"/>
      <c r="Z134" s="1597"/>
      <c r="AA134" s="1597"/>
      <c r="AB134" s="1597"/>
      <c r="AC134" s="1597"/>
      <c r="AD134" s="1597"/>
      <c r="AE134" s="1597"/>
      <c r="AF134" s="1597"/>
      <c r="AG134" s="1597"/>
      <c r="AH134" s="1597"/>
      <c r="AI134" s="1597"/>
      <c r="AJ134" s="1597"/>
      <c r="AK134" s="1597"/>
      <c r="AL134" s="1597"/>
      <c r="AM134" s="1597"/>
      <c r="AN134" s="1597"/>
      <c r="AO134" s="1597"/>
      <c r="AP134" s="1597"/>
      <c r="AQ134" s="1597"/>
      <c r="AR134" s="1597"/>
      <c r="AS134" s="1597"/>
      <c r="AT134" s="1597"/>
      <c r="AU134" s="1597"/>
      <c r="AV134" s="1597"/>
      <c r="AW134" s="1597"/>
      <c r="AX134" s="1597"/>
      <c r="AY134" s="1597"/>
      <c r="AZ134" s="1597"/>
      <c r="BA134" s="1597"/>
      <c r="BB134" s="1597"/>
      <c r="BC134" s="1597"/>
      <c r="BD134" s="1597"/>
      <c r="BE134" s="1597"/>
      <c r="BF134" s="1597"/>
      <c r="BG134" s="1597"/>
      <c r="BH134" s="1597"/>
      <c r="BI134" s="1597"/>
      <c r="BJ134" s="1597"/>
      <c r="BK134" s="1597"/>
      <c r="BL134" s="1597"/>
      <c r="BM134" s="1597"/>
      <c r="BN134" s="1597"/>
      <c r="BO134" s="1597"/>
      <c r="BP134" s="1597"/>
      <c r="BQ134" s="1597"/>
      <c r="BR134" s="1597"/>
      <c r="BS134" s="1597"/>
      <c r="BT134" s="1597"/>
      <c r="BU134" s="1597"/>
      <c r="BV134" s="1597"/>
      <c r="BW134" s="1597"/>
      <c r="BX134" s="1597"/>
      <c r="BY134" s="1597"/>
      <c r="BZ134" s="1597"/>
      <c r="CA134" s="1597"/>
      <c r="CB134" s="1597"/>
      <c r="CC134" s="1597"/>
      <c r="CD134" s="1597"/>
      <c r="CE134" s="1597"/>
      <c r="CF134" s="1597"/>
      <c r="CG134" s="1597"/>
      <c r="CH134" s="1597"/>
      <c r="CI134" s="1597"/>
      <c r="CJ134" s="1597"/>
      <c r="CK134" s="1597"/>
      <c r="CL134" s="1597"/>
      <c r="CM134" s="1597"/>
    </row>
    <row r="135" spans="1:91" s="1606" customFormat="1" ht="42" customHeight="1" x14ac:dyDescent="0.2">
      <c r="A135" s="2324"/>
      <c r="B135" s="2330"/>
      <c r="C135" s="2173" t="s">
        <v>2904</v>
      </c>
      <c r="D135" s="2203">
        <v>0</v>
      </c>
      <c r="E135" s="2330"/>
      <c r="F135" s="2330"/>
      <c r="G135" s="2330"/>
    </row>
    <row r="136" spans="1:91" s="1606" customFormat="1" ht="27" customHeight="1" x14ac:dyDescent="0.2">
      <c r="A136" s="2324"/>
      <c r="B136" s="2330"/>
      <c r="C136" s="2174" t="s">
        <v>2663</v>
      </c>
      <c r="D136" s="2203">
        <v>0</v>
      </c>
      <c r="E136" s="2330"/>
      <c r="F136" s="2330"/>
      <c r="G136" s="2330"/>
    </row>
    <row r="137" spans="1:91" s="1606" customFormat="1" ht="15.75" customHeight="1" x14ac:dyDescent="0.2">
      <c r="A137" s="2324"/>
      <c r="B137" s="2330"/>
      <c r="C137" s="2186" t="s">
        <v>2664</v>
      </c>
      <c r="D137" s="2203">
        <v>1</v>
      </c>
      <c r="E137" s="2330"/>
      <c r="F137" s="2330"/>
      <c r="G137" s="2330"/>
    </row>
    <row r="138" spans="1:91" s="1606" customFormat="1" ht="15" customHeight="1" thickBot="1" x14ac:dyDescent="0.25">
      <c r="A138" s="2325"/>
      <c r="B138" s="2331"/>
      <c r="C138" s="2192" t="s">
        <v>2665</v>
      </c>
      <c r="D138" s="2204">
        <v>0</v>
      </c>
      <c r="E138" s="2331"/>
      <c r="F138" s="2331"/>
      <c r="G138" s="2331"/>
    </row>
    <row r="139" spans="1:91" s="1606" customFormat="1" ht="32.25" customHeight="1" thickBot="1" x14ac:dyDescent="0.25">
      <c r="A139" s="2323" t="s">
        <v>639</v>
      </c>
      <c r="B139" s="2329" t="s">
        <v>1295</v>
      </c>
      <c r="C139" s="1775" t="s">
        <v>2507</v>
      </c>
      <c r="D139" s="2197"/>
      <c r="E139" s="2329" t="s">
        <v>2477</v>
      </c>
      <c r="F139" s="2329"/>
      <c r="G139" s="2329"/>
    </row>
    <row r="140" spans="1:91" s="1606" customFormat="1" ht="30" customHeight="1" x14ac:dyDescent="0.2">
      <c r="A140" s="2324"/>
      <c r="B140" s="2330"/>
      <c r="C140" s="2173" t="s">
        <v>2935</v>
      </c>
      <c r="D140" s="2203">
        <v>1</v>
      </c>
      <c r="E140" s="2330"/>
      <c r="F140" s="2330"/>
      <c r="G140" s="2330"/>
    </row>
    <row r="141" spans="1:91" s="1606" customFormat="1" ht="27" customHeight="1" x14ac:dyDescent="0.2">
      <c r="A141" s="2324"/>
      <c r="B141" s="2330"/>
      <c r="C141" s="2174" t="s">
        <v>2508</v>
      </c>
      <c r="D141" s="2203">
        <v>0</v>
      </c>
      <c r="E141" s="2330"/>
      <c r="F141" s="2330"/>
      <c r="G141" s="2330"/>
    </row>
    <row r="142" spans="1:91" s="1606" customFormat="1" ht="27" customHeight="1" x14ac:dyDescent="0.2">
      <c r="A142" s="2324"/>
      <c r="B142" s="2330"/>
      <c r="C142" s="2174" t="s">
        <v>2509</v>
      </c>
      <c r="D142" s="2203">
        <v>0</v>
      </c>
      <c r="E142" s="2330"/>
      <c r="F142" s="2330"/>
      <c r="G142" s="2330"/>
    </row>
    <row r="143" spans="1:91" s="1606" customFormat="1" ht="27" customHeight="1" x14ac:dyDescent="0.2">
      <c r="A143" s="2324"/>
      <c r="B143" s="2330"/>
      <c r="C143" s="2174" t="s">
        <v>2510</v>
      </c>
      <c r="D143" s="2203">
        <v>1</v>
      </c>
      <c r="E143" s="2330"/>
      <c r="F143" s="2330"/>
      <c r="G143" s="2330"/>
    </row>
    <row r="144" spans="1:91" s="1606" customFormat="1" ht="15" customHeight="1" thickBot="1" x14ac:dyDescent="0.25">
      <c r="A144" s="2325"/>
      <c r="B144" s="2331"/>
      <c r="C144" s="2175" t="s">
        <v>2666</v>
      </c>
      <c r="D144" s="2204">
        <v>0</v>
      </c>
      <c r="E144" s="2331"/>
      <c r="F144" s="2331"/>
      <c r="G144" s="2331"/>
    </row>
    <row r="145" spans="1:91" s="1609" customFormat="1" ht="30" customHeight="1" thickBot="1" x14ac:dyDescent="0.25">
      <c r="A145" s="1626" t="s">
        <v>640</v>
      </c>
      <c r="B145" s="1779" t="s">
        <v>2380</v>
      </c>
      <c r="C145" s="2176" t="s">
        <v>2511</v>
      </c>
      <c r="D145" s="2228">
        <v>0</v>
      </c>
      <c r="E145" s="1779" t="s">
        <v>2472</v>
      </c>
      <c r="F145" s="2164"/>
      <c r="G145" s="1925"/>
      <c r="H145" s="1597"/>
      <c r="I145" s="1597"/>
      <c r="J145" s="1597"/>
      <c r="K145" s="1597"/>
      <c r="L145" s="1597"/>
      <c r="M145" s="1597"/>
      <c r="N145" s="1597"/>
      <c r="O145" s="1597"/>
      <c r="P145" s="1597"/>
      <c r="Q145" s="1597"/>
      <c r="R145" s="1597"/>
      <c r="S145" s="1597"/>
      <c r="T145" s="1597"/>
      <c r="U145" s="1597"/>
      <c r="V145" s="1597"/>
      <c r="W145" s="1597"/>
      <c r="X145" s="1597"/>
      <c r="Y145" s="1597"/>
      <c r="Z145" s="1597"/>
      <c r="AA145" s="1597"/>
      <c r="AB145" s="1597"/>
      <c r="AC145" s="1597"/>
      <c r="AD145" s="1597"/>
      <c r="AE145" s="1597"/>
      <c r="AF145" s="1597"/>
      <c r="AG145" s="1597"/>
      <c r="AH145" s="1597"/>
      <c r="AI145" s="1597"/>
      <c r="AJ145" s="1597"/>
      <c r="AK145" s="1597"/>
      <c r="AL145" s="1597"/>
      <c r="AM145" s="1597"/>
      <c r="AN145" s="1597"/>
      <c r="AO145" s="1597"/>
      <c r="AP145" s="1597"/>
      <c r="AQ145" s="1597"/>
      <c r="AR145" s="1597"/>
      <c r="AS145" s="1597"/>
      <c r="AT145" s="1597"/>
      <c r="AU145" s="1597"/>
      <c r="AV145" s="1597"/>
      <c r="AW145" s="1597"/>
      <c r="AX145" s="1597"/>
      <c r="AY145" s="1597"/>
      <c r="AZ145" s="1597"/>
      <c r="BA145" s="1597"/>
      <c r="BB145" s="1597"/>
      <c r="BC145" s="1597"/>
      <c r="BD145" s="1597"/>
      <c r="BE145" s="1597"/>
      <c r="BF145" s="1597"/>
      <c r="BG145" s="1597"/>
      <c r="BH145" s="1597"/>
      <c r="BI145" s="1597"/>
      <c r="BJ145" s="1597"/>
      <c r="BK145" s="1597"/>
      <c r="BL145" s="1597"/>
      <c r="BM145" s="1597"/>
      <c r="BN145" s="1597"/>
      <c r="BO145" s="1597"/>
      <c r="BP145" s="1597"/>
      <c r="BQ145" s="1597"/>
      <c r="BR145" s="1597"/>
      <c r="BS145" s="1597"/>
      <c r="BT145" s="1597"/>
      <c r="BU145" s="1597"/>
      <c r="BV145" s="1597"/>
      <c r="BW145" s="1597"/>
      <c r="BX145" s="1597"/>
      <c r="BY145" s="1597"/>
      <c r="BZ145" s="1597"/>
      <c r="CA145" s="1597"/>
      <c r="CB145" s="1597"/>
      <c r="CC145" s="1597"/>
      <c r="CD145" s="1597"/>
      <c r="CE145" s="1597"/>
      <c r="CF145" s="1597"/>
      <c r="CG145" s="1597"/>
      <c r="CH145" s="1597"/>
      <c r="CI145" s="1597"/>
      <c r="CJ145" s="1597"/>
      <c r="CK145" s="1597"/>
      <c r="CL145" s="1597"/>
      <c r="CM145" s="1597"/>
    </row>
    <row r="146" spans="1:91" s="1609" customFormat="1" ht="45" customHeight="1" thickBot="1" x14ac:dyDescent="0.25">
      <c r="A146" s="1170" t="s">
        <v>641</v>
      </c>
      <c r="B146" s="1776" t="s">
        <v>1493</v>
      </c>
      <c r="C146" s="2176" t="s">
        <v>2667</v>
      </c>
      <c r="D146" s="2229">
        <v>2</v>
      </c>
      <c r="E146" s="1776" t="s">
        <v>2478</v>
      </c>
      <c r="F146" s="1776"/>
      <c r="G146" s="1776"/>
      <c r="H146" s="1597"/>
      <c r="I146" s="1597"/>
      <c r="J146" s="1597"/>
      <c r="K146" s="1597"/>
      <c r="L146" s="1597"/>
      <c r="M146" s="1597"/>
      <c r="N146" s="1597"/>
      <c r="O146" s="1597"/>
      <c r="P146" s="1597"/>
      <c r="Q146" s="1597"/>
      <c r="R146" s="1597"/>
      <c r="S146" s="1597"/>
      <c r="T146" s="1597"/>
      <c r="U146" s="1597"/>
      <c r="V146" s="1597"/>
      <c r="W146" s="1597"/>
      <c r="X146" s="1597"/>
      <c r="Y146" s="1597"/>
      <c r="Z146" s="1597"/>
      <c r="AA146" s="1597"/>
      <c r="AB146" s="1597"/>
      <c r="AC146" s="1597"/>
      <c r="AD146" s="1597"/>
      <c r="AE146" s="1597"/>
      <c r="AF146" s="1597"/>
      <c r="AG146" s="1597"/>
      <c r="AH146" s="1597"/>
      <c r="AI146" s="1597"/>
      <c r="AJ146" s="1597"/>
      <c r="AK146" s="1597"/>
      <c r="AL146" s="1597"/>
      <c r="AM146" s="1597"/>
      <c r="AN146" s="1597"/>
      <c r="AO146" s="1597"/>
      <c r="AP146" s="1597"/>
      <c r="AQ146" s="1597"/>
      <c r="AR146" s="1597"/>
      <c r="AS146" s="1597"/>
      <c r="AT146" s="1597"/>
      <c r="AU146" s="1597"/>
      <c r="AV146" s="1597"/>
      <c r="AW146" s="1597"/>
      <c r="AX146" s="1597"/>
      <c r="AY146" s="1597"/>
      <c r="AZ146" s="1597"/>
      <c r="BA146" s="1597"/>
      <c r="BB146" s="1597"/>
      <c r="BC146" s="1597"/>
      <c r="BD146" s="1597"/>
      <c r="BE146" s="1597"/>
      <c r="BF146" s="1597"/>
      <c r="BG146" s="1597"/>
      <c r="BH146" s="1597"/>
      <c r="BI146" s="1597"/>
      <c r="BJ146" s="1597"/>
      <c r="BK146" s="1597"/>
      <c r="BL146" s="1597"/>
      <c r="BM146" s="1597"/>
      <c r="BN146" s="1597"/>
      <c r="BO146" s="1597"/>
      <c r="BP146" s="1597"/>
      <c r="BQ146" s="1597"/>
      <c r="BR146" s="1597"/>
      <c r="BS146" s="1597"/>
      <c r="BT146" s="1597"/>
      <c r="BU146" s="1597"/>
      <c r="BV146" s="1597"/>
      <c r="BW146" s="1597"/>
      <c r="BX146" s="1597"/>
      <c r="BY146" s="1597"/>
      <c r="BZ146" s="1597"/>
      <c r="CA146" s="1597"/>
      <c r="CB146" s="1597"/>
      <c r="CC146" s="1597"/>
      <c r="CD146" s="1597"/>
      <c r="CE146" s="1597"/>
      <c r="CF146" s="1597"/>
      <c r="CG146" s="1597"/>
      <c r="CH146" s="1597"/>
      <c r="CI146" s="1597"/>
      <c r="CJ146" s="1597"/>
      <c r="CK146" s="1597"/>
      <c r="CL146" s="1597"/>
      <c r="CM146" s="1597"/>
    </row>
    <row r="147" spans="1:91" s="1611" customFormat="1" ht="45" customHeight="1" thickBot="1" x14ac:dyDescent="0.25">
      <c r="A147" s="1170" t="s">
        <v>642</v>
      </c>
      <c r="B147" s="1776" t="s">
        <v>2474</v>
      </c>
      <c r="C147" s="1775" t="s">
        <v>2900</v>
      </c>
      <c r="D147" s="2230"/>
      <c r="E147" s="1776" t="s">
        <v>2473</v>
      </c>
      <c r="F147" s="1776"/>
      <c r="G147" s="1776"/>
      <c r="H147" s="1597"/>
      <c r="I147" s="1597"/>
      <c r="J147" s="1597"/>
      <c r="K147" s="1597"/>
      <c r="L147" s="1597"/>
      <c r="M147" s="1597"/>
      <c r="N147" s="1597"/>
      <c r="O147" s="1597"/>
      <c r="P147" s="1597"/>
      <c r="Q147" s="1597"/>
      <c r="R147" s="1597"/>
      <c r="S147" s="1597"/>
      <c r="T147" s="1597"/>
      <c r="U147" s="1597"/>
      <c r="V147" s="1597"/>
      <c r="W147" s="1597"/>
      <c r="X147" s="1597"/>
      <c r="Y147" s="1597"/>
      <c r="Z147" s="1610"/>
      <c r="AA147" s="1610"/>
      <c r="AB147" s="1610"/>
      <c r="AC147" s="1610"/>
      <c r="AD147" s="1610"/>
      <c r="AE147" s="1610"/>
      <c r="AF147" s="1610"/>
      <c r="AG147" s="1610"/>
      <c r="AH147" s="1610"/>
      <c r="AI147" s="1610"/>
      <c r="AJ147" s="1610"/>
      <c r="AK147" s="1610"/>
      <c r="AL147" s="1610"/>
      <c r="AM147" s="1610"/>
      <c r="AN147" s="1610"/>
      <c r="AO147" s="1610"/>
      <c r="AP147" s="1610"/>
      <c r="AQ147" s="1610"/>
      <c r="AR147" s="1610"/>
      <c r="AS147" s="1610"/>
      <c r="AT147" s="1610"/>
      <c r="AU147" s="1610"/>
      <c r="AV147" s="1610"/>
      <c r="AW147" s="1610"/>
      <c r="AX147" s="1610"/>
      <c r="AY147" s="1610"/>
      <c r="AZ147" s="1610"/>
      <c r="BA147" s="1610"/>
      <c r="BB147" s="1610"/>
      <c r="BC147" s="1610"/>
      <c r="BD147" s="1610"/>
      <c r="BE147" s="1610"/>
      <c r="BF147" s="1610"/>
      <c r="BG147" s="1610"/>
      <c r="BH147" s="1610"/>
      <c r="BI147" s="1610"/>
      <c r="BJ147" s="1610"/>
      <c r="BK147" s="1610"/>
      <c r="BL147" s="1610"/>
      <c r="BM147" s="1610"/>
      <c r="BN147" s="1610"/>
      <c r="BO147" s="1610"/>
      <c r="BP147" s="1610"/>
      <c r="BQ147" s="1610"/>
      <c r="BR147" s="1610"/>
      <c r="BS147" s="1610"/>
      <c r="BT147" s="1610"/>
      <c r="BU147" s="1610"/>
      <c r="BV147" s="1610"/>
      <c r="BW147" s="1610"/>
      <c r="BX147" s="1610"/>
      <c r="BY147" s="1610"/>
      <c r="BZ147" s="1610"/>
      <c r="CA147" s="1610"/>
      <c r="CB147" s="1610"/>
      <c r="CC147" s="1610"/>
      <c r="CD147" s="1610"/>
      <c r="CE147" s="1610"/>
      <c r="CF147" s="1610"/>
      <c r="CG147" s="1610"/>
      <c r="CH147" s="1610"/>
      <c r="CI147" s="1610"/>
      <c r="CJ147" s="1610"/>
      <c r="CK147" s="1610"/>
      <c r="CL147" s="1610"/>
      <c r="CM147" s="1610"/>
    </row>
    <row r="148" spans="1:91" s="1604" customFormat="1" ht="54.75" customHeight="1" thickBot="1" x14ac:dyDescent="0.25">
      <c r="A148" s="1170" t="s">
        <v>643</v>
      </c>
      <c r="B148" s="1776" t="s">
        <v>1294</v>
      </c>
      <c r="C148" s="2176" t="s">
        <v>2901</v>
      </c>
      <c r="D148" s="2224">
        <v>1</v>
      </c>
      <c r="E148" s="1776" t="s">
        <v>1931</v>
      </c>
      <c r="F148" s="1776"/>
      <c r="G148" s="1776"/>
      <c r="H148" s="1597"/>
      <c r="I148" s="1597"/>
      <c r="J148" s="1597"/>
      <c r="K148" s="1597"/>
      <c r="L148" s="1597"/>
      <c r="M148" s="1597"/>
      <c r="N148" s="1597"/>
      <c r="O148" s="1597"/>
      <c r="P148" s="1597"/>
      <c r="Q148" s="1597"/>
      <c r="R148" s="1597"/>
      <c r="S148" s="1597"/>
      <c r="T148" s="1597"/>
      <c r="U148" s="1597"/>
      <c r="V148" s="1597"/>
      <c r="W148" s="1597"/>
      <c r="X148" s="1597"/>
      <c r="Y148" s="1597"/>
      <c r="Z148" s="1597"/>
      <c r="AA148" s="1597"/>
      <c r="AB148" s="1597"/>
      <c r="AC148" s="1597"/>
      <c r="AD148" s="1597"/>
      <c r="AE148" s="1597"/>
      <c r="AF148" s="1597"/>
      <c r="AG148" s="1597"/>
      <c r="AH148" s="1597"/>
      <c r="AI148" s="1597"/>
      <c r="AJ148" s="1597"/>
      <c r="AK148" s="1597"/>
      <c r="AL148" s="1597"/>
      <c r="AM148" s="1597"/>
      <c r="AN148" s="1597"/>
      <c r="AO148" s="1597"/>
      <c r="AP148" s="1597"/>
      <c r="AQ148" s="1597"/>
      <c r="AR148" s="1597"/>
      <c r="AS148" s="1597"/>
      <c r="AT148" s="1597"/>
      <c r="AU148" s="1597"/>
      <c r="AV148" s="1597"/>
      <c r="AW148" s="1597"/>
      <c r="AX148" s="1597"/>
      <c r="AY148" s="1597"/>
      <c r="AZ148" s="1597"/>
      <c r="BA148" s="1597"/>
      <c r="BB148" s="1597"/>
      <c r="BC148" s="1597"/>
      <c r="BD148" s="1597"/>
      <c r="BE148" s="1597"/>
      <c r="BF148" s="1597"/>
      <c r="BG148" s="1597"/>
      <c r="BH148" s="1597"/>
      <c r="BI148" s="1597"/>
      <c r="BJ148" s="1597"/>
      <c r="BK148" s="1597"/>
      <c r="BL148" s="1597"/>
      <c r="BM148" s="1597"/>
      <c r="BN148" s="1597"/>
      <c r="BO148" s="1597"/>
      <c r="BP148" s="1597"/>
      <c r="BQ148" s="1597"/>
      <c r="BR148" s="1597"/>
      <c r="BS148" s="1597"/>
      <c r="BT148" s="1597"/>
      <c r="BU148" s="1597"/>
      <c r="BV148" s="1597"/>
      <c r="BW148" s="1597"/>
      <c r="BX148" s="1597"/>
      <c r="BY148" s="1597"/>
      <c r="BZ148" s="1597"/>
      <c r="CA148" s="1597"/>
      <c r="CB148" s="1597"/>
      <c r="CC148" s="1597"/>
      <c r="CD148" s="1597"/>
      <c r="CE148" s="1597"/>
      <c r="CF148" s="1597"/>
      <c r="CG148" s="1597"/>
      <c r="CH148" s="1597"/>
      <c r="CI148" s="1597"/>
      <c r="CJ148" s="1597"/>
      <c r="CK148" s="1597"/>
      <c r="CL148" s="1597"/>
      <c r="CM148" s="1597"/>
    </row>
    <row r="149" spans="1:91" s="1609" customFormat="1" ht="41.25" customHeight="1" thickBot="1" x14ac:dyDescent="0.25">
      <c r="A149" s="1170" t="s">
        <v>644</v>
      </c>
      <c r="B149" s="1779" t="s">
        <v>1</v>
      </c>
      <c r="C149" s="2193" t="s">
        <v>2653</v>
      </c>
      <c r="D149" s="2231">
        <v>1</v>
      </c>
      <c r="E149" s="1779" t="s">
        <v>1931</v>
      </c>
      <c r="F149" s="2164"/>
      <c r="G149" s="1925"/>
      <c r="H149" s="1597"/>
      <c r="I149" s="1597"/>
      <c r="J149" s="1597"/>
      <c r="K149" s="1597"/>
      <c r="L149" s="1597"/>
      <c r="M149" s="1597"/>
      <c r="N149" s="1597"/>
      <c r="O149" s="1597"/>
      <c r="P149" s="1597"/>
      <c r="Q149" s="1597"/>
      <c r="R149" s="1597"/>
      <c r="S149" s="1597"/>
      <c r="T149" s="1597"/>
      <c r="U149" s="1597"/>
      <c r="V149" s="1597"/>
      <c r="W149" s="1597"/>
      <c r="X149" s="1597"/>
      <c r="Y149" s="1597"/>
      <c r="Z149" s="1597"/>
      <c r="AA149" s="1597"/>
      <c r="AB149" s="1597"/>
      <c r="AC149" s="1597"/>
      <c r="AD149" s="1597"/>
      <c r="AE149" s="1597"/>
      <c r="AF149" s="1597"/>
      <c r="AG149" s="1597"/>
      <c r="AH149" s="1597"/>
      <c r="AI149" s="1597"/>
      <c r="AJ149" s="1597"/>
      <c r="AK149" s="1597"/>
      <c r="AL149" s="1597"/>
      <c r="AM149" s="1597"/>
      <c r="AN149" s="1597"/>
      <c r="AO149" s="1597"/>
      <c r="AP149" s="1597"/>
      <c r="AQ149" s="1597"/>
      <c r="AR149" s="1597"/>
      <c r="AS149" s="1597"/>
      <c r="AT149" s="1597"/>
      <c r="AU149" s="1597"/>
      <c r="AV149" s="1597"/>
      <c r="AW149" s="1597"/>
      <c r="AX149" s="1597"/>
      <c r="AY149" s="1597"/>
      <c r="AZ149" s="1597"/>
      <c r="BA149" s="1597"/>
      <c r="BB149" s="1597"/>
      <c r="BC149" s="1597"/>
      <c r="BD149" s="1597"/>
      <c r="BE149" s="1597"/>
      <c r="BF149" s="1597"/>
      <c r="BG149" s="1597"/>
      <c r="BH149" s="1597"/>
      <c r="BI149" s="1597"/>
      <c r="BJ149" s="1597"/>
      <c r="BK149" s="1597"/>
      <c r="BL149" s="1597"/>
      <c r="BM149" s="1597"/>
      <c r="BN149" s="1597"/>
      <c r="BO149" s="1597"/>
      <c r="BP149" s="1597"/>
      <c r="BQ149" s="1597"/>
      <c r="BR149" s="1597"/>
      <c r="BS149" s="1597"/>
      <c r="BT149" s="1597"/>
      <c r="BU149" s="1597"/>
      <c r="BV149" s="1597"/>
      <c r="BW149" s="1597"/>
      <c r="BX149" s="1597"/>
      <c r="BY149" s="1597"/>
      <c r="BZ149" s="1597"/>
      <c r="CA149" s="1597"/>
      <c r="CB149" s="1597"/>
      <c r="CC149" s="1597"/>
      <c r="CD149" s="1597"/>
      <c r="CE149" s="1597"/>
      <c r="CF149" s="1597"/>
      <c r="CG149" s="1597"/>
      <c r="CH149" s="1597"/>
      <c r="CI149" s="1597"/>
      <c r="CJ149" s="1597"/>
      <c r="CK149" s="1597"/>
      <c r="CL149" s="1597"/>
      <c r="CM149" s="1597"/>
    </row>
    <row r="150" spans="1:91" s="1609" customFormat="1" ht="30" customHeight="1" thickBot="1" x14ac:dyDescent="0.25">
      <c r="A150" s="1170" t="s">
        <v>645</v>
      </c>
      <c r="B150" s="1776" t="s">
        <v>2</v>
      </c>
      <c r="C150" s="2176" t="s">
        <v>2512</v>
      </c>
      <c r="D150" s="2232">
        <v>0</v>
      </c>
      <c r="E150" s="1776" t="s">
        <v>1931</v>
      </c>
      <c r="F150" s="1776"/>
      <c r="G150" s="1776"/>
      <c r="H150" s="1597"/>
      <c r="I150" s="1597"/>
      <c r="J150" s="1597"/>
      <c r="K150" s="1597"/>
      <c r="L150" s="1597"/>
      <c r="M150" s="1597"/>
      <c r="N150" s="1597"/>
      <c r="O150" s="1597"/>
      <c r="P150" s="1597"/>
      <c r="Q150" s="1597"/>
      <c r="R150" s="1597"/>
      <c r="S150" s="1597"/>
      <c r="T150" s="1597"/>
      <c r="U150" s="1597"/>
      <c r="V150" s="1597"/>
      <c r="W150" s="1597"/>
      <c r="X150" s="1597"/>
      <c r="Y150" s="1597"/>
      <c r="Z150" s="1597"/>
      <c r="AA150" s="1597"/>
      <c r="AB150" s="1597"/>
      <c r="AC150" s="1597"/>
      <c r="AD150" s="1597"/>
      <c r="AE150" s="1597"/>
      <c r="AF150" s="1597"/>
      <c r="AG150" s="1597"/>
      <c r="AH150" s="1597"/>
      <c r="AI150" s="1597"/>
      <c r="AJ150" s="1597"/>
      <c r="AK150" s="1597"/>
      <c r="AL150" s="1597"/>
      <c r="AM150" s="1597"/>
      <c r="AN150" s="1597"/>
      <c r="AO150" s="1597"/>
      <c r="AP150" s="1597"/>
      <c r="AQ150" s="1597"/>
      <c r="AR150" s="1597"/>
      <c r="AS150" s="1597"/>
      <c r="AT150" s="1597"/>
      <c r="AU150" s="1597"/>
      <c r="AV150" s="1597"/>
      <c r="AW150" s="1597"/>
      <c r="AX150" s="1597"/>
      <c r="AY150" s="1597"/>
      <c r="AZ150" s="1597"/>
      <c r="BA150" s="1597"/>
      <c r="BB150" s="1597"/>
      <c r="BC150" s="1597"/>
      <c r="BD150" s="1597"/>
      <c r="BE150" s="1597"/>
      <c r="BF150" s="1597"/>
      <c r="BG150" s="1597"/>
      <c r="BH150" s="1597"/>
      <c r="BI150" s="1597"/>
      <c r="BJ150" s="1597"/>
      <c r="BK150" s="1597"/>
      <c r="BL150" s="1597"/>
      <c r="BM150" s="1597"/>
      <c r="BN150" s="1597"/>
      <c r="BO150" s="1597"/>
      <c r="BP150" s="1597"/>
      <c r="BQ150" s="1597"/>
      <c r="BR150" s="1597"/>
      <c r="BS150" s="1597"/>
      <c r="BT150" s="1597"/>
      <c r="BU150" s="1597"/>
      <c r="BV150" s="1597"/>
      <c r="BW150" s="1597"/>
      <c r="BX150" s="1597"/>
      <c r="BY150" s="1597"/>
      <c r="BZ150" s="1597"/>
      <c r="CA150" s="1597"/>
      <c r="CB150" s="1597"/>
      <c r="CC150" s="1597"/>
      <c r="CD150" s="1597"/>
      <c r="CE150" s="1597"/>
      <c r="CF150" s="1597"/>
      <c r="CG150" s="1597"/>
      <c r="CH150" s="1597"/>
      <c r="CI150" s="1597"/>
      <c r="CJ150" s="1597"/>
      <c r="CK150" s="1597"/>
      <c r="CL150" s="1597"/>
      <c r="CM150" s="1597"/>
    </row>
    <row r="151" spans="1:91" s="1609" customFormat="1" ht="45" customHeight="1" thickBot="1" x14ac:dyDescent="0.25">
      <c r="A151" s="1170" t="s">
        <v>1798</v>
      </c>
      <c r="B151" s="1776" t="s">
        <v>81</v>
      </c>
      <c r="C151" s="2176" t="s">
        <v>2654</v>
      </c>
      <c r="D151" s="2228">
        <v>0</v>
      </c>
      <c r="E151" s="1776" t="s">
        <v>1931</v>
      </c>
      <c r="F151" s="1776"/>
      <c r="G151" s="1776"/>
      <c r="H151" s="1597"/>
      <c r="I151" s="1597"/>
      <c r="J151" s="1597"/>
      <c r="K151" s="1597"/>
      <c r="L151" s="1597"/>
      <c r="M151" s="1597"/>
      <c r="N151" s="1597"/>
      <c r="O151" s="1597"/>
      <c r="P151" s="1597"/>
      <c r="Q151" s="1597"/>
      <c r="R151" s="1597"/>
      <c r="S151" s="1597"/>
      <c r="T151" s="1597"/>
      <c r="U151" s="1597"/>
      <c r="V151" s="1597"/>
      <c r="W151" s="1597"/>
      <c r="X151" s="1597"/>
      <c r="Y151" s="1597"/>
      <c r="Z151" s="1597"/>
      <c r="AA151" s="1597"/>
      <c r="AB151" s="1597"/>
      <c r="AC151" s="1597"/>
      <c r="AD151" s="1597"/>
      <c r="AE151" s="1597"/>
      <c r="AF151" s="1597"/>
      <c r="AG151" s="1597"/>
      <c r="AH151" s="1597"/>
      <c r="AI151" s="1597"/>
      <c r="AJ151" s="1597"/>
      <c r="AK151" s="1597"/>
      <c r="AL151" s="1597"/>
      <c r="AM151" s="1597"/>
      <c r="AN151" s="1597"/>
      <c r="AO151" s="1597"/>
      <c r="AP151" s="1597"/>
      <c r="AQ151" s="1597"/>
      <c r="AR151" s="1597"/>
      <c r="AS151" s="1597"/>
      <c r="AT151" s="1597"/>
      <c r="AU151" s="1597"/>
      <c r="AV151" s="1597"/>
      <c r="AW151" s="1597"/>
      <c r="AX151" s="1597"/>
      <c r="AY151" s="1597"/>
      <c r="AZ151" s="1597"/>
      <c r="BA151" s="1597"/>
      <c r="BB151" s="1597"/>
      <c r="BC151" s="1597"/>
      <c r="BD151" s="1597"/>
      <c r="BE151" s="1597"/>
      <c r="BF151" s="1597"/>
      <c r="BG151" s="1597"/>
      <c r="BH151" s="1597"/>
      <c r="BI151" s="1597"/>
      <c r="BJ151" s="1597"/>
      <c r="BK151" s="1597"/>
      <c r="BL151" s="1597"/>
      <c r="BM151" s="1597"/>
      <c r="BN151" s="1597"/>
      <c r="BO151" s="1597"/>
      <c r="BP151" s="1597"/>
      <c r="BQ151" s="1597"/>
      <c r="BR151" s="1597"/>
      <c r="BS151" s="1597"/>
      <c r="BT151" s="1597"/>
      <c r="BU151" s="1597"/>
      <c r="BV151" s="1597"/>
      <c r="BW151" s="1597"/>
      <c r="BX151" s="1597"/>
      <c r="BY151" s="1597"/>
      <c r="BZ151" s="1597"/>
      <c r="CA151" s="1597"/>
      <c r="CB151" s="1597"/>
      <c r="CC151" s="1597"/>
      <c r="CD151" s="1597"/>
      <c r="CE151" s="1597"/>
      <c r="CF151" s="1597"/>
      <c r="CG151" s="1597"/>
      <c r="CH151" s="1597"/>
      <c r="CI151" s="1597"/>
      <c r="CJ151" s="1597"/>
      <c r="CK151" s="1597"/>
      <c r="CL151" s="1597"/>
      <c r="CM151" s="1597"/>
    </row>
    <row r="152" spans="1:91" s="1609" customFormat="1" ht="59.25" customHeight="1" thickBot="1" x14ac:dyDescent="0.25">
      <c r="A152" s="1170" t="s">
        <v>646</v>
      </c>
      <c r="B152" s="1776" t="s">
        <v>1296</v>
      </c>
      <c r="C152" s="1775" t="s">
        <v>2887</v>
      </c>
      <c r="D152" s="2233">
        <v>0</v>
      </c>
      <c r="E152" s="1776" t="s">
        <v>2888</v>
      </c>
      <c r="F152" s="1776"/>
      <c r="G152" s="1776"/>
      <c r="H152" s="1597"/>
      <c r="I152" s="1597"/>
      <c r="J152" s="1597"/>
      <c r="K152" s="1597"/>
      <c r="L152" s="1597"/>
      <c r="M152" s="1597"/>
      <c r="N152" s="1597"/>
      <c r="O152" s="1597"/>
      <c r="P152" s="1597"/>
      <c r="Q152" s="1597"/>
      <c r="R152" s="1597"/>
      <c r="S152" s="1597"/>
      <c r="T152" s="1597"/>
      <c r="U152" s="1597"/>
      <c r="V152" s="1597"/>
      <c r="W152" s="1597"/>
      <c r="X152" s="1597"/>
      <c r="Y152" s="1597"/>
      <c r="Z152" s="1597"/>
      <c r="AA152" s="1597"/>
      <c r="AB152" s="1597"/>
      <c r="AC152" s="1597"/>
      <c r="AD152" s="1597"/>
      <c r="AE152" s="1597"/>
      <c r="AF152" s="1597"/>
      <c r="AG152" s="1597"/>
      <c r="AH152" s="1597"/>
      <c r="AI152" s="1597"/>
      <c r="AJ152" s="1597"/>
      <c r="AK152" s="1597"/>
      <c r="AL152" s="1597"/>
      <c r="AM152" s="1597"/>
      <c r="AN152" s="1597"/>
      <c r="AO152" s="1597"/>
      <c r="AP152" s="1597"/>
      <c r="AQ152" s="1597"/>
      <c r="AR152" s="1597"/>
      <c r="AS152" s="1597"/>
      <c r="AT152" s="1597"/>
      <c r="AU152" s="1597"/>
      <c r="AV152" s="1597"/>
      <c r="AW152" s="1597"/>
      <c r="AX152" s="1597"/>
      <c r="AY152" s="1597"/>
      <c r="AZ152" s="1597"/>
      <c r="BA152" s="1597"/>
      <c r="BB152" s="1597"/>
      <c r="BC152" s="1597"/>
      <c r="BD152" s="1597"/>
      <c r="BE152" s="1597"/>
      <c r="BF152" s="1597"/>
      <c r="BG152" s="1597"/>
      <c r="BH152" s="1597"/>
      <c r="BI152" s="1597"/>
      <c r="BJ152" s="1597"/>
      <c r="BK152" s="1597"/>
      <c r="BL152" s="1597"/>
      <c r="BM152" s="1597"/>
      <c r="BN152" s="1597"/>
      <c r="BO152" s="1597"/>
      <c r="BP152" s="1597"/>
      <c r="BQ152" s="1597"/>
      <c r="BR152" s="1597"/>
      <c r="BS152" s="1597"/>
      <c r="BT152" s="1597"/>
      <c r="BU152" s="1597"/>
      <c r="BV152" s="1597"/>
      <c r="BW152" s="1597"/>
      <c r="BX152" s="1597"/>
      <c r="BY152" s="1597"/>
      <c r="BZ152" s="1597"/>
      <c r="CA152" s="1597"/>
      <c r="CB152" s="1597"/>
      <c r="CC152" s="1597"/>
      <c r="CD152" s="1597"/>
      <c r="CE152" s="1597"/>
      <c r="CF152" s="1597"/>
      <c r="CG152" s="1597"/>
      <c r="CH152" s="1597"/>
      <c r="CI152" s="1597"/>
      <c r="CJ152" s="1597"/>
      <c r="CK152" s="1597"/>
      <c r="CL152" s="1597"/>
      <c r="CM152" s="1597"/>
    </row>
    <row r="153" spans="1:91" s="1612" customFormat="1" ht="30" customHeight="1" thickBot="1" x14ac:dyDescent="0.25">
      <c r="A153" s="2326" t="s">
        <v>647</v>
      </c>
      <c r="B153" s="2345" t="s">
        <v>1281</v>
      </c>
      <c r="C153" s="2194" t="s">
        <v>2926</v>
      </c>
      <c r="D153" s="2205"/>
      <c r="E153" s="2345" t="s">
        <v>2674</v>
      </c>
      <c r="F153" s="2345"/>
      <c r="G153" s="2345"/>
    </row>
    <row r="154" spans="1:91" s="1612" customFormat="1" ht="39" customHeight="1" x14ac:dyDescent="0.2">
      <c r="A154" s="2327"/>
      <c r="B154" s="2346"/>
      <c r="C154" s="2178" t="s">
        <v>2490</v>
      </c>
      <c r="D154" s="2234">
        <v>1</v>
      </c>
      <c r="E154" s="2346"/>
      <c r="F154" s="2346"/>
      <c r="G154" s="2346"/>
    </row>
    <row r="155" spans="1:91" s="1612" customFormat="1" ht="15" customHeight="1" x14ac:dyDescent="0.2">
      <c r="A155" s="2327"/>
      <c r="B155" s="2346"/>
      <c r="C155" s="2189" t="s">
        <v>2668</v>
      </c>
      <c r="D155" s="2234">
        <v>0</v>
      </c>
      <c r="E155" s="2346"/>
      <c r="F155" s="2346"/>
      <c r="G155" s="2346"/>
    </row>
    <row r="156" spans="1:91" s="1612" customFormat="1" ht="29.25" customHeight="1" x14ac:dyDescent="0.2">
      <c r="A156" s="2327"/>
      <c r="B156" s="2346"/>
      <c r="C156" s="2195" t="s">
        <v>2669</v>
      </c>
      <c r="D156" s="2235">
        <v>0</v>
      </c>
      <c r="E156" s="2346"/>
      <c r="F156" s="2346"/>
      <c r="G156" s="2346"/>
    </row>
    <row r="157" spans="1:91" s="1612" customFormat="1" ht="15" customHeight="1" thickBot="1" x14ac:dyDescent="0.25">
      <c r="A157" s="2328"/>
      <c r="B157" s="2347"/>
      <c r="C157" s="2196" t="s">
        <v>2670</v>
      </c>
      <c r="D157" s="2236">
        <v>0</v>
      </c>
      <c r="E157" s="2347"/>
      <c r="F157" s="2347"/>
      <c r="G157" s="2347"/>
    </row>
    <row r="158" spans="1:91" ht="15" customHeight="1" x14ac:dyDescent="0.2">
      <c r="D158" s="1960"/>
    </row>
    <row r="159" spans="1:91" ht="15" customHeight="1" x14ac:dyDescent="0.2">
      <c r="D159" s="1960"/>
    </row>
    <row r="160" spans="1:91" ht="15" customHeight="1" x14ac:dyDescent="0.2">
      <c r="C160" s="1615" t="s">
        <v>912</v>
      </c>
      <c r="D160" s="1960"/>
    </row>
    <row r="161" spans="3:4" ht="15" customHeight="1" x14ac:dyDescent="0.2">
      <c r="C161" s="1615" t="s">
        <v>912</v>
      </c>
      <c r="D161" s="1960"/>
    </row>
    <row r="162" spans="3:4" ht="15" customHeight="1" x14ac:dyDescent="0.2">
      <c r="D162" s="1960"/>
    </row>
    <row r="163" spans="3:4" ht="15" customHeight="1" x14ac:dyDescent="0.2">
      <c r="D163" s="1960"/>
    </row>
    <row r="164" spans="3:4" ht="15" customHeight="1" x14ac:dyDescent="0.2">
      <c r="D164" s="1960"/>
    </row>
    <row r="165" spans="3:4" ht="15" customHeight="1" x14ac:dyDescent="0.2">
      <c r="D165" s="1960"/>
    </row>
    <row r="166" spans="3:4" ht="15" customHeight="1" x14ac:dyDescent="0.2">
      <c r="D166" s="1960"/>
    </row>
    <row r="167" spans="3:4" ht="15" customHeight="1" x14ac:dyDescent="0.2">
      <c r="D167" s="1960"/>
    </row>
    <row r="168" spans="3:4" ht="15" customHeight="1" x14ac:dyDescent="0.2">
      <c r="D168" s="1960"/>
    </row>
    <row r="169" spans="3:4" ht="15" customHeight="1" x14ac:dyDescent="0.2">
      <c r="D169" s="1960"/>
    </row>
    <row r="170" spans="3:4" ht="15" customHeight="1" x14ac:dyDescent="0.2">
      <c r="D170" s="1960"/>
    </row>
    <row r="171" spans="3:4" ht="15" customHeight="1" x14ac:dyDescent="0.2">
      <c r="D171" s="1960"/>
    </row>
    <row r="172" spans="3:4" ht="15" customHeight="1" x14ac:dyDescent="0.2">
      <c r="D172" s="1960"/>
    </row>
    <row r="173" spans="3:4" ht="15" customHeight="1" x14ac:dyDescent="0.2">
      <c r="D173" s="1960"/>
    </row>
    <row r="174" spans="3:4" ht="15" customHeight="1" x14ac:dyDescent="0.2">
      <c r="D174" s="1960"/>
    </row>
    <row r="175" spans="3:4" ht="15" customHeight="1" x14ac:dyDescent="0.2">
      <c r="D175" s="1960"/>
    </row>
    <row r="176" spans="3:4" ht="15" customHeight="1" x14ac:dyDescent="0.2">
      <c r="D176" s="1960"/>
    </row>
    <row r="177" spans="4:4" ht="15" customHeight="1" x14ac:dyDescent="0.2">
      <c r="D177" s="1960"/>
    </row>
    <row r="178" spans="4:4" ht="15" customHeight="1" x14ac:dyDescent="0.2">
      <c r="D178" s="1960"/>
    </row>
    <row r="179" spans="4:4" ht="15" customHeight="1" x14ac:dyDescent="0.2">
      <c r="D179" s="1960"/>
    </row>
    <row r="180" spans="4:4" ht="15" customHeight="1" x14ac:dyDescent="0.2">
      <c r="D180" s="1960"/>
    </row>
    <row r="181" spans="4:4" ht="15" customHeight="1" x14ac:dyDescent="0.2">
      <c r="D181" s="1960"/>
    </row>
    <row r="182" spans="4:4" ht="15" customHeight="1" x14ac:dyDescent="0.2">
      <c r="D182" s="1960"/>
    </row>
  </sheetData>
  <sheetProtection algorithmName="SHA-512" hashValue="RWayRVLNhjwMjM3nHGPmaSS5XH/y+Dgpkr2K1K6RD3Ie7IUTk4T/8IwvlnCim/t4m3gy6yLtXr4C4wukpCSOMA==" saltValue="KuVoilKsbgtokHxgG8t1YA==" spinCount="100000" sheet="1" formatCells="0" formatColumns="0" formatRows="0" insertColumns="0" insertRows="0"/>
  <customSheetViews>
    <customSheetView guid="{B8E02330-2419-4DE6-AD01-7ACC7A5D18DD}" scale="90" topLeftCell="A227">
      <selection activeCell="C248" sqref="C248"/>
      <rowBreaks count="9" manualBreakCount="9">
        <brk id="17" max="4" man="1"/>
        <brk id="48" max="4" man="1"/>
        <brk id="76" max="4" man="1"/>
        <brk id="111" max="4" man="1"/>
        <brk id="130" max="4" man="1"/>
        <brk id="150" max="4" man="1"/>
        <brk id="169" max="4" man="1"/>
        <brk id="189" max="4" man="1"/>
        <brk id="215" max="4" man="1"/>
      </rowBreaks>
      <pageMargins left="0.25" right="0.25" top="0.75" bottom="0.75" header="0.3" footer="0.3"/>
      <printOptions headings="1"/>
      <pageSetup scale="75" orientation="landscape" r:id="rId1"/>
      <headerFooter alignWithMargins="0">
        <oddFooter>&amp;LWESPUS beta version 1, by Dr. Paul Adamus&amp;R&amp;P&amp;N</oddFooter>
      </headerFooter>
    </customSheetView>
  </customSheetViews>
  <mergeCells count="122">
    <mergeCell ref="G139:G144"/>
    <mergeCell ref="G153:G157"/>
    <mergeCell ref="G114:G117"/>
    <mergeCell ref="G118:G121"/>
    <mergeCell ref="G122:G125"/>
    <mergeCell ref="G126:G132"/>
    <mergeCell ref="G134:G138"/>
    <mergeCell ref="G86:G91"/>
    <mergeCell ref="G92:G96"/>
    <mergeCell ref="G99:G103"/>
    <mergeCell ref="G104:G108"/>
    <mergeCell ref="G109:G113"/>
    <mergeCell ref="F126:F132"/>
    <mergeCell ref="F134:F138"/>
    <mergeCell ref="F139:F144"/>
    <mergeCell ref="F153:F157"/>
    <mergeCell ref="G4:G8"/>
    <mergeCell ref="G9:G15"/>
    <mergeCell ref="G16:G22"/>
    <mergeCell ref="G23:G30"/>
    <mergeCell ref="G31:G38"/>
    <mergeCell ref="G41:G46"/>
    <mergeCell ref="G47:G49"/>
    <mergeCell ref="G50:G55"/>
    <mergeCell ref="G56:G62"/>
    <mergeCell ref="G64:G71"/>
    <mergeCell ref="G72:G78"/>
    <mergeCell ref="G79:G85"/>
    <mergeCell ref="F104:F108"/>
    <mergeCell ref="F109:F113"/>
    <mergeCell ref="F114:F117"/>
    <mergeCell ref="F118:F121"/>
    <mergeCell ref="F122:F125"/>
    <mergeCell ref="F72:F78"/>
    <mergeCell ref="F79:F85"/>
    <mergeCell ref="F86:F91"/>
    <mergeCell ref="F92:F96"/>
    <mergeCell ref="F99:F103"/>
    <mergeCell ref="F41:F46"/>
    <mergeCell ref="F47:F49"/>
    <mergeCell ref="F50:F55"/>
    <mergeCell ref="F56:F62"/>
    <mergeCell ref="F64:F71"/>
    <mergeCell ref="F9:F15"/>
    <mergeCell ref="F16:F22"/>
    <mergeCell ref="F23:F30"/>
    <mergeCell ref="F31:F38"/>
    <mergeCell ref="B86:B91"/>
    <mergeCell ref="B72:B78"/>
    <mergeCell ref="E56:E62"/>
    <mergeCell ref="E153:E157"/>
    <mergeCell ref="B153:B157"/>
    <mergeCell ref="B4:B8"/>
    <mergeCell ref="E4:E8"/>
    <mergeCell ref="E139:E144"/>
    <mergeCell ref="E23:E30"/>
    <mergeCell ref="E31:E38"/>
    <mergeCell ref="E41:E46"/>
    <mergeCell ref="E47:E49"/>
    <mergeCell ref="E72:E78"/>
    <mergeCell ref="E126:E132"/>
    <mergeCell ref="E50:E55"/>
    <mergeCell ref="B9:B15"/>
    <mergeCell ref="B23:B30"/>
    <mergeCell ref="B16:B22"/>
    <mergeCell ref="E109:E113"/>
    <mergeCell ref="E104:E108"/>
    <mergeCell ref="B99:B103"/>
    <mergeCell ref="B104:B108"/>
    <mergeCell ref="E99:E103"/>
    <mergeCell ref="B139:B144"/>
    <mergeCell ref="A86:A91"/>
    <mergeCell ref="A92:A96"/>
    <mergeCell ref="A99:A103"/>
    <mergeCell ref="A104:A108"/>
    <mergeCell ref="A109:A113"/>
    <mergeCell ref="A114:A117"/>
    <mergeCell ref="A118:A121"/>
    <mergeCell ref="A122:A125"/>
    <mergeCell ref="A2:E2"/>
    <mergeCell ref="E92:E96"/>
    <mergeCell ref="B92:B96"/>
    <mergeCell ref="E9:E15"/>
    <mergeCell ref="E16:E22"/>
    <mergeCell ref="B64:B71"/>
    <mergeCell ref="B56:B62"/>
    <mergeCell ref="B41:B46"/>
    <mergeCell ref="B50:B55"/>
    <mergeCell ref="E64:E71"/>
    <mergeCell ref="E79:E85"/>
    <mergeCell ref="E86:E91"/>
    <mergeCell ref="A4:A8"/>
    <mergeCell ref="A9:A15"/>
    <mergeCell ref="A16:A22"/>
    <mergeCell ref="A23:A30"/>
    <mergeCell ref="A1:B1"/>
    <mergeCell ref="D1:E1"/>
    <mergeCell ref="A41:A46"/>
    <mergeCell ref="A47:A49"/>
    <mergeCell ref="A50:A55"/>
    <mergeCell ref="A56:A62"/>
    <mergeCell ref="A64:A71"/>
    <mergeCell ref="A72:A78"/>
    <mergeCell ref="A79:A85"/>
    <mergeCell ref="A31:A38"/>
    <mergeCell ref="B31:B38"/>
    <mergeCell ref="B47:B49"/>
    <mergeCell ref="B79:B85"/>
    <mergeCell ref="A126:A132"/>
    <mergeCell ref="A134:A138"/>
    <mergeCell ref="A139:A144"/>
    <mergeCell ref="A153:A157"/>
    <mergeCell ref="B122:B125"/>
    <mergeCell ref="B109:B113"/>
    <mergeCell ref="E134:E138"/>
    <mergeCell ref="E114:E117"/>
    <mergeCell ref="E118:E121"/>
    <mergeCell ref="E122:E125"/>
    <mergeCell ref="B114:B117"/>
    <mergeCell ref="B126:B132"/>
    <mergeCell ref="B134:B138"/>
    <mergeCell ref="B118:B121"/>
  </mergeCells>
  <phoneticPr fontId="3" type="noConversion"/>
  <conditionalFormatting sqref="B109">
    <cfRule type="cellIs" dxfId="22" priority="67" stopIfTrue="1" operator="equal">
      <formula>1</formula>
    </cfRule>
  </conditionalFormatting>
  <conditionalFormatting sqref="A97:A99 A1 A9 A16 A23 A31 A39:A41 A3:A4 A47 A50 A56 A63:A64 A72 A79 A86 A92 A104 A109 A114 A118 A122 A126 A133:A134 A139 A145:A153 A158:A1048576">
    <cfRule type="duplicateValues" dxfId="21" priority="49"/>
  </conditionalFormatting>
  <conditionalFormatting sqref="D158:D1048576">
    <cfRule type="cellIs" dxfId="20" priority="15" operator="greaterThan">
      <formula>0</formula>
    </cfRule>
  </conditionalFormatting>
  <conditionalFormatting sqref="E109">
    <cfRule type="cellIs" dxfId="19" priority="14" stopIfTrue="1" operator="equal">
      <formula>1</formula>
    </cfRule>
  </conditionalFormatting>
  <conditionalFormatting sqref="C17:C22">
    <cfRule type="cellIs" dxfId="18" priority="8" stopIfTrue="1" operator="equal">
      <formula>1</formula>
    </cfRule>
  </conditionalFormatting>
  <conditionalFormatting sqref="C10:C15">
    <cfRule type="cellIs" dxfId="17" priority="7" stopIfTrue="1" operator="equal">
      <formula>1</formula>
    </cfRule>
  </conditionalFormatting>
  <conditionalFormatting sqref="C127:C132 C156:C157 C57:C62 C51:C55 C80:C85 C73:C78 C24:C30">
    <cfRule type="cellIs" dxfId="16" priority="9" stopIfTrue="1" operator="equal">
      <formula>1</formula>
    </cfRule>
  </conditionalFormatting>
  <conditionalFormatting sqref="A2">
    <cfRule type="duplicateValues" dxfId="15" priority="6"/>
  </conditionalFormatting>
  <conditionalFormatting sqref="D2">
    <cfRule type="cellIs" dxfId="14" priority="5" operator="greaterThan">
      <formula>0</formula>
    </cfRule>
  </conditionalFormatting>
  <conditionalFormatting sqref="G109">
    <cfRule type="cellIs" dxfId="13" priority="3" stopIfTrue="1" operator="equal">
      <formula>1</formula>
    </cfRule>
  </conditionalFormatting>
  <conditionalFormatting sqref="D2 D4:D1048576">
    <cfRule type="cellIs" dxfId="12" priority="2" operator="greaterThan">
      <formula>0</formula>
    </cfRule>
  </conditionalFormatting>
  <conditionalFormatting sqref="F109">
    <cfRule type="cellIs" dxfId="11" priority="1" stopIfTrue="1" operator="equal">
      <formula>1</formula>
    </cfRule>
  </conditionalFormatting>
  <dataValidations count="1">
    <dataValidation type="whole" allowBlank="1" showInputMessage="1" showErrorMessage="1" sqref="D154:D157 D149" xr:uid="{00000000-0002-0000-0100-000000000000}">
      <formula1>0</formula1>
      <formula2>1</formula2>
    </dataValidation>
  </dataValidations>
  <printOptions headings="1"/>
  <pageMargins left="0.25" right="0.25" top="0.75" bottom="0.75" header="0.3" footer="0.3"/>
  <pageSetup scale="70" orientation="landscape" r:id="rId2"/>
  <headerFooter alignWithMargins="0">
    <oddFooter>&amp;CForm OF Non-tidal&amp;R&amp;P</oddFooter>
  </headerFooter>
  <rowBreaks count="3" manualBreakCount="3">
    <brk id="30" max="4" man="1"/>
    <brk id="85" max="4" man="1"/>
    <brk id="98" max="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63"/>
  <sheetViews>
    <sheetView workbookViewId="0">
      <selection activeCell="D65" sqref="D65"/>
    </sheetView>
  </sheetViews>
  <sheetFormatPr defaultRowHeight="12.75" x14ac:dyDescent="0.2"/>
  <cols>
    <col min="1" max="1" width="9.33203125" style="2316"/>
    <col min="2" max="2" width="27.33203125" style="2316" customWidth="1"/>
    <col min="3" max="3" width="73.5" style="2317" customWidth="1"/>
    <col min="4" max="4" width="27.1640625" style="2316" customWidth="1"/>
    <col min="5" max="5" width="61.6640625" style="2316" customWidth="1"/>
    <col min="6" max="16384" width="9.33203125" style="2303"/>
  </cols>
  <sheetData>
    <row r="1" spans="1:7" ht="16.5" x14ac:dyDescent="0.2">
      <c r="A1" s="2299" t="s">
        <v>1117</v>
      </c>
      <c r="B1" s="2300" t="s">
        <v>959</v>
      </c>
      <c r="C1" s="2301" t="s">
        <v>1165</v>
      </c>
      <c r="D1" s="2302" t="s">
        <v>2951</v>
      </c>
      <c r="E1" s="2300" t="s">
        <v>2952</v>
      </c>
    </row>
    <row r="2" spans="1:7" ht="49.5" customHeight="1" x14ac:dyDescent="0.2">
      <c r="A2" s="2348" t="s">
        <v>618</v>
      </c>
      <c r="B2" s="2350" t="s">
        <v>2299</v>
      </c>
      <c r="C2" s="2304" t="s">
        <v>2467</v>
      </c>
      <c r="D2" s="2352" t="s">
        <v>2953</v>
      </c>
      <c r="E2" s="2350" t="s">
        <v>2953</v>
      </c>
    </row>
    <row r="3" spans="1:7" ht="27" customHeight="1" x14ac:dyDescent="0.2">
      <c r="A3" s="2349"/>
      <c r="B3" s="2351"/>
      <c r="C3" s="2305" t="s">
        <v>2905</v>
      </c>
      <c r="D3" s="2353"/>
      <c r="E3" s="2351"/>
    </row>
    <row r="4" spans="1:7" ht="48.75" customHeight="1" x14ac:dyDescent="0.2">
      <c r="A4" s="2348" t="s">
        <v>619</v>
      </c>
      <c r="B4" s="2350" t="s">
        <v>2484</v>
      </c>
      <c r="C4" s="2306" t="s">
        <v>2954</v>
      </c>
      <c r="D4" s="2350" t="s">
        <v>2955</v>
      </c>
      <c r="E4" s="2350"/>
    </row>
    <row r="5" spans="1:7" ht="78.75" customHeight="1" x14ac:dyDescent="0.2">
      <c r="A5" s="2349"/>
      <c r="B5" s="2351"/>
      <c r="C5" s="2307" t="s">
        <v>2617</v>
      </c>
      <c r="D5" s="2351"/>
      <c r="E5" s="2351"/>
      <c r="G5" s="2308"/>
    </row>
    <row r="6" spans="1:7" ht="63.75" customHeight="1" x14ac:dyDescent="0.2">
      <c r="A6" s="2348" t="s">
        <v>620</v>
      </c>
      <c r="B6" s="2350" t="s">
        <v>2655</v>
      </c>
      <c r="C6" s="2306" t="s">
        <v>2956</v>
      </c>
      <c r="D6" s="2350" t="s">
        <v>3035</v>
      </c>
      <c r="E6" s="2354"/>
    </row>
    <row r="7" spans="1:7" ht="86.25" customHeight="1" x14ac:dyDescent="0.2">
      <c r="A7" s="2349"/>
      <c r="B7" s="2351"/>
      <c r="C7" s="2309" t="s">
        <v>2621</v>
      </c>
      <c r="D7" s="2351"/>
      <c r="E7" s="2355"/>
    </row>
    <row r="8" spans="1:7" ht="79.5" customHeight="1" x14ac:dyDescent="0.2">
      <c r="A8" s="2356" t="s">
        <v>621</v>
      </c>
      <c r="B8" s="2350" t="s">
        <v>1291</v>
      </c>
      <c r="C8" s="2306" t="s">
        <v>2957</v>
      </c>
      <c r="D8" s="2350" t="s">
        <v>3036</v>
      </c>
      <c r="E8" s="2350" t="s">
        <v>2953</v>
      </c>
    </row>
    <row r="9" spans="1:7" ht="75" customHeight="1" x14ac:dyDescent="0.2">
      <c r="A9" s="2357"/>
      <c r="B9" s="2351"/>
      <c r="C9" s="2309" t="s">
        <v>2621</v>
      </c>
      <c r="D9" s="2351"/>
      <c r="E9" s="2351"/>
    </row>
    <row r="10" spans="1:7" ht="75.75" customHeight="1" x14ac:dyDescent="0.2">
      <c r="A10" s="2356" t="s">
        <v>622</v>
      </c>
      <c r="B10" s="2350" t="s">
        <v>1307</v>
      </c>
      <c r="C10" s="2306" t="s">
        <v>2958</v>
      </c>
      <c r="D10" s="2350" t="s">
        <v>2959</v>
      </c>
      <c r="E10" s="2350"/>
    </row>
    <row r="11" spans="1:7" ht="86.25" customHeight="1" x14ac:dyDescent="0.2">
      <c r="A11" s="2357"/>
      <c r="B11" s="2351"/>
      <c r="C11" s="2307" t="s">
        <v>1950</v>
      </c>
      <c r="D11" s="2351"/>
      <c r="E11" s="2351"/>
    </row>
    <row r="12" spans="1:7" ht="114.75" x14ac:dyDescent="0.2">
      <c r="A12" s="2310" t="s">
        <v>623</v>
      </c>
      <c r="B12" s="2311" t="s">
        <v>1304</v>
      </c>
      <c r="C12" s="2306" t="s">
        <v>2960</v>
      </c>
      <c r="D12" s="2311" t="s">
        <v>2961</v>
      </c>
      <c r="E12" s="2311" t="s">
        <v>2953</v>
      </c>
    </row>
    <row r="13" spans="1:7" s="2315" customFormat="1" ht="111" customHeight="1" x14ac:dyDescent="0.2">
      <c r="A13" s="2312" t="s">
        <v>624</v>
      </c>
      <c r="B13" s="2313" t="s">
        <v>1316</v>
      </c>
      <c r="C13" s="2314" t="s">
        <v>2927</v>
      </c>
      <c r="D13" s="2313" t="s">
        <v>2962</v>
      </c>
      <c r="E13" s="2313" t="s">
        <v>2953</v>
      </c>
    </row>
    <row r="14" spans="1:7" ht="90" customHeight="1" x14ac:dyDescent="0.2">
      <c r="A14" s="2348" t="s">
        <v>625</v>
      </c>
      <c r="B14" s="2350" t="s">
        <v>2270</v>
      </c>
      <c r="C14" s="2306" t="s">
        <v>2487</v>
      </c>
      <c r="D14" s="2350"/>
      <c r="E14" s="2350"/>
    </row>
    <row r="15" spans="1:7" ht="71.25" customHeight="1" x14ac:dyDescent="0.2">
      <c r="A15" s="2349"/>
      <c r="B15" s="2351"/>
      <c r="C15" s="2307" t="s">
        <v>1953</v>
      </c>
      <c r="D15" s="2351"/>
      <c r="E15" s="2351"/>
    </row>
    <row r="16" spans="1:7" ht="72.75" customHeight="1" x14ac:dyDescent="0.2">
      <c r="A16" s="2356" t="s">
        <v>626</v>
      </c>
      <c r="B16" s="2350" t="s">
        <v>261</v>
      </c>
      <c r="C16" s="2306" t="s">
        <v>2963</v>
      </c>
      <c r="D16" s="2350" t="s">
        <v>2964</v>
      </c>
      <c r="E16" s="2350"/>
    </row>
    <row r="17" spans="1:5" ht="107.25" customHeight="1" x14ac:dyDescent="0.2">
      <c r="A17" s="2357"/>
      <c r="B17" s="2351"/>
      <c r="C17" s="2307" t="s">
        <v>2659</v>
      </c>
      <c r="D17" s="2351"/>
      <c r="E17" s="2351"/>
    </row>
    <row r="18" spans="1:5" ht="58.5" customHeight="1" x14ac:dyDescent="0.2">
      <c r="A18" s="2348" t="s">
        <v>627</v>
      </c>
      <c r="B18" s="2350" t="s">
        <v>484</v>
      </c>
      <c r="C18" s="2306" t="s">
        <v>2965</v>
      </c>
      <c r="D18" s="2350" t="s">
        <v>2966</v>
      </c>
      <c r="E18" s="2350"/>
    </row>
    <row r="19" spans="1:5" ht="69.75" customHeight="1" x14ac:dyDescent="0.2">
      <c r="A19" s="2349"/>
      <c r="B19" s="2351"/>
      <c r="C19" s="2307" t="s">
        <v>2967</v>
      </c>
      <c r="D19" s="2351"/>
      <c r="E19" s="2351"/>
    </row>
    <row r="20" spans="1:5" ht="93" customHeight="1" x14ac:dyDescent="0.2">
      <c r="A20" s="2348" t="s">
        <v>628</v>
      </c>
      <c r="B20" s="2350" t="s">
        <v>971</v>
      </c>
      <c r="C20" s="2306" t="s">
        <v>2968</v>
      </c>
      <c r="D20" s="2350" t="s">
        <v>2969</v>
      </c>
      <c r="E20" s="2350"/>
    </row>
    <row r="21" spans="1:5" ht="68.25" customHeight="1" x14ac:dyDescent="0.2">
      <c r="A21" s="2349"/>
      <c r="B21" s="2351"/>
      <c r="C21" s="2307" t="s">
        <v>2634</v>
      </c>
      <c r="D21" s="2351"/>
      <c r="E21" s="2351"/>
    </row>
    <row r="22" spans="1:5" ht="88.5" customHeight="1" x14ac:dyDescent="0.2">
      <c r="A22" s="2310" t="s">
        <v>629</v>
      </c>
      <c r="B22" s="2311" t="s">
        <v>1090</v>
      </c>
      <c r="C22" s="2306" t="s">
        <v>2970</v>
      </c>
      <c r="D22" s="2311" t="s">
        <v>2971</v>
      </c>
      <c r="E22" s="2311" t="s">
        <v>2953</v>
      </c>
    </row>
    <row r="23" spans="1:5" ht="62.25" customHeight="1" x14ac:dyDescent="0.2">
      <c r="A23" s="2356" t="s">
        <v>630</v>
      </c>
      <c r="B23" s="2350" t="s">
        <v>1313</v>
      </c>
      <c r="C23" s="2306" t="s">
        <v>2521</v>
      </c>
      <c r="D23" s="2350" t="s">
        <v>2972</v>
      </c>
      <c r="E23" s="2350"/>
    </row>
    <row r="24" spans="1:5" ht="58.5" customHeight="1" x14ac:dyDescent="0.2">
      <c r="A24" s="2357"/>
      <c r="B24" s="2351"/>
      <c r="C24" s="2307" t="s">
        <v>1957</v>
      </c>
      <c r="D24" s="2351"/>
      <c r="E24" s="2351"/>
    </row>
    <row r="25" spans="1:5" ht="71.25" customHeight="1" x14ac:dyDescent="0.2">
      <c r="A25" s="2356" t="s">
        <v>631</v>
      </c>
      <c r="B25" s="2350" t="s">
        <v>2550</v>
      </c>
      <c r="C25" s="2306" t="s">
        <v>2973</v>
      </c>
      <c r="D25" s="2350" t="s">
        <v>2974</v>
      </c>
      <c r="E25" s="2350"/>
    </row>
    <row r="26" spans="1:5" ht="67.5" customHeight="1" x14ac:dyDescent="0.2">
      <c r="A26" s="2357"/>
      <c r="B26" s="2351"/>
      <c r="C26" s="2307" t="s">
        <v>2637</v>
      </c>
      <c r="D26" s="2351"/>
      <c r="E26" s="2351"/>
    </row>
    <row r="27" spans="1:5" ht="54" customHeight="1" x14ac:dyDescent="0.2">
      <c r="A27" s="2356" t="s">
        <v>632</v>
      </c>
      <c r="B27" s="2350" t="s">
        <v>5</v>
      </c>
      <c r="C27" s="2306" t="s">
        <v>2975</v>
      </c>
      <c r="D27" s="2350" t="s">
        <v>2976</v>
      </c>
      <c r="E27" s="2350"/>
    </row>
    <row r="28" spans="1:5" ht="52.5" customHeight="1" x14ac:dyDescent="0.2">
      <c r="A28" s="2357"/>
      <c r="B28" s="2351"/>
      <c r="C28" s="2307" t="s">
        <v>2625</v>
      </c>
      <c r="D28" s="2351"/>
      <c r="E28" s="2351"/>
    </row>
    <row r="29" spans="1:5" ht="28.5" customHeight="1" x14ac:dyDescent="0.2">
      <c r="A29" s="2356" t="s">
        <v>633</v>
      </c>
      <c r="B29" s="2350" t="s">
        <v>1155</v>
      </c>
      <c r="C29" s="2306" t="s">
        <v>1151</v>
      </c>
      <c r="D29" s="2350" t="s">
        <v>2977</v>
      </c>
      <c r="E29" s="2350" t="s">
        <v>2953</v>
      </c>
    </row>
    <row r="30" spans="1:5" ht="81" customHeight="1" x14ac:dyDescent="0.2">
      <c r="A30" s="2357"/>
      <c r="B30" s="2351"/>
      <c r="C30" s="2307" t="s">
        <v>2327</v>
      </c>
      <c r="D30" s="2351"/>
      <c r="E30" s="2351"/>
    </row>
    <row r="31" spans="1:5" ht="45.75" customHeight="1" x14ac:dyDescent="0.2">
      <c r="A31" s="2348" t="s">
        <v>634</v>
      </c>
      <c r="B31" s="2350" t="s">
        <v>2522</v>
      </c>
      <c r="C31" s="2306" t="s">
        <v>2464</v>
      </c>
      <c r="D31" s="2350" t="s">
        <v>2978</v>
      </c>
      <c r="E31" s="2350"/>
    </row>
    <row r="32" spans="1:5" ht="90.75" customHeight="1" x14ac:dyDescent="0.2">
      <c r="A32" s="2349"/>
      <c r="B32" s="2351"/>
      <c r="C32" s="2307" t="s">
        <v>2523</v>
      </c>
      <c r="D32" s="2351"/>
      <c r="E32" s="2351"/>
    </row>
    <row r="33" spans="1:5" s="2315" customFormat="1" ht="74.25" customHeight="1" x14ac:dyDescent="0.2">
      <c r="A33" s="2312" t="s">
        <v>2559</v>
      </c>
      <c r="B33" s="2313" t="s">
        <v>1303</v>
      </c>
      <c r="C33" s="2314" t="s">
        <v>2902</v>
      </c>
      <c r="D33" s="2313" t="s">
        <v>2979</v>
      </c>
      <c r="E33" s="2313" t="s">
        <v>2953</v>
      </c>
    </row>
    <row r="34" spans="1:5" ht="119.25" customHeight="1" x14ac:dyDescent="0.2">
      <c r="A34" s="2310" t="s">
        <v>635</v>
      </c>
      <c r="B34" s="2311" t="s">
        <v>2486</v>
      </c>
      <c r="C34" s="2306" t="s">
        <v>2903</v>
      </c>
      <c r="D34" s="2313" t="s">
        <v>2980</v>
      </c>
      <c r="E34" s="2313"/>
    </row>
    <row r="35" spans="1:5" ht="54" customHeight="1" x14ac:dyDescent="0.2">
      <c r="A35" s="2348" t="s">
        <v>2343</v>
      </c>
      <c r="B35" s="2350" t="s">
        <v>1292</v>
      </c>
      <c r="C35" s="2306" t="s">
        <v>2981</v>
      </c>
      <c r="D35" s="2350" t="s">
        <v>2982</v>
      </c>
      <c r="E35" s="2350" t="s">
        <v>2953</v>
      </c>
    </row>
    <row r="36" spans="1:5" ht="48" customHeight="1" x14ac:dyDescent="0.2">
      <c r="A36" s="2349"/>
      <c r="B36" s="2351"/>
      <c r="C36" s="2307" t="s">
        <v>2505</v>
      </c>
      <c r="D36" s="2351"/>
      <c r="E36" s="2351"/>
    </row>
    <row r="37" spans="1:5" ht="25.5" customHeight="1" x14ac:dyDescent="0.2">
      <c r="A37" s="2348" t="s">
        <v>648</v>
      </c>
      <c r="B37" s="2350" t="s">
        <v>1293</v>
      </c>
      <c r="C37" s="2306" t="s">
        <v>2983</v>
      </c>
      <c r="D37" s="2350" t="s">
        <v>2982</v>
      </c>
      <c r="E37" s="2350" t="s">
        <v>2953</v>
      </c>
    </row>
    <row r="38" spans="1:5" ht="25.5" x14ac:dyDescent="0.2">
      <c r="A38" s="2349"/>
      <c r="B38" s="2351"/>
      <c r="C38" s="2307" t="s">
        <v>2505</v>
      </c>
      <c r="D38" s="2351"/>
      <c r="E38" s="2351"/>
    </row>
    <row r="39" spans="1:5" s="2315" customFormat="1" ht="113.25" customHeight="1" x14ac:dyDescent="0.2">
      <c r="A39" s="2358" t="s">
        <v>636</v>
      </c>
      <c r="B39" s="2354" t="s">
        <v>2322</v>
      </c>
      <c r="C39" s="2314" t="s">
        <v>2488</v>
      </c>
      <c r="D39" s="2354" t="s">
        <v>2984</v>
      </c>
      <c r="E39" s="2354" t="s">
        <v>2953</v>
      </c>
    </row>
    <row r="40" spans="1:5" ht="35.25" customHeight="1" x14ac:dyDescent="0.2">
      <c r="A40" s="2359"/>
      <c r="B40" s="2355"/>
      <c r="C40" s="2307" t="s">
        <v>2524</v>
      </c>
      <c r="D40" s="2355"/>
      <c r="E40" s="2355"/>
    </row>
    <row r="41" spans="1:5" ht="38.25" x14ac:dyDescent="0.2">
      <c r="A41" s="2348" t="s">
        <v>649</v>
      </c>
      <c r="B41" s="2350" t="s">
        <v>1169</v>
      </c>
      <c r="C41" s="2306" t="s">
        <v>1688</v>
      </c>
      <c r="D41" s="2350" t="s">
        <v>2985</v>
      </c>
      <c r="E41" s="2350" t="s">
        <v>2953</v>
      </c>
    </row>
    <row r="42" spans="1:5" ht="23.25" customHeight="1" x14ac:dyDescent="0.2">
      <c r="A42" s="2349"/>
      <c r="B42" s="2351"/>
      <c r="C42" s="2307" t="s">
        <v>2644</v>
      </c>
      <c r="D42" s="2351"/>
      <c r="E42" s="2351"/>
    </row>
    <row r="43" spans="1:5" ht="140.25" x14ac:dyDescent="0.2">
      <c r="A43" s="2348" t="s">
        <v>999</v>
      </c>
      <c r="B43" s="2350" t="s">
        <v>446</v>
      </c>
      <c r="C43" s="2306" t="s">
        <v>2489</v>
      </c>
      <c r="D43" s="2350" t="s">
        <v>2986</v>
      </c>
      <c r="E43" s="2350" t="s">
        <v>2953</v>
      </c>
    </row>
    <row r="44" spans="1:5" x14ac:dyDescent="0.2">
      <c r="A44" s="2349"/>
      <c r="B44" s="2351"/>
      <c r="C44" s="2307" t="s">
        <v>2987</v>
      </c>
      <c r="D44" s="2351"/>
      <c r="E44" s="2351"/>
    </row>
    <row r="45" spans="1:5" ht="25.5" x14ac:dyDescent="0.2">
      <c r="A45" s="2348" t="s">
        <v>1000</v>
      </c>
      <c r="B45" s="2350" t="s">
        <v>54</v>
      </c>
      <c r="C45" s="2306" t="s">
        <v>2376</v>
      </c>
      <c r="D45" s="2350" t="s">
        <v>2988</v>
      </c>
      <c r="E45" s="2350" t="s">
        <v>2953</v>
      </c>
    </row>
    <row r="46" spans="1:5" ht="34.5" customHeight="1" x14ac:dyDescent="0.2">
      <c r="A46" s="2349"/>
      <c r="B46" s="2351"/>
      <c r="C46" s="2307" t="s">
        <v>2662</v>
      </c>
      <c r="D46" s="2351"/>
      <c r="E46" s="2351"/>
    </row>
    <row r="47" spans="1:5" ht="42" customHeight="1" x14ac:dyDescent="0.2">
      <c r="A47" s="2348" t="s">
        <v>637</v>
      </c>
      <c r="B47" s="2350" t="s">
        <v>1091</v>
      </c>
      <c r="C47" s="2306" t="s">
        <v>1897</v>
      </c>
      <c r="D47" s="2350" t="s">
        <v>2989</v>
      </c>
      <c r="E47" s="2354"/>
    </row>
    <row r="48" spans="1:5" ht="93.75" customHeight="1" x14ac:dyDescent="0.2">
      <c r="A48" s="2349"/>
      <c r="B48" s="2351"/>
      <c r="C48" s="2307" t="s">
        <v>2990</v>
      </c>
      <c r="D48" s="2351"/>
      <c r="E48" s="2355"/>
    </row>
    <row r="49" spans="1:5" s="2315" customFormat="1" ht="44.25" customHeight="1" x14ac:dyDescent="0.2">
      <c r="A49" s="2312" t="s">
        <v>1958</v>
      </c>
      <c r="B49" s="2313" t="s">
        <v>1297</v>
      </c>
      <c r="C49" s="2314" t="s">
        <v>2938</v>
      </c>
      <c r="D49" s="2313" t="s">
        <v>2991</v>
      </c>
      <c r="E49" s="2313" t="s">
        <v>2953</v>
      </c>
    </row>
    <row r="50" spans="1:5" ht="34.5" customHeight="1" x14ac:dyDescent="0.2">
      <c r="A50" s="2348" t="s">
        <v>638</v>
      </c>
      <c r="B50" s="2350" t="s">
        <v>4</v>
      </c>
      <c r="C50" s="2306" t="s">
        <v>2992</v>
      </c>
      <c r="D50" s="2350" t="s">
        <v>2993</v>
      </c>
      <c r="E50" s="2350" t="s">
        <v>2953</v>
      </c>
    </row>
    <row r="51" spans="1:5" ht="34.5" customHeight="1" x14ac:dyDescent="0.2">
      <c r="A51" s="2349"/>
      <c r="B51" s="2351"/>
      <c r="C51" s="2307" t="s">
        <v>2664</v>
      </c>
      <c r="D51" s="2351"/>
      <c r="E51" s="2351"/>
    </row>
    <row r="52" spans="1:5" ht="36.75" customHeight="1" x14ac:dyDescent="0.2">
      <c r="A52" s="2348" t="s">
        <v>639</v>
      </c>
      <c r="B52" s="2350" t="s">
        <v>1295</v>
      </c>
      <c r="C52" s="2306" t="s">
        <v>2994</v>
      </c>
      <c r="D52" s="2350" t="s">
        <v>2995</v>
      </c>
      <c r="E52" s="2350" t="s">
        <v>2953</v>
      </c>
    </row>
    <row r="53" spans="1:5" ht="48.75" customHeight="1" x14ac:dyDescent="0.2">
      <c r="A53" s="2349"/>
      <c r="B53" s="2351"/>
      <c r="C53" s="2307" t="s">
        <v>2935</v>
      </c>
      <c r="D53" s="2351"/>
      <c r="E53" s="2351"/>
    </row>
    <row r="54" spans="1:5" ht="105" customHeight="1" x14ac:dyDescent="0.2">
      <c r="A54" s="2310" t="s">
        <v>640</v>
      </c>
      <c r="B54" s="2311" t="s">
        <v>2380</v>
      </c>
      <c r="C54" s="2306" t="s">
        <v>2996</v>
      </c>
      <c r="D54" s="2311" t="s">
        <v>2997</v>
      </c>
      <c r="E54" s="2313"/>
    </row>
    <row r="55" spans="1:5" s="2315" customFormat="1" ht="166.5" customHeight="1" x14ac:dyDescent="0.2">
      <c r="A55" s="2312" t="s">
        <v>641</v>
      </c>
      <c r="B55" s="2313" t="s">
        <v>1493</v>
      </c>
      <c r="C55" s="2314" t="s">
        <v>2998</v>
      </c>
      <c r="D55" s="2313" t="s">
        <v>2999</v>
      </c>
      <c r="E55" s="2313"/>
    </row>
    <row r="56" spans="1:5" ht="63.75" x14ac:dyDescent="0.2">
      <c r="A56" s="2310" t="s">
        <v>642</v>
      </c>
      <c r="B56" s="2311" t="s">
        <v>2474</v>
      </c>
      <c r="C56" s="2306" t="s">
        <v>2900</v>
      </c>
      <c r="D56" s="2311" t="s">
        <v>3037</v>
      </c>
      <c r="E56" s="2311" t="s">
        <v>2953</v>
      </c>
    </row>
    <row r="57" spans="1:5" s="2315" customFormat="1" ht="117.75" customHeight="1" x14ac:dyDescent="0.2">
      <c r="A57" s="2312" t="s">
        <v>643</v>
      </c>
      <c r="B57" s="2313" t="s">
        <v>1294</v>
      </c>
      <c r="C57" s="2314" t="s">
        <v>2901</v>
      </c>
      <c r="D57" s="2313" t="s">
        <v>3038</v>
      </c>
      <c r="E57" s="2313" t="s">
        <v>2953</v>
      </c>
    </row>
    <row r="58" spans="1:5" ht="51" x14ac:dyDescent="0.2">
      <c r="A58" s="2310" t="s">
        <v>644</v>
      </c>
      <c r="B58" s="2311" t="s">
        <v>1</v>
      </c>
      <c r="C58" s="2306" t="s">
        <v>3000</v>
      </c>
      <c r="D58" s="2311" t="s">
        <v>3001</v>
      </c>
      <c r="E58" s="2311" t="s">
        <v>2953</v>
      </c>
    </row>
    <row r="59" spans="1:5" s="2315" customFormat="1" ht="38.25" x14ac:dyDescent="0.2">
      <c r="A59" s="2312" t="s">
        <v>645</v>
      </c>
      <c r="B59" s="2313" t="s">
        <v>2</v>
      </c>
      <c r="C59" s="2314" t="s">
        <v>3002</v>
      </c>
      <c r="D59" s="2313" t="s">
        <v>3039</v>
      </c>
      <c r="E59" s="2313" t="s">
        <v>2953</v>
      </c>
    </row>
    <row r="60" spans="1:5" ht="63.75" x14ac:dyDescent="0.2">
      <c r="A60" s="2310" t="s">
        <v>1798</v>
      </c>
      <c r="B60" s="2311" t="s">
        <v>81</v>
      </c>
      <c r="C60" s="2306" t="s">
        <v>3003</v>
      </c>
      <c r="D60" s="2311" t="s">
        <v>3040</v>
      </c>
      <c r="E60" s="2311" t="s">
        <v>2953</v>
      </c>
    </row>
    <row r="61" spans="1:5" s="2322" customFormat="1" ht="89.25" x14ac:dyDescent="0.2">
      <c r="A61" s="2319" t="s">
        <v>646</v>
      </c>
      <c r="B61" s="2320" t="s">
        <v>1296</v>
      </c>
      <c r="C61" s="2321" t="s">
        <v>3004</v>
      </c>
      <c r="D61" s="2320" t="s">
        <v>3039</v>
      </c>
      <c r="E61" s="2320"/>
    </row>
    <row r="62" spans="1:5" ht="26.25" thickBot="1" x14ac:dyDescent="0.25">
      <c r="A62" s="2348" t="s">
        <v>647</v>
      </c>
      <c r="B62" s="2350" t="s">
        <v>1281</v>
      </c>
      <c r="C62" s="2306" t="s">
        <v>2926</v>
      </c>
      <c r="D62" s="2350" t="s">
        <v>3041</v>
      </c>
      <c r="E62" s="2350" t="s">
        <v>2953</v>
      </c>
    </row>
    <row r="63" spans="1:5" ht="51" x14ac:dyDescent="0.2">
      <c r="A63" s="2349"/>
      <c r="B63" s="2351"/>
      <c r="C63" s="2178" t="s">
        <v>2490</v>
      </c>
      <c r="D63" s="2351"/>
      <c r="E63" s="2351"/>
    </row>
  </sheetData>
  <mergeCells count="96">
    <mergeCell ref="A52:A53"/>
    <mergeCell ref="B52:B53"/>
    <mergeCell ref="D52:D53"/>
    <mergeCell ref="E52:E53"/>
    <mergeCell ref="A62:A63"/>
    <mergeCell ref="B62:B63"/>
    <mergeCell ref="D62:D63"/>
    <mergeCell ref="E62:E63"/>
    <mergeCell ref="A47:A48"/>
    <mergeCell ref="B47:B48"/>
    <mergeCell ref="D47:D48"/>
    <mergeCell ref="E47:E48"/>
    <mergeCell ref="A50:A51"/>
    <mergeCell ref="B50:B51"/>
    <mergeCell ref="D50:D51"/>
    <mergeCell ref="E50:E51"/>
    <mergeCell ref="A43:A44"/>
    <mergeCell ref="B43:B44"/>
    <mergeCell ref="D43:D44"/>
    <mergeCell ref="E43:E44"/>
    <mergeCell ref="A45:A46"/>
    <mergeCell ref="B45:B46"/>
    <mergeCell ref="D45:D46"/>
    <mergeCell ref="E45:E46"/>
    <mergeCell ref="A39:A40"/>
    <mergeCell ref="B39:B40"/>
    <mergeCell ref="D39:D40"/>
    <mergeCell ref="E39:E40"/>
    <mergeCell ref="A41:A42"/>
    <mergeCell ref="B41:B42"/>
    <mergeCell ref="D41:D42"/>
    <mergeCell ref="E41:E42"/>
    <mergeCell ref="A35:A36"/>
    <mergeCell ref="B35:B36"/>
    <mergeCell ref="D35:D36"/>
    <mergeCell ref="E35:E36"/>
    <mergeCell ref="A37:A38"/>
    <mergeCell ref="B37:B38"/>
    <mergeCell ref="D37:D38"/>
    <mergeCell ref="E37:E38"/>
    <mergeCell ref="A29:A30"/>
    <mergeCell ref="B29:B30"/>
    <mergeCell ref="D29:D30"/>
    <mergeCell ref="E29:E30"/>
    <mergeCell ref="A31:A32"/>
    <mergeCell ref="B31:B32"/>
    <mergeCell ref="D31:D32"/>
    <mergeCell ref="E31:E32"/>
    <mergeCell ref="A25:A26"/>
    <mergeCell ref="B25:B26"/>
    <mergeCell ref="D25:D26"/>
    <mergeCell ref="E25:E26"/>
    <mergeCell ref="A27:A28"/>
    <mergeCell ref="B27:B28"/>
    <mergeCell ref="D27:D28"/>
    <mergeCell ref="E27:E28"/>
    <mergeCell ref="A20:A21"/>
    <mergeCell ref="B20:B21"/>
    <mergeCell ref="D20:D21"/>
    <mergeCell ref="E20:E21"/>
    <mergeCell ref="A23:A24"/>
    <mergeCell ref="B23:B24"/>
    <mergeCell ref="D23:D24"/>
    <mergeCell ref="E23:E24"/>
    <mergeCell ref="A16:A17"/>
    <mergeCell ref="B16:B17"/>
    <mergeCell ref="D16:D17"/>
    <mergeCell ref="E16:E17"/>
    <mergeCell ref="A18:A19"/>
    <mergeCell ref="B18:B19"/>
    <mergeCell ref="D18:D19"/>
    <mergeCell ref="E18:E19"/>
    <mergeCell ref="A10:A11"/>
    <mergeCell ref="B10:B11"/>
    <mergeCell ref="D10:D11"/>
    <mergeCell ref="E10:E11"/>
    <mergeCell ref="A14:A15"/>
    <mergeCell ref="B14:B15"/>
    <mergeCell ref="D14:D15"/>
    <mergeCell ref="E14:E15"/>
    <mergeCell ref="A6:A7"/>
    <mergeCell ref="B6:B7"/>
    <mergeCell ref="D6:D7"/>
    <mergeCell ref="E6:E7"/>
    <mergeCell ref="A8:A9"/>
    <mergeCell ref="B8:B9"/>
    <mergeCell ref="D8:D9"/>
    <mergeCell ref="E8:E9"/>
    <mergeCell ref="A2:A3"/>
    <mergeCell ref="B2:B3"/>
    <mergeCell ref="D2:D3"/>
    <mergeCell ref="E2:E3"/>
    <mergeCell ref="A4:A5"/>
    <mergeCell ref="B4:B5"/>
    <mergeCell ref="D4:D5"/>
    <mergeCell ref="E4:E5"/>
  </mergeCells>
  <conditionalFormatting sqref="B39 E39 C5 D4 C7 C9 C19 C21 C26 C48">
    <cfRule type="cellIs" dxfId="10" priority="2" stopIfTrue="1" operator="equal">
      <formula>1</formula>
    </cfRule>
  </conditionalFormatting>
  <conditionalFormatting sqref="A54:A62 A52 A49:A50 A47 A45 A43 A33:A35 A4 A6 A8 A10 A12:A14 A1:A2 A16 A18 A20 A22:A23 A25 A27 A29 A31 A37 A39 A41">
    <cfRule type="duplicateValues" dxfId="9" priority="4"/>
  </conditionalFormatting>
  <conditionalFormatting sqref="C28">
    <cfRule type="cellIs" dxfId="8" priority="3" stopIfTrue="1" operator="equal">
      <formula>1</formula>
    </cfRule>
  </conditionalFormatting>
  <conditionalFormatting sqref="D6">
    <cfRule type="cellIs" dxfId="7" priority="1" stopIfTrue="1" operator="equal">
      <formula>1</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3CDDD"/>
  </sheetPr>
  <dimension ref="A1:DP2190"/>
  <sheetViews>
    <sheetView showRowColHeaders="0" zoomScale="80" zoomScaleNormal="80" workbookViewId="0">
      <selection activeCell="D1" sqref="D1:E1"/>
    </sheetView>
  </sheetViews>
  <sheetFormatPr defaultColWidth="9.33203125" defaultRowHeight="15" customHeight="1" x14ac:dyDescent="0.2"/>
  <cols>
    <col min="1" max="1" width="5.83203125" style="858" customWidth="1"/>
    <col min="2" max="2" width="18.83203125" style="877" customWidth="1"/>
    <col min="3" max="3" width="100.83203125" style="292" customWidth="1"/>
    <col min="4" max="4" width="7.83203125" style="99" customWidth="1"/>
    <col min="5" max="5" width="73.83203125" style="67" customWidth="1"/>
    <col min="6" max="6" width="12.83203125" style="67" customWidth="1"/>
    <col min="7" max="7" width="112" style="99" customWidth="1"/>
    <col min="8" max="16384" width="9.33203125" style="99"/>
  </cols>
  <sheetData>
    <row r="1" spans="1:7" s="1144" customFormat="1" ht="30" customHeight="1" thickBot="1" x14ac:dyDescent="0.25">
      <c r="A1" s="2421" t="s">
        <v>3016</v>
      </c>
      <c r="B1" s="2422"/>
      <c r="C1" s="1464" t="s">
        <v>3014</v>
      </c>
      <c r="D1" s="2412" t="s">
        <v>3015</v>
      </c>
      <c r="E1" s="2413"/>
      <c r="F1" s="2414"/>
      <c r="G1" s="2414"/>
    </row>
    <row r="2" spans="1:7" s="1134" customFormat="1" ht="168" customHeight="1" thickBot="1" x14ac:dyDescent="0.25">
      <c r="A2" s="2409" t="s">
        <v>2914</v>
      </c>
      <c r="B2" s="2410"/>
      <c r="C2" s="2410"/>
      <c r="D2" s="2410"/>
      <c r="E2" s="2411"/>
      <c r="F2" s="2415"/>
      <c r="G2" s="2416"/>
    </row>
    <row r="3" spans="1:7" s="2006" customFormat="1" ht="30" customHeight="1" thickBot="1" x14ac:dyDescent="0.25">
      <c r="A3" s="2002" t="s">
        <v>88</v>
      </c>
      <c r="B3" s="2003" t="s">
        <v>959</v>
      </c>
      <c r="C3" s="2004" t="s">
        <v>1165</v>
      </c>
      <c r="D3" s="2003" t="s">
        <v>45</v>
      </c>
      <c r="E3" s="2008" t="s">
        <v>1896</v>
      </c>
      <c r="F3" s="2009" t="s">
        <v>2424</v>
      </c>
      <c r="G3" s="2005" t="s">
        <v>2425</v>
      </c>
    </row>
    <row r="4" spans="1:7" ht="21" customHeight="1" thickBot="1" x14ac:dyDescent="0.25">
      <c r="A4" s="2400" t="s">
        <v>466</v>
      </c>
      <c r="B4" s="2402" t="s">
        <v>483</v>
      </c>
      <c r="C4" s="1480" t="s">
        <v>2275</v>
      </c>
      <c r="D4" s="2211"/>
      <c r="E4" s="2405" t="s">
        <v>2541</v>
      </c>
      <c r="F4" s="1559"/>
      <c r="G4" s="1784"/>
    </row>
    <row r="5" spans="1:7" ht="45" customHeight="1" thickBot="1" x14ac:dyDescent="0.25">
      <c r="A5" s="2401"/>
      <c r="B5" s="2403"/>
      <c r="C5" s="2210" t="s">
        <v>2525</v>
      </c>
      <c r="D5" s="2212"/>
      <c r="E5" s="2406"/>
      <c r="F5" s="1559"/>
      <c r="G5" s="1784"/>
    </row>
    <row r="6" spans="1:7" ht="69.75" customHeight="1" x14ac:dyDescent="0.2">
      <c r="A6" s="2390"/>
      <c r="B6" s="2361"/>
      <c r="C6" s="1544" t="s">
        <v>2526</v>
      </c>
      <c r="D6" s="2213">
        <v>0</v>
      </c>
      <c r="E6" s="2393"/>
      <c r="F6" s="1559"/>
      <c r="G6" s="1784"/>
    </row>
    <row r="7" spans="1:7" ht="42" customHeight="1" thickBot="1" x14ac:dyDescent="0.25">
      <c r="A7" s="2390"/>
      <c r="B7" s="2361"/>
      <c r="C7" s="1544" t="s">
        <v>2527</v>
      </c>
      <c r="D7" s="2213">
        <v>0</v>
      </c>
      <c r="E7" s="2393"/>
      <c r="F7" s="1559" t="s">
        <v>2405</v>
      </c>
      <c r="G7" s="1784"/>
    </row>
    <row r="8" spans="1:7" ht="30" customHeight="1" thickBot="1" x14ac:dyDescent="0.25">
      <c r="A8" s="2390"/>
      <c r="B8" s="2361"/>
      <c r="C8" s="2210" t="s">
        <v>2274</v>
      </c>
      <c r="D8" s="2214"/>
      <c r="E8" s="2393"/>
      <c r="F8" s="1559"/>
      <c r="G8" s="1784"/>
    </row>
    <row r="9" spans="1:7" ht="27" customHeight="1" x14ac:dyDescent="0.2">
      <c r="A9" s="2390"/>
      <c r="B9" s="2361"/>
      <c r="C9" s="1481" t="s">
        <v>2359</v>
      </c>
      <c r="D9" s="2213">
        <v>0</v>
      </c>
      <c r="E9" s="2393"/>
      <c r="F9" s="1559"/>
      <c r="G9" s="1784"/>
    </row>
    <row r="10" spans="1:7" ht="42" customHeight="1" thickBot="1" x14ac:dyDescent="0.25">
      <c r="A10" s="2390"/>
      <c r="B10" s="2361"/>
      <c r="C10" s="1554" t="s">
        <v>2360</v>
      </c>
      <c r="D10" s="2215">
        <v>1</v>
      </c>
      <c r="E10" s="2393"/>
      <c r="F10" s="1559" t="s">
        <v>2404</v>
      </c>
      <c r="G10" s="1784"/>
    </row>
    <row r="11" spans="1:7" ht="122.25" customHeight="1" thickBot="1" x14ac:dyDescent="0.25">
      <c r="A11" s="2397" t="s">
        <v>2675</v>
      </c>
      <c r="B11" s="2398"/>
      <c r="C11" s="2398"/>
      <c r="D11" s="2273"/>
      <c r="E11" s="2010"/>
      <c r="F11" s="1559"/>
      <c r="G11" s="1784"/>
    </row>
    <row r="12" spans="1:7" ht="45" customHeight="1" thickBot="1" x14ac:dyDescent="0.25">
      <c r="A12" s="2399" t="s">
        <v>73</v>
      </c>
      <c r="B12" s="2360" t="s">
        <v>1225</v>
      </c>
      <c r="C12" s="2007" t="s">
        <v>2417</v>
      </c>
      <c r="D12" s="2014"/>
      <c r="E12" s="2324" t="s">
        <v>2568</v>
      </c>
      <c r="F12" s="1559"/>
      <c r="G12" s="1784"/>
    </row>
    <row r="13" spans="1:7" ht="15" customHeight="1" x14ac:dyDescent="0.2">
      <c r="A13" s="2390"/>
      <c r="B13" s="2361"/>
      <c r="C13" s="1545" t="s">
        <v>2679</v>
      </c>
      <c r="D13" s="2213">
        <v>0</v>
      </c>
      <c r="E13" s="2393"/>
      <c r="F13" s="1559"/>
      <c r="G13" s="1784"/>
    </row>
    <row r="14" spans="1:7" ht="15" customHeight="1" x14ac:dyDescent="0.2">
      <c r="A14" s="2390"/>
      <c r="B14" s="2361"/>
      <c r="C14" s="1546" t="s">
        <v>2680</v>
      </c>
      <c r="D14" s="2213">
        <v>0</v>
      </c>
      <c r="E14" s="2393"/>
      <c r="F14" s="1559"/>
      <c r="G14" s="1784"/>
    </row>
    <row r="15" spans="1:7" ht="15" customHeight="1" x14ac:dyDescent="0.2">
      <c r="A15" s="2390"/>
      <c r="B15" s="2361"/>
      <c r="C15" s="1546" t="s">
        <v>2681</v>
      </c>
      <c r="D15" s="2213">
        <v>1</v>
      </c>
      <c r="E15" s="2393"/>
      <c r="F15" s="1559"/>
      <c r="G15" s="1784"/>
    </row>
    <row r="16" spans="1:7" ht="15" customHeight="1" thickBot="1" x14ac:dyDescent="0.25">
      <c r="A16" s="2390"/>
      <c r="B16" s="2361"/>
      <c r="C16" s="1547" t="s">
        <v>2682</v>
      </c>
      <c r="D16" s="2216">
        <v>0</v>
      </c>
      <c r="E16" s="2393"/>
      <c r="F16" s="1559"/>
      <c r="G16" s="1784"/>
    </row>
    <row r="17" spans="1:7" ht="45" customHeight="1" thickBot="1" x14ac:dyDescent="0.25">
      <c r="A17" s="2362" t="s">
        <v>74</v>
      </c>
      <c r="B17" s="2364" t="s">
        <v>1335</v>
      </c>
      <c r="C17" s="161" t="s">
        <v>2528</v>
      </c>
      <c r="D17" s="2015"/>
      <c r="E17" s="2407" t="s">
        <v>2542</v>
      </c>
      <c r="F17" s="1559"/>
      <c r="G17" s="1784"/>
    </row>
    <row r="18" spans="1:7" ht="15" customHeight="1" x14ac:dyDescent="0.2">
      <c r="A18" s="2363"/>
      <c r="B18" s="2361"/>
      <c r="C18" s="1548" t="s">
        <v>1959</v>
      </c>
      <c r="D18" s="2274">
        <v>0</v>
      </c>
      <c r="E18" s="2393"/>
      <c r="F18" s="1559"/>
      <c r="G18" s="1784"/>
    </row>
    <row r="19" spans="1:7" ht="15" customHeight="1" x14ac:dyDescent="0.2">
      <c r="A19" s="2363"/>
      <c r="B19" s="2361"/>
      <c r="C19" s="1549" t="s">
        <v>1960</v>
      </c>
      <c r="D19" s="2274">
        <v>1</v>
      </c>
      <c r="E19" s="2393"/>
      <c r="F19" s="1559"/>
      <c r="G19" s="1784"/>
    </row>
    <row r="20" spans="1:7" ht="15" customHeight="1" x14ac:dyDescent="0.2">
      <c r="A20" s="2363"/>
      <c r="B20" s="2361"/>
      <c r="C20" s="579" t="s">
        <v>2301</v>
      </c>
      <c r="D20" s="2274">
        <v>0</v>
      </c>
      <c r="E20" s="2393"/>
      <c r="F20" s="1559"/>
      <c r="G20" s="1784"/>
    </row>
    <row r="21" spans="1:7" ht="15" customHeight="1" x14ac:dyDescent="0.2">
      <c r="A21" s="2363"/>
      <c r="B21" s="2361"/>
      <c r="C21" s="1549" t="s">
        <v>2302</v>
      </c>
      <c r="D21" s="2274">
        <v>1</v>
      </c>
      <c r="E21" s="2393"/>
      <c r="F21" s="1559"/>
      <c r="G21" s="1784"/>
    </row>
    <row r="22" spans="1:7" ht="15" customHeight="1" x14ac:dyDescent="0.2">
      <c r="A22" s="2363"/>
      <c r="B22" s="2361"/>
      <c r="C22" s="579" t="s">
        <v>2303</v>
      </c>
      <c r="D22" s="2274">
        <v>0</v>
      </c>
      <c r="E22" s="2393"/>
      <c r="F22" s="1559"/>
      <c r="G22" s="1784"/>
    </row>
    <row r="23" spans="1:7" ht="15" customHeight="1" thickBot="1" x14ac:dyDescent="0.25">
      <c r="A23" s="2363"/>
      <c r="B23" s="2361"/>
      <c r="C23" s="1549" t="s">
        <v>2418</v>
      </c>
      <c r="D23" s="2274">
        <v>1</v>
      </c>
      <c r="E23" s="2393"/>
      <c r="F23" s="1559"/>
      <c r="G23" s="1784"/>
    </row>
    <row r="24" spans="1:7" ht="21" customHeight="1" thickBot="1" x14ac:dyDescent="0.25">
      <c r="A24" s="2419" t="s">
        <v>2676</v>
      </c>
      <c r="B24" s="2420"/>
      <c r="C24" s="2420"/>
      <c r="D24" s="2273"/>
      <c r="E24" s="2011"/>
      <c r="F24" s="1559"/>
      <c r="G24" s="1784"/>
    </row>
    <row r="25" spans="1:7" ht="21" customHeight="1" thickBot="1" x14ac:dyDescent="0.25">
      <c r="A25" s="2372" t="s">
        <v>420</v>
      </c>
      <c r="B25" s="2374" t="s">
        <v>1595</v>
      </c>
      <c r="C25" s="1969" t="s">
        <v>2529</v>
      </c>
      <c r="D25" s="2275"/>
      <c r="E25" s="2396" t="s">
        <v>2190</v>
      </c>
      <c r="F25" s="1559"/>
      <c r="G25" s="1784"/>
    </row>
    <row r="26" spans="1:7" ht="15" customHeight="1" x14ac:dyDescent="0.2">
      <c r="A26" s="2372"/>
      <c r="B26" s="2361"/>
      <c r="C26" s="1550" t="s">
        <v>2347</v>
      </c>
      <c r="D26" s="2234">
        <v>0</v>
      </c>
      <c r="E26" s="2393"/>
      <c r="F26" s="1559"/>
      <c r="G26" s="1784"/>
    </row>
    <row r="27" spans="1:7" ht="15" customHeight="1" thickBot="1" x14ac:dyDescent="0.25">
      <c r="A27" s="2373"/>
      <c r="B27" s="2378"/>
      <c r="C27" s="1243" t="s">
        <v>2346</v>
      </c>
      <c r="D27" s="2234">
        <v>0</v>
      </c>
      <c r="E27" s="2395"/>
      <c r="F27" s="1559"/>
      <c r="G27" s="1784"/>
    </row>
    <row r="28" spans="1:7" ht="30" customHeight="1" thickBot="1" x14ac:dyDescent="0.25">
      <c r="A28" s="2369" t="s">
        <v>467</v>
      </c>
      <c r="B28" s="2374" t="s">
        <v>453</v>
      </c>
      <c r="C28" s="1969" t="s">
        <v>1781</v>
      </c>
      <c r="D28" s="2275"/>
      <c r="E28" s="2396" t="s">
        <v>2246</v>
      </c>
      <c r="F28" s="1559"/>
      <c r="G28" s="1784"/>
    </row>
    <row r="29" spans="1:7" ht="15" customHeight="1" x14ac:dyDescent="0.2">
      <c r="A29" s="2369"/>
      <c r="B29" s="2361"/>
      <c r="C29" s="1550" t="s">
        <v>1961</v>
      </c>
      <c r="D29" s="2234">
        <v>0</v>
      </c>
      <c r="E29" s="2393"/>
      <c r="F29" s="1559"/>
      <c r="G29" s="1784"/>
    </row>
    <row r="30" spans="1:7" ht="15" customHeight="1" x14ac:dyDescent="0.2">
      <c r="A30" s="2369"/>
      <c r="B30" s="2361"/>
      <c r="C30" s="1555" t="s">
        <v>1962</v>
      </c>
      <c r="D30" s="2234">
        <v>0</v>
      </c>
      <c r="E30" s="2393"/>
      <c r="F30" s="1559"/>
      <c r="G30" s="1784"/>
    </row>
    <row r="31" spans="1:7" ht="15" customHeight="1" x14ac:dyDescent="0.2">
      <c r="A31" s="2369"/>
      <c r="B31" s="2361"/>
      <c r="C31" s="1552" t="s">
        <v>1963</v>
      </c>
      <c r="D31" s="2234">
        <v>0</v>
      </c>
      <c r="E31" s="2393"/>
      <c r="F31" s="1559"/>
      <c r="G31" s="1784"/>
    </row>
    <row r="32" spans="1:7" ht="15" customHeight="1" x14ac:dyDescent="0.2">
      <c r="A32" s="2369"/>
      <c r="B32" s="2361"/>
      <c r="C32" s="1551" t="s">
        <v>1964</v>
      </c>
      <c r="D32" s="2234">
        <v>0</v>
      </c>
      <c r="E32" s="2393"/>
      <c r="F32" s="1559"/>
      <c r="G32" s="1784"/>
    </row>
    <row r="33" spans="1:7" ht="15" customHeight="1" x14ac:dyDescent="0.2">
      <c r="A33" s="2369"/>
      <c r="B33" s="2361"/>
      <c r="C33" s="1555" t="s">
        <v>1965</v>
      </c>
      <c r="D33" s="2234">
        <v>0</v>
      </c>
      <c r="E33" s="2393"/>
      <c r="F33" s="1559"/>
      <c r="G33" s="1784"/>
    </row>
    <row r="34" spans="1:7" ht="15" customHeight="1" x14ac:dyDescent="0.2">
      <c r="A34" s="2369"/>
      <c r="B34" s="2361"/>
      <c r="C34" s="1551" t="s">
        <v>1966</v>
      </c>
      <c r="D34" s="2234">
        <v>0</v>
      </c>
      <c r="E34" s="2393"/>
      <c r="F34" s="1559"/>
      <c r="G34" s="1784"/>
    </row>
    <row r="35" spans="1:7" ht="15" customHeight="1" x14ac:dyDescent="0.2">
      <c r="A35" s="2369"/>
      <c r="B35" s="2361"/>
      <c r="C35" s="1555" t="s">
        <v>1967</v>
      </c>
      <c r="D35" s="2234">
        <v>0</v>
      </c>
      <c r="E35" s="2393"/>
      <c r="F35" s="1559"/>
      <c r="G35" s="1784"/>
    </row>
    <row r="36" spans="1:7" ht="15" customHeight="1" thickBot="1" x14ac:dyDescent="0.25">
      <c r="A36" s="2369"/>
      <c r="B36" s="2361"/>
      <c r="C36" s="1243" t="s">
        <v>1968</v>
      </c>
      <c r="D36" s="2234">
        <v>0</v>
      </c>
      <c r="E36" s="2393"/>
      <c r="F36" s="1559"/>
      <c r="G36" s="1784"/>
    </row>
    <row r="37" spans="1:7" ht="21" customHeight="1" thickBot="1" x14ac:dyDescent="0.25">
      <c r="A37" s="2368" t="s">
        <v>421</v>
      </c>
      <c r="B37" s="2380" t="s">
        <v>1226</v>
      </c>
      <c r="C37" s="1553" t="s">
        <v>2273</v>
      </c>
      <c r="D37" s="2275"/>
      <c r="E37" s="2394" t="s">
        <v>2287</v>
      </c>
      <c r="F37" s="1559"/>
      <c r="G37" s="1784"/>
    </row>
    <row r="38" spans="1:7" ht="40.5" customHeight="1" thickBot="1" x14ac:dyDescent="0.25">
      <c r="A38" s="2369"/>
      <c r="B38" s="2381"/>
      <c r="C38" s="1480" t="s">
        <v>2448</v>
      </c>
      <c r="D38" s="2276"/>
      <c r="E38" s="2396"/>
      <c r="F38" s="1559"/>
      <c r="G38" s="1784"/>
    </row>
    <row r="39" spans="1:7" ht="15" customHeight="1" x14ac:dyDescent="0.2">
      <c r="A39" s="2369"/>
      <c r="B39" s="2381"/>
      <c r="C39" s="1481" t="s">
        <v>2282</v>
      </c>
      <c r="D39" s="2234">
        <v>0</v>
      </c>
      <c r="E39" s="2396"/>
      <c r="F39" s="1559"/>
      <c r="G39" s="1784"/>
    </row>
    <row r="40" spans="1:7" ht="15" customHeight="1" thickBot="1" x14ac:dyDescent="0.25">
      <c r="A40" s="2369"/>
      <c r="B40" s="2381"/>
      <c r="C40" s="1554" t="s">
        <v>2283</v>
      </c>
      <c r="D40" s="2234">
        <v>0</v>
      </c>
      <c r="E40" s="2396"/>
      <c r="F40" s="1559"/>
      <c r="G40" s="1784"/>
    </row>
    <row r="41" spans="1:7" ht="30" customHeight="1" thickBot="1" x14ac:dyDescent="0.25">
      <c r="A41" s="2369"/>
      <c r="B41" s="2381"/>
      <c r="C41" s="1480" t="s">
        <v>2284</v>
      </c>
      <c r="D41" s="2276"/>
      <c r="E41" s="2396"/>
      <c r="F41" s="1559"/>
      <c r="G41" s="1784"/>
    </row>
    <row r="42" spans="1:7" ht="15" customHeight="1" x14ac:dyDescent="0.2">
      <c r="A42" s="2369"/>
      <c r="B42" s="2381"/>
      <c r="C42" s="1481" t="s">
        <v>2285</v>
      </c>
      <c r="D42" s="2234">
        <v>0</v>
      </c>
      <c r="E42" s="2396"/>
      <c r="F42" s="1559"/>
      <c r="G42" s="1784"/>
    </row>
    <row r="43" spans="1:7" ht="27" customHeight="1" thickBot="1" x14ac:dyDescent="0.25">
      <c r="A43" s="2370"/>
      <c r="B43" s="2382"/>
      <c r="C43" s="1482" t="s">
        <v>2286</v>
      </c>
      <c r="D43" s="2234">
        <v>0</v>
      </c>
      <c r="E43" s="2408"/>
      <c r="F43" s="1559"/>
      <c r="G43" s="1784"/>
    </row>
    <row r="44" spans="1:7" ht="21" customHeight="1" thickBot="1" x14ac:dyDescent="0.25">
      <c r="A44" s="2365" t="s">
        <v>470</v>
      </c>
      <c r="B44" s="2374" t="s">
        <v>1227</v>
      </c>
      <c r="C44" s="1507" t="s">
        <v>2308</v>
      </c>
      <c r="D44" s="2275"/>
      <c r="E44" s="2396" t="s">
        <v>1935</v>
      </c>
      <c r="F44" s="1559"/>
      <c r="G44" s="1784"/>
    </row>
    <row r="45" spans="1:7" ht="15" customHeight="1" x14ac:dyDescent="0.2">
      <c r="A45" s="2365"/>
      <c r="B45" s="2361"/>
      <c r="C45" s="1550" t="s">
        <v>1969</v>
      </c>
      <c r="D45" s="2234">
        <v>0</v>
      </c>
      <c r="E45" s="2393"/>
      <c r="F45" s="1559"/>
      <c r="G45" s="1784"/>
    </row>
    <row r="46" spans="1:7" ht="15" customHeight="1" x14ac:dyDescent="0.2">
      <c r="A46" s="2365"/>
      <c r="B46" s="2361"/>
      <c r="C46" s="1555" t="s">
        <v>1421</v>
      </c>
      <c r="D46" s="2234">
        <v>0</v>
      </c>
      <c r="E46" s="2393"/>
      <c r="F46" s="1559"/>
      <c r="G46" s="1784"/>
    </row>
    <row r="47" spans="1:7" ht="15" customHeight="1" thickBot="1" x14ac:dyDescent="0.25">
      <c r="A47" s="2365"/>
      <c r="B47" s="2361"/>
      <c r="C47" s="1551" t="s">
        <v>1422</v>
      </c>
      <c r="D47" s="2234">
        <v>0</v>
      </c>
      <c r="E47" s="2393"/>
      <c r="F47" s="1559"/>
      <c r="G47" s="1784"/>
    </row>
    <row r="48" spans="1:7" ht="21" customHeight="1" thickBot="1" x14ac:dyDescent="0.25">
      <c r="A48" s="2368" t="s">
        <v>6</v>
      </c>
      <c r="B48" s="2383" t="s">
        <v>264</v>
      </c>
      <c r="C48" s="464" t="s">
        <v>1242</v>
      </c>
      <c r="D48" s="2275"/>
      <c r="E48" s="2394" t="s">
        <v>1936</v>
      </c>
      <c r="F48" s="1559"/>
      <c r="G48" s="1784"/>
    </row>
    <row r="49" spans="1:7" ht="15" customHeight="1" x14ac:dyDescent="0.2">
      <c r="A49" s="2369"/>
      <c r="B49" s="2361"/>
      <c r="C49" s="1556" t="s">
        <v>1241</v>
      </c>
      <c r="D49" s="2234">
        <v>0</v>
      </c>
      <c r="E49" s="2393"/>
      <c r="F49" s="1559"/>
      <c r="G49" s="1784"/>
    </row>
    <row r="50" spans="1:7" ht="15" customHeight="1" thickBot="1" x14ac:dyDescent="0.25">
      <c r="A50" s="2370"/>
      <c r="B50" s="2378"/>
      <c r="C50" s="1243" t="s">
        <v>1243</v>
      </c>
      <c r="D50" s="2234">
        <v>0</v>
      </c>
      <c r="E50" s="2395"/>
      <c r="F50" s="1559"/>
      <c r="G50" s="1784"/>
    </row>
    <row r="51" spans="1:7" ht="28.5" customHeight="1" thickBot="1" x14ac:dyDescent="0.25">
      <c r="A51" s="2366" t="s">
        <v>7</v>
      </c>
      <c r="B51" s="2383" t="s">
        <v>28</v>
      </c>
      <c r="C51" s="613" t="s">
        <v>2419</v>
      </c>
      <c r="D51" s="2275"/>
      <c r="E51" s="2394" t="s">
        <v>1937</v>
      </c>
      <c r="F51" s="1559"/>
      <c r="G51" s="1784"/>
    </row>
    <row r="52" spans="1:7" ht="15" customHeight="1" x14ac:dyDescent="0.2">
      <c r="A52" s="2365"/>
      <c r="B52" s="2361"/>
      <c r="C52" s="1550" t="s">
        <v>2683</v>
      </c>
      <c r="D52" s="2234">
        <v>1</v>
      </c>
      <c r="E52" s="2393"/>
      <c r="F52" s="1559"/>
      <c r="G52" s="1784"/>
    </row>
    <row r="53" spans="1:7" ht="15" customHeight="1" x14ac:dyDescent="0.2">
      <c r="A53" s="2365"/>
      <c r="B53" s="2361"/>
      <c r="C53" s="1555" t="s">
        <v>2304</v>
      </c>
      <c r="D53" s="2234">
        <v>0</v>
      </c>
      <c r="E53" s="2393"/>
      <c r="F53" s="1559"/>
      <c r="G53" s="1784"/>
    </row>
    <row r="54" spans="1:7" ht="15" customHeight="1" x14ac:dyDescent="0.2">
      <c r="A54" s="2365"/>
      <c r="B54" s="2361"/>
      <c r="C54" s="1555" t="s">
        <v>2305</v>
      </c>
      <c r="D54" s="2234">
        <v>0</v>
      </c>
      <c r="E54" s="2393"/>
      <c r="F54" s="1559"/>
      <c r="G54" s="1784"/>
    </row>
    <row r="55" spans="1:7" ht="15" customHeight="1" x14ac:dyDescent="0.2">
      <c r="A55" s="2365"/>
      <c r="B55" s="2361"/>
      <c r="C55" s="1555" t="s">
        <v>2306</v>
      </c>
      <c r="D55" s="2234">
        <v>0</v>
      </c>
      <c r="E55" s="2393"/>
      <c r="F55" s="1559"/>
      <c r="G55" s="1784"/>
    </row>
    <row r="56" spans="1:7" ht="15" customHeight="1" thickBot="1" x14ac:dyDescent="0.25">
      <c r="A56" s="2367"/>
      <c r="B56" s="2378"/>
      <c r="C56" s="1243" t="s">
        <v>2307</v>
      </c>
      <c r="D56" s="2234">
        <v>0</v>
      </c>
      <c r="E56" s="2395"/>
      <c r="F56" s="1559"/>
      <c r="G56" s="1784"/>
    </row>
    <row r="57" spans="1:7" ht="30" customHeight="1" thickBot="1" x14ac:dyDescent="0.25">
      <c r="A57" s="2365" t="s">
        <v>47</v>
      </c>
      <c r="B57" s="2374" t="s">
        <v>1892</v>
      </c>
      <c r="C57" s="1507" t="s">
        <v>2309</v>
      </c>
      <c r="D57" s="2275"/>
      <c r="E57" s="2396" t="s">
        <v>1938</v>
      </c>
      <c r="F57" s="1559"/>
      <c r="G57" s="1784"/>
    </row>
    <row r="58" spans="1:7" ht="15" customHeight="1" x14ac:dyDescent="0.2">
      <c r="A58" s="2365"/>
      <c r="B58" s="2361"/>
      <c r="C58" s="1550" t="s">
        <v>1244</v>
      </c>
      <c r="D58" s="2234">
        <v>1</v>
      </c>
      <c r="E58" s="2393"/>
      <c r="F58" s="1559"/>
      <c r="G58" s="1784"/>
    </row>
    <row r="59" spans="1:7" ht="15" customHeight="1" x14ac:dyDescent="0.2">
      <c r="A59" s="2365"/>
      <c r="B59" s="2361"/>
      <c r="C59" s="1555" t="s">
        <v>1970</v>
      </c>
      <c r="D59" s="2234">
        <v>0</v>
      </c>
      <c r="E59" s="2393"/>
      <c r="F59" s="1559"/>
      <c r="G59" s="1784"/>
    </row>
    <row r="60" spans="1:7" ht="15" customHeight="1" x14ac:dyDescent="0.2">
      <c r="A60" s="2365"/>
      <c r="B60" s="2361"/>
      <c r="C60" s="1555" t="s">
        <v>1971</v>
      </c>
      <c r="D60" s="2234">
        <v>0</v>
      </c>
      <c r="E60" s="2393"/>
      <c r="F60" s="1559"/>
      <c r="G60" s="1784"/>
    </row>
    <row r="61" spans="1:7" ht="15" customHeight="1" x14ac:dyDescent="0.2">
      <c r="A61" s="2365"/>
      <c r="B61" s="2361"/>
      <c r="C61" s="1555" t="s">
        <v>1972</v>
      </c>
      <c r="D61" s="2234">
        <v>0</v>
      </c>
      <c r="E61" s="2393"/>
      <c r="F61" s="1559"/>
      <c r="G61" s="1784"/>
    </row>
    <row r="62" spans="1:7" ht="15" customHeight="1" thickBot="1" x14ac:dyDescent="0.25">
      <c r="A62" s="2365"/>
      <c r="B62" s="2361"/>
      <c r="C62" s="1551" t="s">
        <v>1973</v>
      </c>
      <c r="D62" s="2234">
        <v>0</v>
      </c>
      <c r="E62" s="2393"/>
      <c r="F62" s="1559"/>
      <c r="G62" s="1784"/>
    </row>
    <row r="63" spans="1:7" ht="30" customHeight="1" thickBot="1" x14ac:dyDescent="0.25">
      <c r="A63" s="2366" t="s">
        <v>454</v>
      </c>
      <c r="B63" s="2383" t="s">
        <v>1245</v>
      </c>
      <c r="C63" s="464" t="s">
        <v>1428</v>
      </c>
      <c r="D63" s="2275"/>
      <c r="E63" s="2394" t="s">
        <v>2543</v>
      </c>
      <c r="F63" s="1559"/>
      <c r="G63" s="1784"/>
    </row>
    <row r="64" spans="1:7" ht="40.5" customHeight="1" x14ac:dyDescent="0.2">
      <c r="A64" s="2365"/>
      <c r="B64" s="2361"/>
      <c r="C64" s="1550" t="s">
        <v>1246</v>
      </c>
      <c r="D64" s="2234">
        <v>0</v>
      </c>
      <c r="E64" s="2393"/>
      <c r="F64" s="1559"/>
      <c r="G64" s="1784"/>
    </row>
    <row r="65" spans="1:7" ht="28.5" customHeight="1" x14ac:dyDescent="0.2">
      <c r="A65" s="2365"/>
      <c r="B65" s="2361"/>
      <c r="C65" s="1555" t="s">
        <v>1171</v>
      </c>
      <c r="D65" s="2234">
        <v>1</v>
      </c>
      <c r="E65" s="2393"/>
      <c r="F65" s="1559"/>
      <c r="G65" s="1784"/>
    </row>
    <row r="66" spans="1:7" ht="27" customHeight="1" x14ac:dyDescent="0.2">
      <c r="A66" s="2365"/>
      <c r="B66" s="2361"/>
      <c r="C66" s="1555" t="s">
        <v>1172</v>
      </c>
      <c r="D66" s="2234">
        <v>0</v>
      </c>
      <c r="E66" s="2393"/>
      <c r="F66" s="1559"/>
      <c r="G66" s="1784"/>
    </row>
    <row r="67" spans="1:7" ht="15" customHeight="1" x14ac:dyDescent="0.2">
      <c r="A67" s="2365"/>
      <c r="B67" s="2361"/>
      <c r="C67" s="1555" t="s">
        <v>1974</v>
      </c>
      <c r="D67" s="2234">
        <v>0</v>
      </c>
      <c r="E67" s="2393"/>
      <c r="F67" s="1559"/>
      <c r="G67" s="1784"/>
    </row>
    <row r="68" spans="1:7" ht="15" customHeight="1" thickBot="1" x14ac:dyDescent="0.25">
      <c r="A68" s="2367"/>
      <c r="B68" s="2378"/>
      <c r="C68" s="1243" t="s">
        <v>1429</v>
      </c>
      <c r="D68" s="2274">
        <v>0</v>
      </c>
      <c r="E68" s="2395"/>
      <c r="F68" s="1559"/>
      <c r="G68" s="1784"/>
    </row>
    <row r="69" spans="1:7" ht="45" customHeight="1" thickBot="1" x14ac:dyDescent="0.25">
      <c r="A69" s="2365" t="s">
        <v>50</v>
      </c>
      <c r="B69" s="2374" t="s">
        <v>1247</v>
      </c>
      <c r="C69" s="1969" t="s">
        <v>2530</v>
      </c>
      <c r="D69" s="2275"/>
      <c r="E69" s="2396" t="s">
        <v>2544</v>
      </c>
      <c r="F69" s="1559"/>
      <c r="G69" s="1784"/>
    </row>
    <row r="70" spans="1:7" ht="15" customHeight="1" x14ac:dyDescent="0.2">
      <c r="A70" s="2365"/>
      <c r="B70" s="2361"/>
      <c r="C70" s="1550" t="s">
        <v>2310</v>
      </c>
      <c r="D70" s="2234">
        <v>0</v>
      </c>
      <c r="E70" s="2393"/>
      <c r="F70" s="1559"/>
      <c r="G70" s="1784"/>
    </row>
    <row r="71" spans="1:7" ht="15" customHeight="1" x14ac:dyDescent="0.2">
      <c r="A71" s="2365"/>
      <c r="B71" s="2361"/>
      <c r="C71" s="1555" t="s">
        <v>1975</v>
      </c>
      <c r="D71" s="2234">
        <v>1</v>
      </c>
      <c r="E71" s="2393"/>
      <c r="F71" s="1559"/>
      <c r="G71" s="1784"/>
    </row>
    <row r="72" spans="1:7" ht="15" customHeight="1" thickBot="1" x14ac:dyDescent="0.25">
      <c r="A72" s="2365"/>
      <c r="B72" s="2361"/>
      <c r="C72" s="1551" t="s">
        <v>1976</v>
      </c>
      <c r="D72" s="2234">
        <v>0</v>
      </c>
      <c r="E72" s="2393"/>
      <c r="F72" s="1559"/>
      <c r="G72" s="1784"/>
    </row>
    <row r="73" spans="1:7" ht="21" customHeight="1" thickBot="1" x14ac:dyDescent="0.25">
      <c r="A73" s="2366" t="s">
        <v>455</v>
      </c>
      <c r="B73" s="2383" t="s">
        <v>64</v>
      </c>
      <c r="C73" s="464" t="s">
        <v>2485</v>
      </c>
      <c r="D73" s="2275"/>
      <c r="E73" s="2394" t="s">
        <v>1939</v>
      </c>
      <c r="F73" s="1559"/>
      <c r="G73" s="1784"/>
    </row>
    <row r="74" spans="1:7" ht="15" customHeight="1" x14ac:dyDescent="0.2">
      <c r="A74" s="2365"/>
      <c r="B74" s="2361"/>
      <c r="C74" s="1550" t="s">
        <v>1977</v>
      </c>
      <c r="D74" s="2234">
        <v>1</v>
      </c>
      <c r="E74" s="2393"/>
      <c r="F74" s="1559"/>
      <c r="G74" s="1784"/>
    </row>
    <row r="75" spans="1:7" ht="15" customHeight="1" x14ac:dyDescent="0.2">
      <c r="A75" s="2365"/>
      <c r="B75" s="2361"/>
      <c r="C75" s="1555" t="s">
        <v>1113</v>
      </c>
      <c r="D75" s="2234">
        <v>0</v>
      </c>
      <c r="E75" s="2393"/>
      <c r="F75" s="1559"/>
      <c r="G75" s="1784"/>
    </row>
    <row r="76" spans="1:7" ht="15" customHeight="1" thickBot="1" x14ac:dyDescent="0.25">
      <c r="A76" s="2367"/>
      <c r="B76" s="2378"/>
      <c r="C76" s="1243" t="s">
        <v>1114</v>
      </c>
      <c r="D76" s="2234">
        <v>0</v>
      </c>
      <c r="E76" s="2395"/>
      <c r="F76" s="1559"/>
      <c r="G76" s="1784"/>
    </row>
    <row r="77" spans="1:7" ht="30" customHeight="1" thickBot="1" x14ac:dyDescent="0.25">
      <c r="A77" s="2371" t="s">
        <v>456</v>
      </c>
      <c r="B77" s="2384" t="s">
        <v>951</v>
      </c>
      <c r="C77" s="613" t="s">
        <v>2708</v>
      </c>
      <c r="D77" s="2275"/>
      <c r="E77" s="2404" t="s">
        <v>1940</v>
      </c>
      <c r="F77" s="1559"/>
      <c r="G77" s="1784"/>
    </row>
    <row r="78" spans="1:7" ht="27" customHeight="1" x14ac:dyDescent="0.2">
      <c r="A78" s="2371"/>
      <c r="B78" s="2361"/>
      <c r="C78" s="1550" t="s">
        <v>2563</v>
      </c>
      <c r="D78" s="2274">
        <v>0</v>
      </c>
      <c r="E78" s="2393"/>
      <c r="F78" s="1559"/>
      <c r="G78" s="1784"/>
    </row>
    <row r="79" spans="1:7" ht="27" customHeight="1" x14ac:dyDescent="0.2">
      <c r="A79" s="2371"/>
      <c r="B79" s="2361"/>
      <c r="C79" s="1555" t="s">
        <v>2564</v>
      </c>
      <c r="D79" s="2274">
        <v>1</v>
      </c>
      <c r="E79" s="2393"/>
      <c r="F79" s="1559"/>
      <c r="G79" s="1784"/>
    </row>
    <row r="80" spans="1:7" ht="15" customHeight="1" x14ac:dyDescent="0.2">
      <c r="A80" s="2371"/>
      <c r="B80" s="2361"/>
      <c r="C80" s="1555" t="s">
        <v>2614</v>
      </c>
      <c r="D80" s="2234">
        <v>0</v>
      </c>
      <c r="E80" s="2393"/>
      <c r="F80" s="1559"/>
      <c r="G80" s="1784"/>
    </row>
    <row r="81" spans="1:7" ht="15" customHeight="1" x14ac:dyDescent="0.2">
      <c r="A81" s="2371"/>
      <c r="B81" s="2361"/>
      <c r="C81" s="1555" t="s">
        <v>2615</v>
      </c>
      <c r="D81" s="2274">
        <v>0</v>
      </c>
      <c r="E81" s="2393"/>
      <c r="F81" s="1559"/>
      <c r="G81" s="1784"/>
    </row>
    <row r="82" spans="1:7" ht="27" customHeight="1" thickBot="1" x14ac:dyDescent="0.25">
      <c r="A82" s="2371"/>
      <c r="B82" s="2361"/>
      <c r="C82" s="1551" t="s">
        <v>2565</v>
      </c>
      <c r="D82" s="2274">
        <v>0</v>
      </c>
      <c r="E82" s="2393"/>
      <c r="F82" s="1559"/>
      <c r="G82" s="1784"/>
    </row>
    <row r="83" spans="1:7" ht="30" customHeight="1" thickBot="1" x14ac:dyDescent="0.25">
      <c r="A83" s="2366" t="s">
        <v>281</v>
      </c>
      <c r="B83" s="2383" t="s">
        <v>1248</v>
      </c>
      <c r="C83" s="464" t="s">
        <v>2709</v>
      </c>
      <c r="D83" s="2275"/>
      <c r="E83" s="2394" t="s">
        <v>1941</v>
      </c>
      <c r="F83" s="1559"/>
      <c r="G83" s="1784"/>
    </row>
    <row r="84" spans="1:7" ht="15" customHeight="1" x14ac:dyDescent="0.2">
      <c r="A84" s="2365"/>
      <c r="B84" s="2361"/>
      <c r="C84" s="1550" t="s">
        <v>2710</v>
      </c>
      <c r="D84" s="2274">
        <v>0</v>
      </c>
      <c r="E84" s="2393"/>
      <c r="F84" s="1559"/>
      <c r="G84" s="1784"/>
    </row>
    <row r="85" spans="1:7" ht="15" customHeight="1" x14ac:dyDescent="0.2">
      <c r="A85" s="2365"/>
      <c r="B85" s="2361"/>
      <c r="C85" s="1555" t="s">
        <v>1978</v>
      </c>
      <c r="D85" s="2274">
        <v>0</v>
      </c>
      <c r="E85" s="2393"/>
      <c r="F85" s="1559"/>
      <c r="G85" s="1784"/>
    </row>
    <row r="86" spans="1:7" ht="15" customHeight="1" x14ac:dyDescent="0.2">
      <c r="A86" s="2365"/>
      <c r="B86" s="2361"/>
      <c r="C86" s="1555" t="s">
        <v>1979</v>
      </c>
      <c r="D86" s="2274">
        <v>1</v>
      </c>
      <c r="E86" s="2393"/>
      <c r="F86" s="1559"/>
      <c r="G86" s="1784"/>
    </row>
    <row r="87" spans="1:7" ht="15" customHeight="1" thickBot="1" x14ac:dyDescent="0.25">
      <c r="A87" s="2367"/>
      <c r="B87" s="2378"/>
      <c r="C87" s="1243" t="s">
        <v>1980</v>
      </c>
      <c r="D87" s="2274">
        <v>0</v>
      </c>
      <c r="E87" s="2395"/>
      <c r="F87" s="1559"/>
      <c r="G87" s="1784"/>
    </row>
    <row r="88" spans="1:7" ht="21" customHeight="1" thickBot="1" x14ac:dyDescent="0.25">
      <c r="A88" s="2365" t="s">
        <v>457</v>
      </c>
      <c r="B88" s="2374" t="s">
        <v>1249</v>
      </c>
      <c r="C88" s="613" t="s">
        <v>2531</v>
      </c>
      <c r="D88" s="2275"/>
      <c r="E88" s="2396" t="s">
        <v>2191</v>
      </c>
      <c r="F88" s="1559"/>
      <c r="G88" s="1784"/>
    </row>
    <row r="89" spans="1:7" ht="15" customHeight="1" x14ac:dyDescent="0.2">
      <c r="A89" s="2365"/>
      <c r="B89" s="2361"/>
      <c r="C89" s="1550" t="s">
        <v>1782</v>
      </c>
      <c r="D89" s="2234">
        <v>0</v>
      </c>
      <c r="E89" s="2393"/>
      <c r="F89" s="1559" t="s">
        <v>2381</v>
      </c>
      <c r="G89" s="1784"/>
    </row>
    <row r="90" spans="1:7" ht="15" customHeight="1" x14ac:dyDescent="0.2">
      <c r="A90" s="2365"/>
      <c r="B90" s="2361"/>
      <c r="C90" s="1555" t="s">
        <v>1970</v>
      </c>
      <c r="D90" s="2234">
        <v>0</v>
      </c>
      <c r="E90" s="2393"/>
      <c r="F90" s="1559"/>
      <c r="G90" s="1784"/>
    </row>
    <row r="91" spans="1:7" ht="15" customHeight="1" x14ac:dyDescent="0.2">
      <c r="A91" s="2365"/>
      <c r="B91" s="2361"/>
      <c r="C91" s="1555" t="s">
        <v>1971</v>
      </c>
      <c r="D91" s="2234">
        <v>0</v>
      </c>
      <c r="E91" s="2393"/>
      <c r="F91" s="1559"/>
      <c r="G91" s="1784"/>
    </row>
    <row r="92" spans="1:7" ht="15" customHeight="1" x14ac:dyDescent="0.2">
      <c r="A92" s="2365"/>
      <c r="B92" s="2361"/>
      <c r="C92" s="1555" t="s">
        <v>1972</v>
      </c>
      <c r="D92" s="2234">
        <v>1</v>
      </c>
      <c r="E92" s="2393"/>
      <c r="F92" s="1559"/>
      <c r="G92" s="1784"/>
    </row>
    <row r="93" spans="1:7" ht="15" customHeight="1" thickBot="1" x14ac:dyDescent="0.25">
      <c r="A93" s="2365"/>
      <c r="B93" s="2361"/>
      <c r="C93" s="1551" t="s">
        <v>1973</v>
      </c>
      <c r="D93" s="2234">
        <v>0</v>
      </c>
      <c r="E93" s="2393"/>
      <c r="F93" s="1559"/>
      <c r="G93" s="1784"/>
    </row>
    <row r="94" spans="1:7" ht="21" customHeight="1" thickBot="1" x14ac:dyDescent="0.25">
      <c r="A94" s="2366" t="s">
        <v>422</v>
      </c>
      <c r="B94" s="2383" t="s">
        <v>1250</v>
      </c>
      <c r="C94" s="464" t="s">
        <v>1251</v>
      </c>
      <c r="D94" s="2275"/>
      <c r="E94" s="2394" t="s">
        <v>2462</v>
      </c>
      <c r="F94" s="1559"/>
      <c r="G94" s="1784"/>
    </row>
    <row r="95" spans="1:7" ht="15" customHeight="1" x14ac:dyDescent="0.2">
      <c r="A95" s="2365"/>
      <c r="B95" s="2361"/>
      <c r="C95" s="1550" t="s">
        <v>1252</v>
      </c>
      <c r="D95" s="2234">
        <v>0</v>
      </c>
      <c r="E95" s="2393"/>
      <c r="F95" s="1559"/>
      <c r="G95" s="1784"/>
    </row>
    <row r="96" spans="1:7" ht="15" customHeight="1" x14ac:dyDescent="0.2">
      <c r="A96" s="2365"/>
      <c r="B96" s="2361"/>
      <c r="C96" s="1555" t="s">
        <v>1981</v>
      </c>
      <c r="D96" s="2234">
        <v>0</v>
      </c>
      <c r="E96" s="2393"/>
      <c r="F96" s="1559"/>
      <c r="G96" s="1784"/>
    </row>
    <row r="97" spans="1:7" ht="15" customHeight="1" x14ac:dyDescent="0.2">
      <c r="A97" s="2365"/>
      <c r="B97" s="2361"/>
      <c r="C97" s="1555" t="s">
        <v>1982</v>
      </c>
      <c r="D97" s="2234">
        <v>1</v>
      </c>
      <c r="E97" s="2393"/>
      <c r="F97" s="1559"/>
      <c r="G97" s="1784"/>
    </row>
    <row r="98" spans="1:7" ht="15" customHeight="1" x14ac:dyDescent="0.2">
      <c r="A98" s="2365"/>
      <c r="B98" s="2361"/>
      <c r="C98" s="1555" t="s">
        <v>1983</v>
      </c>
      <c r="D98" s="2234">
        <v>0</v>
      </c>
      <c r="E98" s="2393"/>
      <c r="F98" s="1559"/>
      <c r="G98" s="1784"/>
    </row>
    <row r="99" spans="1:7" ht="15" customHeight="1" thickBot="1" x14ac:dyDescent="0.25">
      <c r="A99" s="2367"/>
      <c r="B99" s="2378"/>
      <c r="C99" s="1243" t="s">
        <v>1984</v>
      </c>
      <c r="D99" s="2234">
        <v>0</v>
      </c>
      <c r="E99" s="2395"/>
      <c r="F99" s="1559" t="s">
        <v>2382</v>
      </c>
      <c r="G99" s="1784"/>
    </row>
    <row r="100" spans="1:7" ht="21" customHeight="1" thickBot="1" x14ac:dyDescent="0.25">
      <c r="A100" s="2365" t="s">
        <v>48</v>
      </c>
      <c r="B100" s="2374" t="s">
        <v>1253</v>
      </c>
      <c r="C100" s="613" t="s">
        <v>2461</v>
      </c>
      <c r="D100" s="2275"/>
      <c r="E100" s="2396" t="s">
        <v>1942</v>
      </c>
      <c r="F100" s="1559"/>
      <c r="G100" s="1784"/>
    </row>
    <row r="101" spans="1:7" ht="15" customHeight="1" x14ac:dyDescent="0.2">
      <c r="A101" s="2365"/>
      <c r="B101" s="2361"/>
      <c r="C101" s="1550" t="s">
        <v>1985</v>
      </c>
      <c r="D101" s="2234">
        <v>1</v>
      </c>
      <c r="E101" s="2393"/>
      <c r="F101" s="1559"/>
      <c r="G101" s="1784"/>
    </row>
    <row r="102" spans="1:7" ht="15" customHeight="1" x14ac:dyDescent="0.2">
      <c r="A102" s="2365"/>
      <c r="B102" s="2361"/>
      <c r="C102" s="1555" t="s">
        <v>1986</v>
      </c>
      <c r="D102" s="2234">
        <v>0</v>
      </c>
      <c r="E102" s="2393"/>
      <c r="F102" s="1559"/>
      <c r="G102" s="1784"/>
    </row>
    <row r="103" spans="1:7" ht="15" customHeight="1" x14ac:dyDescent="0.2">
      <c r="A103" s="2365"/>
      <c r="B103" s="2361"/>
      <c r="C103" s="1555" t="s">
        <v>1987</v>
      </c>
      <c r="D103" s="2234">
        <v>0</v>
      </c>
      <c r="E103" s="2393"/>
      <c r="F103" s="1559"/>
      <c r="G103" s="1784"/>
    </row>
    <row r="104" spans="1:7" ht="15" customHeight="1" thickBot="1" x14ac:dyDescent="0.25">
      <c r="A104" s="2365"/>
      <c r="B104" s="2361"/>
      <c r="C104" s="1551" t="s">
        <v>1988</v>
      </c>
      <c r="D104" s="2234">
        <v>0</v>
      </c>
      <c r="E104" s="2393"/>
      <c r="F104" s="1559"/>
      <c r="G104" s="1784"/>
    </row>
    <row r="105" spans="1:7" ht="30" customHeight="1" thickBot="1" x14ac:dyDescent="0.25">
      <c r="A105" s="2366" t="s">
        <v>471</v>
      </c>
      <c r="B105" s="2383" t="s">
        <v>1254</v>
      </c>
      <c r="C105" s="464" t="s">
        <v>2482</v>
      </c>
      <c r="D105" s="2275"/>
      <c r="E105" s="2394" t="s">
        <v>2426</v>
      </c>
      <c r="F105" s="1559"/>
      <c r="G105" s="1784"/>
    </row>
    <row r="106" spans="1:7" ht="15" customHeight="1" x14ac:dyDescent="0.2">
      <c r="A106" s="2365"/>
      <c r="B106" s="2361"/>
      <c r="C106" s="1550" t="s">
        <v>2532</v>
      </c>
      <c r="D106" s="2234">
        <v>0</v>
      </c>
      <c r="E106" s="2393"/>
      <c r="F106" s="1559"/>
      <c r="G106" s="1784"/>
    </row>
    <row r="107" spans="1:7" ht="21.75" customHeight="1" thickBot="1" x14ac:dyDescent="0.25">
      <c r="A107" s="2367"/>
      <c r="B107" s="2378"/>
      <c r="C107" s="1243" t="s">
        <v>2481</v>
      </c>
      <c r="D107" s="2234">
        <v>1</v>
      </c>
      <c r="E107" s="2395"/>
      <c r="F107" s="1559"/>
      <c r="G107" s="1784"/>
    </row>
    <row r="108" spans="1:7" ht="30.75" customHeight="1" thickBot="1" x14ac:dyDescent="0.25">
      <c r="A108" s="2365" t="s">
        <v>423</v>
      </c>
      <c r="B108" s="2374" t="s">
        <v>2311</v>
      </c>
      <c r="C108" s="1969" t="s">
        <v>2317</v>
      </c>
      <c r="D108" s="2275"/>
      <c r="E108" s="2396" t="s">
        <v>1943</v>
      </c>
      <c r="F108" s="1559"/>
      <c r="G108" s="1784"/>
    </row>
    <row r="109" spans="1:7" ht="15" customHeight="1" x14ac:dyDescent="0.2">
      <c r="A109" s="2365"/>
      <c r="B109" s="2361"/>
      <c r="C109" s="1550" t="s">
        <v>2316</v>
      </c>
      <c r="D109" s="2234">
        <v>0</v>
      </c>
      <c r="E109" s="2393"/>
      <c r="F109" s="1559"/>
      <c r="G109" s="1784"/>
    </row>
    <row r="110" spans="1:7" ht="28.5" customHeight="1" x14ac:dyDescent="0.2">
      <c r="A110" s="2365"/>
      <c r="B110" s="2361"/>
      <c r="C110" s="1555" t="s">
        <v>2312</v>
      </c>
      <c r="D110" s="2234">
        <v>0</v>
      </c>
      <c r="E110" s="2393"/>
      <c r="F110" s="1559"/>
      <c r="G110" s="1784"/>
    </row>
    <row r="111" spans="1:7" ht="15" customHeight="1" x14ac:dyDescent="0.2">
      <c r="A111" s="2365"/>
      <c r="B111" s="2361"/>
      <c r="C111" s="1555" t="s">
        <v>2313</v>
      </c>
      <c r="D111" s="2234">
        <v>1</v>
      </c>
      <c r="E111" s="2393"/>
      <c r="F111" s="1559"/>
      <c r="G111" s="1784"/>
    </row>
    <row r="112" spans="1:7" ht="15" customHeight="1" x14ac:dyDescent="0.2">
      <c r="A112" s="2365"/>
      <c r="B112" s="2361"/>
      <c r="C112" s="1555" t="s">
        <v>2314</v>
      </c>
      <c r="D112" s="2234">
        <v>0</v>
      </c>
      <c r="E112" s="2393"/>
      <c r="F112" s="1559"/>
      <c r="G112" s="1784"/>
    </row>
    <row r="113" spans="1:7" ht="15" customHeight="1" thickBot="1" x14ac:dyDescent="0.25">
      <c r="A113" s="2365"/>
      <c r="B113" s="2361"/>
      <c r="C113" s="1551" t="s">
        <v>2315</v>
      </c>
      <c r="D113" s="2234">
        <v>0</v>
      </c>
      <c r="E113" s="2393"/>
      <c r="F113" s="1559"/>
      <c r="G113" s="1784"/>
    </row>
    <row r="114" spans="1:7" ht="30" customHeight="1" thickBot="1" x14ac:dyDescent="0.25">
      <c r="A114" s="2368" t="s">
        <v>472</v>
      </c>
      <c r="B114" s="2383" t="s">
        <v>2318</v>
      </c>
      <c r="C114" s="464" t="s">
        <v>2420</v>
      </c>
      <c r="D114" s="2275"/>
      <c r="E114" s="2394" t="s">
        <v>2251</v>
      </c>
      <c r="F114" s="1559"/>
      <c r="G114" s="1784"/>
    </row>
    <row r="115" spans="1:7" ht="15" customHeight="1" x14ac:dyDescent="0.2">
      <c r="A115" s="2369"/>
      <c r="B115" s="2361"/>
      <c r="C115" s="1550" t="s">
        <v>2421</v>
      </c>
      <c r="D115" s="2234">
        <v>1</v>
      </c>
      <c r="E115" s="2393"/>
      <c r="F115" s="1559"/>
      <c r="G115" s="1784"/>
    </row>
    <row r="116" spans="1:7" ht="15" customHeight="1" x14ac:dyDescent="0.2">
      <c r="A116" s="2369"/>
      <c r="B116" s="2361"/>
      <c r="C116" s="1555" t="s">
        <v>1989</v>
      </c>
      <c r="D116" s="2234">
        <v>0</v>
      </c>
      <c r="E116" s="2393"/>
      <c r="F116" s="1559"/>
      <c r="G116" s="1784"/>
    </row>
    <row r="117" spans="1:7" ht="15" customHeight="1" x14ac:dyDescent="0.2">
      <c r="A117" s="2369"/>
      <c r="B117" s="2361"/>
      <c r="C117" s="1555" t="s">
        <v>1990</v>
      </c>
      <c r="D117" s="2234">
        <v>0</v>
      </c>
      <c r="E117" s="2393"/>
      <c r="F117" s="1559"/>
      <c r="G117" s="1784"/>
    </row>
    <row r="118" spans="1:7" ht="15" customHeight="1" thickBot="1" x14ac:dyDescent="0.25">
      <c r="A118" s="2370"/>
      <c r="B118" s="2378"/>
      <c r="C118" s="1243" t="s">
        <v>1991</v>
      </c>
      <c r="D118" s="2234">
        <v>0</v>
      </c>
      <c r="E118" s="2395"/>
      <c r="F118" s="1559"/>
      <c r="G118" s="1784"/>
    </row>
    <row r="119" spans="1:7" ht="30" customHeight="1" thickBot="1" x14ac:dyDescent="0.25">
      <c r="A119" s="1968" t="s">
        <v>424</v>
      </c>
      <c r="B119" s="1972" t="s">
        <v>651</v>
      </c>
      <c r="C119" s="1965" t="s">
        <v>2612</v>
      </c>
      <c r="D119" s="2234">
        <v>1</v>
      </c>
      <c r="E119" s="1976" t="s">
        <v>2751</v>
      </c>
      <c r="F119" s="1559"/>
      <c r="G119" s="1784"/>
    </row>
    <row r="120" spans="1:7" ht="30" customHeight="1" thickBot="1" x14ac:dyDescent="0.25">
      <c r="A120" s="613" t="s">
        <v>458</v>
      </c>
      <c r="B120" s="1137" t="s">
        <v>652</v>
      </c>
      <c r="C120" s="464" t="s">
        <v>2551</v>
      </c>
      <c r="D120" s="2234">
        <v>0</v>
      </c>
      <c r="E120" s="103" t="s">
        <v>2192</v>
      </c>
      <c r="F120" s="1559"/>
      <c r="G120" s="1784"/>
    </row>
    <row r="121" spans="1:7" ht="30" customHeight="1" thickBot="1" x14ac:dyDescent="0.25">
      <c r="A121" s="2365" t="s">
        <v>425</v>
      </c>
      <c r="B121" s="2374" t="s">
        <v>1331</v>
      </c>
      <c r="C121" s="1969" t="s">
        <v>1255</v>
      </c>
      <c r="D121" s="2275"/>
      <c r="E121" s="2396" t="s">
        <v>2569</v>
      </c>
      <c r="F121" s="1559"/>
      <c r="G121" s="1784"/>
    </row>
    <row r="122" spans="1:7" ht="15" customHeight="1" x14ac:dyDescent="0.2">
      <c r="A122" s="2365"/>
      <c r="B122" s="2361"/>
      <c r="C122" s="1550" t="s">
        <v>2553</v>
      </c>
      <c r="D122" s="2234">
        <v>1</v>
      </c>
      <c r="E122" s="2393"/>
      <c r="F122" s="1559"/>
      <c r="G122" s="1784"/>
    </row>
    <row r="123" spans="1:7" ht="15" customHeight="1" x14ac:dyDescent="0.2">
      <c r="A123" s="2365"/>
      <c r="B123" s="2361"/>
      <c r="C123" s="1555" t="s">
        <v>2552</v>
      </c>
      <c r="D123" s="2234">
        <v>0</v>
      </c>
      <c r="E123" s="2393"/>
      <c r="F123" s="1559"/>
      <c r="G123" s="1784"/>
    </row>
    <row r="124" spans="1:7" ht="15" customHeight="1" x14ac:dyDescent="0.2">
      <c r="A124" s="2365"/>
      <c r="B124" s="2361"/>
      <c r="C124" s="1555" t="s">
        <v>1992</v>
      </c>
      <c r="D124" s="2234">
        <v>0</v>
      </c>
      <c r="E124" s="2393"/>
      <c r="F124" s="1559"/>
      <c r="G124" s="1784"/>
    </row>
    <row r="125" spans="1:7" ht="15" customHeight="1" x14ac:dyDescent="0.2">
      <c r="A125" s="2365"/>
      <c r="B125" s="2361"/>
      <c r="C125" s="1555" t="s">
        <v>1993</v>
      </c>
      <c r="D125" s="2234">
        <v>0</v>
      </c>
      <c r="E125" s="2393"/>
      <c r="F125" s="1559"/>
      <c r="G125" s="1784"/>
    </row>
    <row r="126" spans="1:7" ht="24.75" customHeight="1" x14ac:dyDescent="0.2">
      <c r="A126" s="2365"/>
      <c r="B126" s="2361"/>
      <c r="C126" s="1555" t="s">
        <v>2942</v>
      </c>
      <c r="D126" s="2234">
        <v>0</v>
      </c>
      <c r="E126" s="2393"/>
      <c r="F126" s="1559" t="s">
        <v>2383</v>
      </c>
      <c r="G126" s="1784"/>
    </row>
    <row r="127" spans="1:7" ht="28.5" customHeight="1" thickBot="1" x14ac:dyDescent="0.25">
      <c r="A127" s="2365"/>
      <c r="B127" s="2361"/>
      <c r="C127" s="1551" t="s">
        <v>2943</v>
      </c>
      <c r="D127" s="2203">
        <v>0</v>
      </c>
      <c r="E127" s="2393"/>
      <c r="F127" s="1559" t="s">
        <v>2384</v>
      </c>
      <c r="G127" s="1784"/>
    </row>
    <row r="128" spans="1:7" ht="45" customHeight="1" thickBot="1" x14ac:dyDescent="0.25">
      <c r="A128" s="2368" t="s">
        <v>459</v>
      </c>
      <c r="B128" s="2377" t="s">
        <v>1289</v>
      </c>
      <c r="C128" s="161" t="s">
        <v>1256</v>
      </c>
      <c r="D128" s="2275"/>
      <c r="E128" s="2326" t="s">
        <v>1932</v>
      </c>
      <c r="F128" s="1559"/>
      <c r="G128" s="1784"/>
    </row>
    <row r="129" spans="1:7" ht="15" customHeight="1" x14ac:dyDescent="0.2">
      <c r="A129" s="2369"/>
      <c r="B129" s="2361"/>
      <c r="C129" s="1548" t="s">
        <v>2711</v>
      </c>
      <c r="D129" s="2234">
        <v>0</v>
      </c>
      <c r="E129" s="2393"/>
      <c r="F129" s="1559" t="s">
        <v>2385</v>
      </c>
      <c r="G129" s="1784"/>
    </row>
    <row r="130" spans="1:7" ht="15" customHeight="1" x14ac:dyDescent="0.2">
      <c r="A130" s="2369"/>
      <c r="B130" s="2361"/>
      <c r="C130" s="579" t="s">
        <v>1994</v>
      </c>
      <c r="D130" s="2234">
        <v>0</v>
      </c>
      <c r="E130" s="2393"/>
      <c r="F130" s="1559"/>
      <c r="G130" s="1784"/>
    </row>
    <row r="131" spans="1:7" ht="15" customHeight="1" x14ac:dyDescent="0.2">
      <c r="A131" s="2369"/>
      <c r="B131" s="2361"/>
      <c r="C131" s="579" t="s">
        <v>1995</v>
      </c>
      <c r="D131" s="2234">
        <v>1</v>
      </c>
      <c r="E131" s="2393"/>
      <c r="F131" s="1559"/>
      <c r="G131" s="1784"/>
    </row>
    <row r="132" spans="1:7" ht="15" customHeight="1" x14ac:dyDescent="0.2">
      <c r="A132" s="2369"/>
      <c r="B132" s="2361"/>
      <c r="C132" s="579" t="s">
        <v>1996</v>
      </c>
      <c r="D132" s="2234">
        <v>0</v>
      </c>
      <c r="E132" s="2393"/>
      <c r="F132" s="1559"/>
      <c r="G132" s="1784"/>
    </row>
    <row r="133" spans="1:7" ht="15" customHeight="1" thickBot="1" x14ac:dyDescent="0.25">
      <c r="A133" s="2370"/>
      <c r="B133" s="2378"/>
      <c r="C133" s="580" t="s">
        <v>1257</v>
      </c>
      <c r="D133" s="2234">
        <v>0</v>
      </c>
      <c r="E133" s="2395"/>
      <c r="F133" s="1559" t="s">
        <v>2386</v>
      </c>
      <c r="G133" s="1784"/>
    </row>
    <row r="134" spans="1:7" ht="30" customHeight="1" thickBot="1" x14ac:dyDescent="0.25">
      <c r="A134" s="2369" t="s">
        <v>460</v>
      </c>
      <c r="B134" s="2379" t="s">
        <v>1258</v>
      </c>
      <c r="C134" s="157" t="s">
        <v>1332</v>
      </c>
      <c r="D134" s="2275"/>
      <c r="E134" s="2327" t="s">
        <v>2449</v>
      </c>
      <c r="F134" s="1559"/>
      <c r="G134" s="1784"/>
    </row>
    <row r="135" spans="1:7" ht="15" customHeight="1" x14ac:dyDescent="0.2">
      <c r="A135" s="2369"/>
      <c r="B135" s="2361"/>
      <c r="C135" s="1548" t="s">
        <v>1259</v>
      </c>
      <c r="D135" s="2234">
        <v>0</v>
      </c>
      <c r="E135" s="2393"/>
      <c r="F135" s="1559"/>
      <c r="G135" s="1784"/>
    </row>
    <row r="136" spans="1:7" ht="15" customHeight="1" x14ac:dyDescent="0.2">
      <c r="A136" s="2369"/>
      <c r="B136" s="2361"/>
      <c r="C136" s="579" t="s">
        <v>1997</v>
      </c>
      <c r="D136" s="2234">
        <v>1</v>
      </c>
      <c r="E136" s="2393"/>
      <c r="F136" s="1559"/>
      <c r="G136" s="1784"/>
    </row>
    <row r="137" spans="1:7" ht="15" customHeight="1" x14ac:dyDescent="0.2">
      <c r="A137" s="2369"/>
      <c r="B137" s="2361"/>
      <c r="C137" s="579" t="s">
        <v>1998</v>
      </c>
      <c r="D137" s="2234">
        <v>0</v>
      </c>
      <c r="E137" s="2393"/>
      <c r="F137" s="1559"/>
      <c r="G137" s="1784"/>
    </row>
    <row r="138" spans="1:7" ht="15" customHeight="1" x14ac:dyDescent="0.2">
      <c r="A138" s="2369"/>
      <c r="B138" s="2361"/>
      <c r="C138" s="579" t="s">
        <v>1999</v>
      </c>
      <c r="D138" s="2234">
        <v>0</v>
      </c>
      <c r="E138" s="2393"/>
      <c r="F138" s="1559"/>
      <c r="G138" s="1784"/>
    </row>
    <row r="139" spans="1:7" ht="15" customHeight="1" thickBot="1" x14ac:dyDescent="0.25">
      <c r="A139" s="2369"/>
      <c r="B139" s="2361"/>
      <c r="C139" s="1549" t="s">
        <v>2000</v>
      </c>
      <c r="D139" s="2234">
        <v>0</v>
      </c>
      <c r="E139" s="2393"/>
      <c r="F139" s="1559"/>
      <c r="G139" s="1784"/>
    </row>
    <row r="140" spans="1:7" ht="21" customHeight="1" thickBot="1" x14ac:dyDescent="0.25">
      <c r="A140" s="2368" t="s">
        <v>461</v>
      </c>
      <c r="B140" s="2377" t="s">
        <v>1260</v>
      </c>
      <c r="C140" s="161" t="s">
        <v>2533</v>
      </c>
      <c r="D140" s="2275"/>
      <c r="E140" s="2326" t="s">
        <v>1918</v>
      </c>
      <c r="F140" s="1559"/>
      <c r="G140" s="1784"/>
    </row>
    <row r="141" spans="1:7" ht="15" customHeight="1" x14ac:dyDescent="0.2">
      <c r="A141" s="2369"/>
      <c r="B141" s="2361"/>
      <c r="C141" s="1782" t="s">
        <v>2534</v>
      </c>
      <c r="D141" s="2274">
        <v>0</v>
      </c>
      <c r="E141" s="2393"/>
      <c r="F141" s="1559" t="s">
        <v>2387</v>
      </c>
      <c r="G141" s="1784"/>
    </row>
    <row r="142" spans="1:7" ht="15" customHeight="1" x14ac:dyDescent="0.2">
      <c r="A142" s="2369"/>
      <c r="B142" s="2361"/>
      <c r="C142" s="579" t="s">
        <v>2001</v>
      </c>
      <c r="D142" s="2274">
        <v>0</v>
      </c>
      <c r="E142" s="2393"/>
      <c r="F142" s="1559"/>
      <c r="G142" s="1784"/>
    </row>
    <row r="143" spans="1:7" ht="15" customHeight="1" x14ac:dyDescent="0.2">
      <c r="A143" s="2369"/>
      <c r="B143" s="2361"/>
      <c r="C143" s="579" t="s">
        <v>1995</v>
      </c>
      <c r="D143" s="2274">
        <v>0</v>
      </c>
      <c r="E143" s="2393"/>
      <c r="F143" s="1559"/>
      <c r="G143" s="1784"/>
    </row>
    <row r="144" spans="1:7" ht="15" customHeight="1" x14ac:dyDescent="0.2">
      <c r="A144" s="2369"/>
      <c r="B144" s="2361"/>
      <c r="C144" s="579" t="s">
        <v>1996</v>
      </c>
      <c r="D144" s="2274">
        <v>1</v>
      </c>
      <c r="E144" s="2393"/>
      <c r="F144" s="1559"/>
      <c r="G144" s="1784"/>
    </row>
    <row r="145" spans="1:7" ht="15" customHeight="1" thickBot="1" x14ac:dyDescent="0.25">
      <c r="A145" s="2370"/>
      <c r="B145" s="2378"/>
      <c r="C145" s="580" t="s">
        <v>1261</v>
      </c>
      <c r="D145" s="2274">
        <v>0</v>
      </c>
      <c r="E145" s="2395"/>
      <c r="F145" s="1559"/>
      <c r="G145" s="1784"/>
    </row>
    <row r="146" spans="1:7" ht="21" customHeight="1" thickBot="1" x14ac:dyDescent="0.25">
      <c r="A146" s="2369" t="s">
        <v>462</v>
      </c>
      <c r="B146" s="2379" t="s">
        <v>957</v>
      </c>
      <c r="C146" s="1077" t="s">
        <v>2535</v>
      </c>
      <c r="D146" s="2275"/>
      <c r="E146" s="2327" t="s">
        <v>1933</v>
      </c>
      <c r="F146" s="1559"/>
      <c r="G146" s="1784"/>
    </row>
    <row r="147" spans="1:7" ht="15" customHeight="1" x14ac:dyDescent="0.2">
      <c r="A147" s="2390"/>
      <c r="B147" s="2361"/>
      <c r="C147" s="1548" t="s">
        <v>2002</v>
      </c>
      <c r="D147" s="2274">
        <v>0</v>
      </c>
      <c r="E147" s="2393"/>
      <c r="F147" s="1559"/>
      <c r="G147" s="1784"/>
    </row>
    <row r="148" spans="1:7" ht="15" customHeight="1" x14ac:dyDescent="0.2">
      <c r="A148" s="2390"/>
      <c r="B148" s="2361"/>
      <c r="C148" s="579" t="s">
        <v>2003</v>
      </c>
      <c r="D148" s="2274">
        <v>0</v>
      </c>
      <c r="E148" s="2393"/>
      <c r="F148" s="1559"/>
      <c r="G148" s="1784"/>
    </row>
    <row r="149" spans="1:7" ht="15" customHeight="1" x14ac:dyDescent="0.2">
      <c r="A149" s="2390"/>
      <c r="B149" s="2361"/>
      <c r="C149" s="579" t="s">
        <v>2004</v>
      </c>
      <c r="D149" s="2234">
        <v>0</v>
      </c>
      <c r="E149" s="2393"/>
      <c r="F149" s="1559"/>
      <c r="G149" s="1784"/>
    </row>
    <row r="150" spans="1:7" ht="15" customHeight="1" x14ac:dyDescent="0.2">
      <c r="A150" s="2390"/>
      <c r="B150" s="2361"/>
      <c r="C150" s="1555" t="s">
        <v>2005</v>
      </c>
      <c r="D150" s="2234">
        <v>0</v>
      </c>
      <c r="E150" s="2393"/>
      <c r="F150" s="1559"/>
      <c r="G150" s="1784"/>
    </row>
    <row r="151" spans="1:7" ht="15" customHeight="1" thickBot="1" x14ac:dyDescent="0.25">
      <c r="A151" s="2390"/>
      <c r="B151" s="2361"/>
      <c r="C151" s="1551" t="s">
        <v>2006</v>
      </c>
      <c r="D151" s="2277">
        <v>1</v>
      </c>
      <c r="E151" s="2393"/>
      <c r="F151" s="1559"/>
      <c r="G151" s="1784"/>
    </row>
    <row r="152" spans="1:7" ht="32.25" customHeight="1" thickBot="1" x14ac:dyDescent="0.25">
      <c r="A152" s="2375" t="s">
        <v>2677</v>
      </c>
      <c r="B152" s="2376"/>
      <c r="C152" s="2376"/>
      <c r="D152" s="2231">
        <v>0</v>
      </c>
      <c r="E152" s="2012"/>
      <c r="F152" s="1559" t="s">
        <v>2388</v>
      </c>
      <c r="G152" s="1784"/>
    </row>
    <row r="153" spans="1:7" ht="30" customHeight="1" thickBot="1" x14ac:dyDescent="0.25">
      <c r="A153" s="2365" t="s">
        <v>426</v>
      </c>
      <c r="B153" s="2379" t="s">
        <v>277</v>
      </c>
      <c r="C153" s="1969" t="s">
        <v>1262</v>
      </c>
      <c r="D153" s="2278"/>
      <c r="E153" s="2327" t="s">
        <v>2752</v>
      </c>
      <c r="F153" s="1559"/>
      <c r="G153" s="1784"/>
    </row>
    <row r="154" spans="1:7" ht="15" customHeight="1" x14ac:dyDescent="0.2">
      <c r="A154" s="2390"/>
      <c r="B154" s="2361"/>
      <c r="C154" s="1550" t="s">
        <v>2007</v>
      </c>
      <c r="D154" s="2234">
        <v>0</v>
      </c>
      <c r="E154" s="2393"/>
      <c r="F154" s="1559"/>
      <c r="G154" s="1784"/>
    </row>
    <row r="155" spans="1:7" ht="15" customHeight="1" x14ac:dyDescent="0.2">
      <c r="A155" s="2390"/>
      <c r="B155" s="2361"/>
      <c r="C155" s="1555" t="s">
        <v>2008</v>
      </c>
      <c r="D155" s="2234">
        <v>0</v>
      </c>
      <c r="E155" s="2393"/>
      <c r="F155" s="1559"/>
      <c r="G155" s="1784"/>
    </row>
    <row r="156" spans="1:7" ht="15" customHeight="1" x14ac:dyDescent="0.2">
      <c r="A156" s="2390"/>
      <c r="B156" s="2361"/>
      <c r="C156" s="1555" t="s">
        <v>2009</v>
      </c>
      <c r="D156" s="2234">
        <v>1</v>
      </c>
      <c r="E156" s="2393"/>
      <c r="F156" s="1559"/>
      <c r="G156" s="1784"/>
    </row>
    <row r="157" spans="1:7" ht="15" customHeight="1" x14ac:dyDescent="0.2">
      <c r="A157" s="2390"/>
      <c r="B157" s="2361"/>
      <c r="C157" s="1555" t="s">
        <v>2010</v>
      </c>
      <c r="D157" s="2234">
        <v>0</v>
      </c>
      <c r="E157" s="2393"/>
      <c r="F157" s="1559"/>
      <c r="G157" s="1784"/>
    </row>
    <row r="158" spans="1:7" ht="15" customHeight="1" thickBot="1" x14ac:dyDescent="0.25">
      <c r="A158" s="2390"/>
      <c r="B158" s="2361"/>
      <c r="C158" s="1551" t="s">
        <v>1430</v>
      </c>
      <c r="D158" s="2234">
        <v>0</v>
      </c>
      <c r="E158" s="2393"/>
      <c r="F158" s="1559"/>
      <c r="G158" s="1784"/>
    </row>
    <row r="159" spans="1:7" ht="21" customHeight="1" thickBot="1" x14ac:dyDescent="0.25">
      <c r="A159" s="2366" t="s">
        <v>427</v>
      </c>
      <c r="B159" s="2383" t="s">
        <v>1263</v>
      </c>
      <c r="C159" s="464" t="s">
        <v>1264</v>
      </c>
      <c r="D159" s="2275"/>
      <c r="E159" s="2394" t="s">
        <v>2463</v>
      </c>
      <c r="F159" s="1559"/>
      <c r="G159" s="1784"/>
    </row>
    <row r="160" spans="1:7" ht="15" customHeight="1" x14ac:dyDescent="0.2">
      <c r="A160" s="2365"/>
      <c r="B160" s="2361"/>
      <c r="C160" s="1550" t="s">
        <v>2011</v>
      </c>
      <c r="D160" s="2234">
        <v>0</v>
      </c>
      <c r="E160" s="2393"/>
      <c r="F160" s="1559"/>
      <c r="G160" s="1784"/>
    </row>
    <row r="161" spans="1:7" ht="15" customHeight="1" x14ac:dyDescent="0.2">
      <c r="A161" s="2365"/>
      <c r="B161" s="2361"/>
      <c r="C161" s="1555" t="s">
        <v>2012</v>
      </c>
      <c r="D161" s="2234">
        <v>0</v>
      </c>
      <c r="E161" s="2393"/>
      <c r="F161" s="1559"/>
      <c r="G161" s="1784"/>
    </row>
    <row r="162" spans="1:7" ht="15" customHeight="1" thickBot="1" x14ac:dyDescent="0.25">
      <c r="A162" s="2367"/>
      <c r="B162" s="2378"/>
      <c r="C162" s="1243" t="s">
        <v>1431</v>
      </c>
      <c r="D162" s="2234">
        <v>1</v>
      </c>
      <c r="E162" s="2395"/>
      <c r="F162" s="1559"/>
      <c r="G162" s="1784"/>
    </row>
    <row r="163" spans="1:7" ht="30" customHeight="1" thickBot="1" x14ac:dyDescent="0.25">
      <c r="A163" s="2392" t="s">
        <v>428</v>
      </c>
      <c r="B163" s="2360" t="s">
        <v>1893</v>
      </c>
      <c r="C163" s="1989" t="s">
        <v>2536</v>
      </c>
      <c r="D163" s="2275"/>
      <c r="E163" s="2324" t="s">
        <v>2193</v>
      </c>
      <c r="F163" s="1559"/>
      <c r="G163" s="1784"/>
    </row>
    <row r="164" spans="1:7" ht="15" customHeight="1" x14ac:dyDescent="0.2">
      <c r="A164" s="2392"/>
      <c r="B164" s="2389"/>
      <c r="C164" s="1628" t="s">
        <v>1793</v>
      </c>
      <c r="D164" s="2203">
        <v>1</v>
      </c>
      <c r="E164" s="2393"/>
      <c r="F164" s="1559" t="s">
        <v>2389</v>
      </c>
      <c r="G164" s="1784"/>
    </row>
    <row r="165" spans="1:7" ht="15" customHeight="1" x14ac:dyDescent="0.2">
      <c r="A165" s="2392"/>
      <c r="B165" s="2389"/>
      <c r="C165" s="1987" t="s">
        <v>2013</v>
      </c>
      <c r="D165" s="2203">
        <v>0</v>
      </c>
      <c r="E165" s="2393"/>
      <c r="F165" s="1559"/>
      <c r="G165" s="1784"/>
    </row>
    <row r="166" spans="1:7" ht="15" customHeight="1" x14ac:dyDescent="0.2">
      <c r="A166" s="2392"/>
      <c r="B166" s="2389"/>
      <c r="C166" s="1987" t="s">
        <v>2014</v>
      </c>
      <c r="D166" s="2203">
        <v>0</v>
      </c>
      <c r="E166" s="2393"/>
      <c r="F166" s="1559"/>
      <c r="G166" s="1784"/>
    </row>
    <row r="167" spans="1:7" ht="15" customHeight="1" x14ac:dyDescent="0.2">
      <c r="A167" s="2392"/>
      <c r="B167" s="2389"/>
      <c r="C167" s="1987" t="s">
        <v>2015</v>
      </c>
      <c r="D167" s="2203">
        <v>0</v>
      </c>
      <c r="E167" s="2393"/>
      <c r="F167" s="1559"/>
      <c r="G167" s="1784"/>
    </row>
    <row r="168" spans="1:7" ht="15" customHeight="1" thickBot="1" x14ac:dyDescent="0.25">
      <c r="A168" s="2392"/>
      <c r="B168" s="2389"/>
      <c r="C168" s="1783" t="s">
        <v>2016</v>
      </c>
      <c r="D168" s="2203">
        <v>0</v>
      </c>
      <c r="E168" s="2393"/>
      <c r="F168" s="1559"/>
      <c r="G168" s="1784"/>
    </row>
    <row r="169" spans="1:7" ht="41.25" customHeight="1" thickBot="1" x14ac:dyDescent="0.25">
      <c r="A169" s="613" t="s">
        <v>429</v>
      </c>
      <c r="B169" s="1446" t="s">
        <v>1228</v>
      </c>
      <c r="C169" s="161" t="s">
        <v>1894</v>
      </c>
      <c r="D169" s="2234">
        <v>0</v>
      </c>
      <c r="E169" s="103" t="s">
        <v>1934</v>
      </c>
      <c r="F169" s="1559" t="s">
        <v>2390</v>
      </c>
      <c r="G169" s="1784"/>
    </row>
    <row r="170" spans="1:7" ht="30" customHeight="1" thickBot="1" x14ac:dyDescent="0.25">
      <c r="A170" s="2365" t="s">
        <v>430</v>
      </c>
      <c r="B170" s="2384" t="s">
        <v>1919</v>
      </c>
      <c r="C170" s="1077" t="s">
        <v>1229</v>
      </c>
      <c r="D170" s="2275"/>
      <c r="E170" s="2396" t="s">
        <v>2753</v>
      </c>
      <c r="F170" s="1559"/>
      <c r="G170" s="1784"/>
    </row>
    <row r="171" spans="1:7" ht="15" customHeight="1" x14ac:dyDescent="0.2">
      <c r="A171" s="2365"/>
      <c r="B171" s="2389"/>
      <c r="C171" s="1548" t="s">
        <v>1889</v>
      </c>
      <c r="D171" s="2279">
        <v>0</v>
      </c>
      <c r="E171" s="2393"/>
      <c r="F171" s="1559" t="s">
        <v>2391</v>
      </c>
      <c r="G171" s="1784"/>
    </row>
    <row r="172" spans="1:7" ht="15" customHeight="1" x14ac:dyDescent="0.2">
      <c r="A172" s="2365"/>
      <c r="B172" s="2389"/>
      <c r="C172" s="579" t="s">
        <v>2616</v>
      </c>
      <c r="D172" s="2279">
        <v>0</v>
      </c>
      <c r="E172" s="2393"/>
      <c r="F172" s="1559" t="s">
        <v>2392</v>
      </c>
      <c r="G172" s="1784"/>
    </row>
    <row r="173" spans="1:7" ht="15" customHeight="1" x14ac:dyDescent="0.2">
      <c r="A173" s="2365"/>
      <c r="B173" s="2389"/>
      <c r="C173" s="579" t="s">
        <v>1121</v>
      </c>
      <c r="D173" s="2279">
        <v>0</v>
      </c>
      <c r="E173" s="2393"/>
      <c r="F173" s="1559"/>
      <c r="G173" s="1784"/>
    </row>
    <row r="174" spans="1:7" ht="15" customHeight="1" x14ac:dyDescent="0.2">
      <c r="A174" s="2365"/>
      <c r="B174" s="2389"/>
      <c r="C174" s="579" t="s">
        <v>1122</v>
      </c>
      <c r="D174" s="2279">
        <v>0</v>
      </c>
      <c r="E174" s="2393"/>
      <c r="F174" s="1559"/>
      <c r="G174" s="1784"/>
    </row>
    <row r="175" spans="1:7" ht="15" customHeight="1" x14ac:dyDescent="0.2">
      <c r="A175" s="2365"/>
      <c r="B175" s="2389"/>
      <c r="C175" s="579" t="s">
        <v>1123</v>
      </c>
      <c r="D175" s="2279">
        <v>0</v>
      </c>
      <c r="E175" s="2393"/>
      <c r="F175" s="1559"/>
      <c r="G175" s="1784"/>
    </row>
    <row r="176" spans="1:7" ht="15" customHeight="1" thickBot="1" x14ac:dyDescent="0.25">
      <c r="A176" s="2365"/>
      <c r="B176" s="2389"/>
      <c r="C176" s="1549" t="s">
        <v>1230</v>
      </c>
      <c r="D176" s="2279">
        <v>0</v>
      </c>
      <c r="E176" s="2393"/>
      <c r="F176" s="1559" t="s">
        <v>2393</v>
      </c>
      <c r="G176" s="1784"/>
    </row>
    <row r="177" spans="1:120" ht="30" customHeight="1" thickBot="1" x14ac:dyDescent="0.25">
      <c r="A177" s="2366" t="s">
        <v>463</v>
      </c>
      <c r="B177" s="2383" t="s">
        <v>1265</v>
      </c>
      <c r="C177" s="464" t="s">
        <v>1266</v>
      </c>
      <c r="D177" s="2275"/>
      <c r="E177" s="2394" t="s">
        <v>1920</v>
      </c>
      <c r="F177" s="1559"/>
      <c r="G177" s="1784"/>
    </row>
    <row r="178" spans="1:120" ht="15" customHeight="1" x14ac:dyDescent="0.2">
      <c r="A178" s="2365"/>
      <c r="B178" s="2361"/>
      <c r="C178" s="1550" t="s">
        <v>2684</v>
      </c>
      <c r="D178" s="2279">
        <v>0</v>
      </c>
      <c r="E178" s="2393"/>
      <c r="F178" s="1559"/>
      <c r="G178" s="1784"/>
    </row>
    <row r="179" spans="1:120" ht="15" customHeight="1" x14ac:dyDescent="0.2">
      <c r="A179" s="2365"/>
      <c r="B179" s="2361"/>
      <c r="C179" s="1555" t="s">
        <v>2685</v>
      </c>
      <c r="D179" s="2279">
        <v>0</v>
      </c>
      <c r="E179" s="2393"/>
      <c r="F179" s="1559"/>
      <c r="G179" s="1784"/>
    </row>
    <row r="180" spans="1:120" ht="15" customHeight="1" x14ac:dyDescent="0.2">
      <c r="A180" s="2365"/>
      <c r="B180" s="2361"/>
      <c r="C180" s="1555" t="s">
        <v>2686</v>
      </c>
      <c r="D180" s="2279">
        <v>0</v>
      </c>
      <c r="E180" s="2393"/>
      <c r="F180" s="1559"/>
      <c r="G180" s="1784"/>
    </row>
    <row r="181" spans="1:120" ht="15" customHeight="1" x14ac:dyDescent="0.2">
      <c r="A181" s="2365"/>
      <c r="B181" s="2361"/>
      <c r="C181" s="1555" t="s">
        <v>2687</v>
      </c>
      <c r="D181" s="2279">
        <v>0</v>
      </c>
      <c r="E181" s="2393"/>
      <c r="F181" s="1559"/>
      <c r="G181" s="1784"/>
    </row>
    <row r="182" spans="1:120" ht="15" customHeight="1" x14ac:dyDescent="0.2">
      <c r="A182" s="2365"/>
      <c r="B182" s="2361"/>
      <c r="C182" s="1555" t="s">
        <v>2633</v>
      </c>
      <c r="D182" s="2279">
        <v>0</v>
      </c>
      <c r="E182" s="2393"/>
      <c r="F182" s="1559"/>
      <c r="G182" s="1784"/>
    </row>
    <row r="183" spans="1:120" ht="15" customHeight="1" thickBot="1" x14ac:dyDescent="0.25">
      <c r="A183" s="2367"/>
      <c r="B183" s="2378"/>
      <c r="C183" s="1243" t="s">
        <v>2537</v>
      </c>
      <c r="D183" s="2279">
        <v>1</v>
      </c>
      <c r="E183" s="2395"/>
      <c r="F183" s="1559"/>
      <c r="G183" s="1784"/>
    </row>
    <row r="184" spans="1:120" ht="30" customHeight="1" thickBot="1" x14ac:dyDescent="0.25">
      <c r="A184" s="2369" t="s">
        <v>464</v>
      </c>
      <c r="B184" s="2374" t="s">
        <v>956</v>
      </c>
      <c r="C184" s="1969" t="s">
        <v>2288</v>
      </c>
      <c r="D184" s="2275"/>
      <c r="E184" s="2396" t="s">
        <v>1921</v>
      </c>
      <c r="F184" s="1559"/>
      <c r="G184" s="1784"/>
    </row>
    <row r="185" spans="1:120" ht="15" customHeight="1" x14ac:dyDescent="0.2">
      <c r="A185" s="2390"/>
      <c r="B185" s="2361"/>
      <c r="C185" s="1550" t="s">
        <v>2017</v>
      </c>
      <c r="D185" s="2280">
        <v>0</v>
      </c>
      <c r="E185" s="2393"/>
      <c r="F185" s="1559"/>
      <c r="G185" s="1784"/>
    </row>
    <row r="186" spans="1:120" ht="15" customHeight="1" x14ac:dyDescent="0.2">
      <c r="A186" s="2390"/>
      <c r="B186" s="2361"/>
      <c r="C186" s="1555" t="s">
        <v>2018</v>
      </c>
      <c r="D186" s="2280">
        <v>1</v>
      </c>
      <c r="E186" s="2393"/>
      <c r="F186" s="1559"/>
      <c r="G186" s="1784"/>
    </row>
    <row r="187" spans="1:120" ht="15" customHeight="1" x14ac:dyDescent="0.2">
      <c r="A187" s="2390"/>
      <c r="B187" s="2361"/>
      <c r="C187" s="1555" t="s">
        <v>2019</v>
      </c>
      <c r="D187" s="2280">
        <v>0</v>
      </c>
      <c r="E187" s="2393"/>
      <c r="F187" s="1559"/>
      <c r="G187" s="1784"/>
    </row>
    <row r="188" spans="1:120" ht="15" customHeight="1" x14ac:dyDescent="0.2">
      <c r="A188" s="2390"/>
      <c r="B188" s="2361"/>
      <c r="C188" s="1555" t="s">
        <v>2020</v>
      </c>
      <c r="D188" s="2280">
        <v>0</v>
      </c>
      <c r="E188" s="2393"/>
      <c r="F188" s="1559"/>
      <c r="G188" s="1784"/>
    </row>
    <row r="189" spans="1:120" ht="15" customHeight="1" thickBot="1" x14ac:dyDescent="0.25">
      <c r="A189" s="2390"/>
      <c r="B189" s="2361"/>
      <c r="C189" s="1551" t="s">
        <v>2021</v>
      </c>
      <c r="D189" s="2280">
        <v>0</v>
      </c>
      <c r="E189" s="2393"/>
      <c r="F189" s="1559"/>
      <c r="G189" s="1784"/>
    </row>
    <row r="190" spans="1:120" ht="27.75" customHeight="1" thickBot="1" x14ac:dyDescent="0.25">
      <c r="A190" s="2366" t="s">
        <v>431</v>
      </c>
      <c r="B190" s="2383" t="s">
        <v>1231</v>
      </c>
      <c r="C190" s="613" t="s">
        <v>1232</v>
      </c>
      <c r="D190" s="2275"/>
      <c r="E190" s="2394" t="s">
        <v>2289</v>
      </c>
      <c r="F190" s="1559"/>
      <c r="G190" s="1784"/>
    </row>
    <row r="191" spans="1:120" ht="15" customHeight="1" x14ac:dyDescent="0.2">
      <c r="A191" s="2365"/>
      <c r="B191" s="2361"/>
      <c r="C191" s="1550" t="s">
        <v>2538</v>
      </c>
      <c r="D191" s="2280">
        <v>0</v>
      </c>
      <c r="E191" s="2393"/>
      <c r="F191" s="1559" t="s">
        <v>2394</v>
      </c>
      <c r="G191" s="1784"/>
    </row>
    <row r="192" spans="1:120" s="11" customFormat="1" ht="15" customHeight="1" x14ac:dyDescent="0.2">
      <c r="A192" s="2365"/>
      <c r="B192" s="2361"/>
      <c r="C192" s="1555" t="s">
        <v>2022</v>
      </c>
      <c r="D192" s="2280">
        <v>0</v>
      </c>
      <c r="E192" s="2393"/>
      <c r="F192" s="1561"/>
      <c r="G192" s="1561"/>
      <c r="H192" s="1143"/>
      <c r="I192" s="1143"/>
      <c r="J192" s="1143"/>
      <c r="K192" s="1143"/>
      <c r="L192" s="1143"/>
      <c r="M192" s="1143"/>
      <c r="N192" s="1143"/>
      <c r="O192" s="1143"/>
      <c r="P192" s="1143"/>
      <c r="Q192" s="1143"/>
      <c r="R192" s="1143"/>
      <c r="S192" s="1143"/>
      <c r="T192" s="1143"/>
      <c r="U192" s="1143"/>
      <c r="V192" s="1143"/>
      <c r="W192" s="1143"/>
      <c r="X192" s="1143"/>
      <c r="Y192" s="1143"/>
      <c r="Z192" s="1143"/>
      <c r="AA192" s="1143"/>
      <c r="AB192" s="1143"/>
      <c r="AC192" s="1143"/>
      <c r="AD192" s="1143"/>
      <c r="AE192" s="1143"/>
      <c r="AF192" s="1143"/>
      <c r="AG192" s="1143"/>
      <c r="AH192" s="1143"/>
      <c r="AI192" s="1143"/>
      <c r="AJ192" s="1143"/>
      <c r="AK192" s="1143"/>
      <c r="AL192" s="1143"/>
      <c r="AM192" s="1143"/>
      <c r="AN192" s="1143"/>
      <c r="AO192" s="1143"/>
      <c r="AP192" s="1143"/>
      <c r="AQ192" s="1143"/>
      <c r="AR192" s="1143"/>
      <c r="AS192" s="1143"/>
      <c r="AT192" s="1143"/>
      <c r="AU192" s="1143"/>
      <c r="AV192" s="1143"/>
      <c r="AW192" s="1143"/>
      <c r="AX192" s="1143"/>
      <c r="AY192" s="1143"/>
      <c r="AZ192" s="1143"/>
      <c r="BA192" s="1143"/>
      <c r="BB192" s="1143"/>
      <c r="BC192" s="1143"/>
      <c r="BD192" s="1143"/>
      <c r="BE192" s="1143"/>
      <c r="BF192" s="1143"/>
      <c r="BG192" s="1143"/>
      <c r="BH192" s="1143"/>
      <c r="BI192" s="1143"/>
      <c r="BJ192" s="1143"/>
      <c r="BK192" s="1143"/>
      <c r="BL192" s="1143"/>
      <c r="BM192" s="1143"/>
      <c r="BN192" s="1143"/>
      <c r="BO192" s="1143"/>
      <c r="BP192" s="1143"/>
      <c r="BQ192" s="1143"/>
      <c r="BR192" s="1143"/>
      <c r="BS192" s="1143"/>
      <c r="BT192" s="1143"/>
      <c r="BU192" s="1143"/>
      <c r="BV192" s="1143"/>
      <c r="BW192" s="1143"/>
      <c r="BX192" s="1143"/>
      <c r="BY192" s="1143"/>
      <c r="BZ192" s="1143"/>
      <c r="CA192" s="1143"/>
      <c r="CB192" s="1143"/>
      <c r="CC192" s="1143"/>
      <c r="CD192" s="1143"/>
      <c r="CE192" s="1143"/>
      <c r="CF192" s="1143"/>
      <c r="CG192" s="1143"/>
      <c r="CH192" s="1143"/>
      <c r="CI192" s="1143"/>
      <c r="CJ192" s="1143"/>
      <c r="CK192" s="1143"/>
      <c r="CL192" s="1143"/>
      <c r="CM192" s="1143"/>
      <c r="CN192" s="1143"/>
      <c r="CO192" s="1143"/>
      <c r="CP192" s="1143"/>
      <c r="CQ192" s="1143"/>
      <c r="CR192" s="1143"/>
      <c r="CS192" s="1143"/>
      <c r="CT192" s="1143"/>
      <c r="CU192" s="1143"/>
      <c r="CV192" s="1143"/>
      <c r="CW192" s="1143"/>
      <c r="CX192" s="1143"/>
      <c r="CY192" s="1143"/>
      <c r="CZ192" s="1143"/>
      <c r="DA192" s="1143"/>
      <c r="DB192" s="1143"/>
      <c r="DC192" s="1143"/>
      <c r="DD192" s="1143"/>
      <c r="DE192" s="1143"/>
      <c r="DF192" s="1143"/>
      <c r="DG192" s="1143"/>
      <c r="DH192" s="1143"/>
      <c r="DI192" s="1143"/>
      <c r="DJ192" s="1143"/>
      <c r="DK192" s="1143"/>
      <c r="DL192" s="1143"/>
      <c r="DM192" s="1143"/>
      <c r="DN192" s="1143"/>
      <c r="DO192" s="1143"/>
      <c r="DP192" s="1143"/>
    </row>
    <row r="193" spans="1:120" s="11" customFormat="1" ht="15" customHeight="1" x14ac:dyDescent="0.2">
      <c r="A193" s="2365"/>
      <c r="B193" s="2361"/>
      <c r="C193" s="1555" t="s">
        <v>2023</v>
      </c>
      <c r="D193" s="2280">
        <v>1</v>
      </c>
      <c r="E193" s="2393"/>
      <c r="F193" s="1562"/>
      <c r="G193" s="1785"/>
      <c r="H193" s="1123"/>
      <c r="I193" s="1123"/>
      <c r="J193" s="1123"/>
      <c r="K193" s="1123"/>
      <c r="L193" s="1123"/>
      <c r="M193" s="1123"/>
      <c r="N193" s="1123"/>
      <c r="O193" s="1123"/>
      <c r="P193" s="1123"/>
      <c r="Q193" s="1123"/>
      <c r="R193" s="1123"/>
      <c r="S193" s="1123"/>
      <c r="T193" s="1123"/>
      <c r="U193" s="1123"/>
      <c r="V193" s="1123"/>
      <c r="W193" s="1123"/>
      <c r="X193" s="1123"/>
      <c r="Y193" s="1123"/>
      <c r="Z193" s="1123"/>
      <c r="AA193" s="1123"/>
      <c r="AB193" s="1123"/>
      <c r="AC193" s="1123"/>
      <c r="AD193" s="1123"/>
      <c r="AE193" s="1123"/>
      <c r="AF193" s="1123"/>
      <c r="AG193" s="1123"/>
      <c r="AH193" s="1123"/>
      <c r="AI193" s="1123"/>
      <c r="AJ193" s="1123"/>
      <c r="AK193" s="1123"/>
      <c r="AL193" s="1123"/>
      <c r="AM193" s="1123"/>
      <c r="AN193" s="1123"/>
      <c r="AO193" s="1123"/>
      <c r="AP193" s="1123"/>
      <c r="AQ193" s="1123"/>
      <c r="AR193" s="1123"/>
      <c r="AS193" s="1123"/>
      <c r="AT193" s="1123"/>
      <c r="AU193" s="1123"/>
      <c r="AV193" s="1123"/>
      <c r="AW193" s="1123"/>
      <c r="AX193" s="1123"/>
      <c r="AY193" s="1123"/>
      <c r="AZ193" s="1123"/>
      <c r="BA193" s="1123"/>
      <c r="BB193" s="1123"/>
      <c r="BC193" s="1123"/>
      <c r="BD193" s="1123"/>
      <c r="BE193" s="1123"/>
      <c r="BF193" s="1123"/>
      <c r="BG193" s="1123"/>
      <c r="BH193" s="1123"/>
      <c r="BI193" s="1123"/>
      <c r="BJ193" s="1123"/>
      <c r="BK193" s="1123"/>
      <c r="BL193" s="1123"/>
      <c r="BM193" s="1123"/>
      <c r="BN193" s="1123"/>
      <c r="BO193" s="1123"/>
      <c r="BP193" s="1123"/>
      <c r="BQ193" s="1123"/>
      <c r="BR193" s="1123"/>
      <c r="BS193" s="1123"/>
      <c r="BT193" s="1123"/>
      <c r="BU193" s="1123"/>
      <c r="BV193" s="1123"/>
      <c r="BW193" s="1123"/>
      <c r="BX193" s="1123"/>
      <c r="BY193" s="1123"/>
      <c r="BZ193" s="1123"/>
      <c r="CA193" s="1123"/>
      <c r="CB193" s="1123"/>
      <c r="CC193" s="1123"/>
      <c r="CD193" s="1123"/>
      <c r="CE193" s="1123"/>
      <c r="CF193" s="1123"/>
      <c r="CG193" s="1123"/>
      <c r="CH193" s="1123"/>
      <c r="CI193" s="1123"/>
      <c r="CJ193" s="1123"/>
      <c r="CK193" s="1123"/>
      <c r="CL193" s="1123"/>
      <c r="CM193" s="1123"/>
      <c r="CN193" s="1123"/>
      <c r="CO193" s="1123"/>
      <c r="CP193" s="1123"/>
      <c r="CQ193" s="1123"/>
      <c r="CR193" s="1123"/>
      <c r="CS193" s="1123"/>
      <c r="CT193" s="1123"/>
      <c r="CU193" s="1123"/>
      <c r="CV193" s="1123"/>
      <c r="CW193" s="1123"/>
      <c r="CX193" s="1123"/>
      <c r="CY193" s="1123"/>
      <c r="CZ193" s="1123"/>
      <c r="DA193" s="1123"/>
      <c r="DB193" s="1123"/>
      <c r="DC193" s="1123"/>
      <c r="DD193" s="1123"/>
      <c r="DE193" s="1123"/>
      <c r="DF193" s="1123"/>
      <c r="DG193" s="1123"/>
      <c r="DH193" s="1123"/>
      <c r="DI193" s="1123"/>
      <c r="DJ193" s="1124"/>
      <c r="DK193" s="1123"/>
      <c r="DL193" s="1123"/>
      <c r="DM193" s="1123"/>
      <c r="DN193" s="1123"/>
      <c r="DO193" s="1123"/>
      <c r="DP193" s="1123"/>
    </row>
    <row r="194" spans="1:120" s="11" customFormat="1" ht="15" customHeight="1" thickBot="1" x14ac:dyDescent="0.25">
      <c r="A194" s="2367"/>
      <c r="B194" s="2378"/>
      <c r="C194" s="1243" t="s">
        <v>2024</v>
      </c>
      <c r="D194" s="2280">
        <v>0</v>
      </c>
      <c r="E194" s="2395"/>
      <c r="F194" s="1562"/>
      <c r="G194" s="1785"/>
      <c r="H194" s="1123"/>
      <c r="I194" s="1123"/>
      <c r="J194" s="1123"/>
      <c r="K194" s="1123"/>
      <c r="L194" s="1123"/>
      <c r="M194" s="1123"/>
      <c r="N194" s="1123"/>
      <c r="O194" s="1123"/>
      <c r="P194" s="1123"/>
      <c r="Q194" s="1123"/>
      <c r="R194" s="1123"/>
      <c r="S194" s="1123"/>
      <c r="T194" s="1123"/>
      <c r="U194" s="1123"/>
      <c r="V194" s="1123"/>
      <c r="W194" s="1123"/>
      <c r="X194" s="1123"/>
      <c r="Y194" s="1123"/>
      <c r="Z194" s="1123"/>
      <c r="AA194" s="1123"/>
      <c r="AB194" s="1123"/>
      <c r="AC194" s="1123"/>
      <c r="AD194" s="1123"/>
      <c r="AE194" s="1123"/>
      <c r="AF194" s="1123"/>
      <c r="AG194" s="1123"/>
      <c r="AH194" s="1123"/>
      <c r="AI194" s="1123"/>
      <c r="AJ194" s="1123"/>
      <c r="AK194" s="1123"/>
      <c r="AL194" s="1123"/>
      <c r="AM194" s="1123"/>
      <c r="AN194" s="1123"/>
      <c r="AO194" s="1123"/>
      <c r="AP194" s="1123"/>
      <c r="AQ194" s="1123"/>
      <c r="AR194" s="1123"/>
      <c r="AS194" s="1123"/>
      <c r="AT194" s="1123"/>
      <c r="AU194" s="1123"/>
      <c r="AV194" s="1123"/>
      <c r="AW194" s="1123"/>
      <c r="AX194" s="1123"/>
      <c r="AY194" s="1123"/>
      <c r="AZ194" s="1123"/>
      <c r="BA194" s="1123"/>
      <c r="BB194" s="1123"/>
      <c r="BC194" s="1123"/>
      <c r="BD194" s="1123"/>
      <c r="BE194" s="1123"/>
      <c r="BF194" s="1123"/>
      <c r="BG194" s="1123"/>
      <c r="BH194" s="1123"/>
      <c r="BI194" s="1123"/>
      <c r="BJ194" s="1123"/>
      <c r="BK194" s="1123"/>
      <c r="BL194" s="1123"/>
      <c r="BM194" s="1123"/>
      <c r="BN194" s="1123"/>
      <c r="BO194" s="1123"/>
      <c r="BP194" s="1123"/>
      <c r="BQ194" s="1123"/>
      <c r="BR194" s="1123"/>
      <c r="BS194" s="1123"/>
      <c r="BT194" s="1123"/>
      <c r="BU194" s="1123"/>
      <c r="BV194" s="1123"/>
      <c r="BW194" s="1123"/>
      <c r="BX194" s="1123"/>
      <c r="BY194" s="1123"/>
      <c r="BZ194" s="1123"/>
      <c r="CA194" s="1123"/>
      <c r="CB194" s="1123"/>
      <c r="CC194" s="1123"/>
      <c r="CD194" s="1123"/>
      <c r="CE194" s="1123"/>
      <c r="CF194" s="1123"/>
      <c r="CG194" s="1123"/>
      <c r="CH194" s="1123"/>
      <c r="CI194" s="1123"/>
      <c r="CJ194" s="1123"/>
      <c r="CK194" s="1123"/>
      <c r="CL194" s="1123"/>
      <c r="CM194" s="1123"/>
      <c r="CN194" s="1123"/>
      <c r="CO194" s="1123"/>
      <c r="CP194" s="1123"/>
      <c r="CQ194" s="1123"/>
      <c r="CR194" s="1123"/>
      <c r="CS194" s="1123"/>
      <c r="CT194" s="1123"/>
      <c r="CU194" s="1123"/>
      <c r="CV194" s="1123"/>
      <c r="CW194" s="1123"/>
      <c r="CX194" s="1123"/>
      <c r="CY194" s="1123"/>
      <c r="CZ194" s="1123"/>
      <c r="DA194" s="1123"/>
      <c r="DB194" s="1123"/>
      <c r="DC194" s="1123"/>
      <c r="DD194" s="1123"/>
      <c r="DE194" s="1123"/>
      <c r="DF194" s="1123"/>
      <c r="DG194" s="1123"/>
      <c r="DH194" s="1123"/>
      <c r="DI194" s="1123"/>
      <c r="DJ194" s="1124"/>
      <c r="DK194" s="1123"/>
      <c r="DL194" s="1123"/>
      <c r="DM194" s="1123"/>
      <c r="DN194" s="1123"/>
      <c r="DO194" s="1123"/>
      <c r="DP194" s="1123"/>
    </row>
    <row r="195" spans="1:120" s="11" customFormat="1" ht="28.5" customHeight="1" thickBot="1" x14ac:dyDescent="0.25">
      <c r="A195" s="2369" t="s">
        <v>432</v>
      </c>
      <c r="B195" s="2374" t="s">
        <v>2290</v>
      </c>
      <c r="C195" s="1969" t="s">
        <v>2539</v>
      </c>
      <c r="D195" s="2275"/>
      <c r="E195" s="2396" t="s">
        <v>1922</v>
      </c>
      <c r="F195" s="1562"/>
      <c r="G195" s="1784"/>
      <c r="H195" s="1123"/>
      <c r="I195" s="1123"/>
      <c r="J195" s="1123"/>
      <c r="K195" s="1123"/>
      <c r="L195" s="1123"/>
      <c r="M195" s="1123"/>
      <c r="N195" s="1123"/>
      <c r="O195" s="1123"/>
      <c r="P195" s="1123"/>
      <c r="Q195" s="1123"/>
      <c r="R195" s="1123"/>
      <c r="S195" s="1123"/>
      <c r="T195" s="1123"/>
      <c r="U195" s="1123"/>
      <c r="V195" s="1123"/>
      <c r="W195" s="1123"/>
      <c r="X195" s="1123"/>
      <c r="Y195" s="1123"/>
      <c r="Z195" s="1123"/>
      <c r="AA195" s="1123"/>
      <c r="AB195" s="1123"/>
      <c r="AC195" s="1123"/>
      <c r="AD195" s="1123"/>
      <c r="AE195" s="1123"/>
      <c r="AF195" s="1123"/>
      <c r="AG195" s="1123"/>
      <c r="AH195" s="1123"/>
      <c r="AI195" s="1123"/>
      <c r="AJ195" s="1123"/>
      <c r="AK195" s="1123"/>
      <c r="AL195" s="1123"/>
      <c r="AM195" s="1123"/>
      <c r="AN195" s="1123"/>
      <c r="AO195" s="1123"/>
      <c r="AP195" s="1123"/>
      <c r="AQ195" s="1123"/>
      <c r="AR195" s="1123"/>
      <c r="AS195" s="1123"/>
      <c r="AT195" s="1123"/>
      <c r="AU195" s="1123"/>
      <c r="AV195" s="1123"/>
      <c r="AW195" s="1123"/>
      <c r="AX195" s="1123"/>
      <c r="AY195" s="1123"/>
      <c r="AZ195" s="1123"/>
      <c r="BA195" s="1123"/>
      <c r="BB195" s="1123"/>
      <c r="BC195" s="1123"/>
      <c r="BD195" s="1123"/>
      <c r="BE195" s="1123"/>
      <c r="BF195" s="1123"/>
      <c r="BG195" s="1123"/>
      <c r="BH195" s="1123"/>
      <c r="BI195" s="1123"/>
      <c r="BJ195" s="1123"/>
      <c r="BK195" s="1123"/>
      <c r="BL195" s="1123"/>
      <c r="BM195" s="1123"/>
      <c r="BN195" s="1123"/>
      <c r="BO195" s="1123"/>
      <c r="BP195" s="1123"/>
      <c r="BQ195" s="1123"/>
      <c r="BR195" s="1123"/>
      <c r="BS195" s="1123"/>
      <c r="BT195" s="1123"/>
      <c r="BU195" s="1123"/>
      <c r="BV195" s="1123"/>
      <c r="BW195" s="1123"/>
      <c r="BX195" s="1123"/>
      <c r="BY195" s="1123"/>
      <c r="BZ195" s="1123"/>
      <c r="CA195" s="1123"/>
      <c r="CB195" s="1123"/>
      <c r="CC195" s="1123"/>
      <c r="CD195" s="1123"/>
      <c r="CE195" s="1123"/>
      <c r="CF195" s="1123"/>
      <c r="CG195" s="1123"/>
      <c r="CH195" s="1123"/>
      <c r="CI195" s="1123"/>
      <c r="CJ195" s="1123"/>
      <c r="CK195" s="1123"/>
      <c r="CL195" s="1123"/>
      <c r="CM195" s="1123"/>
      <c r="CN195" s="1123"/>
      <c r="CO195" s="1123"/>
      <c r="CP195" s="1123"/>
      <c r="CQ195" s="1123"/>
      <c r="CR195" s="1123"/>
      <c r="CS195" s="1123"/>
      <c r="CT195" s="1123"/>
      <c r="CU195" s="1123"/>
      <c r="CV195" s="1123"/>
      <c r="CW195" s="1123"/>
      <c r="CX195" s="1123"/>
      <c r="CY195" s="1123"/>
      <c r="CZ195" s="1123"/>
      <c r="DA195" s="1123"/>
      <c r="DB195" s="1123"/>
      <c r="DC195" s="1123"/>
      <c r="DD195" s="1123"/>
      <c r="DE195" s="1123"/>
      <c r="DF195" s="1123"/>
      <c r="DG195" s="1123"/>
      <c r="DH195" s="1123"/>
      <c r="DI195" s="1123"/>
      <c r="DJ195" s="1124"/>
      <c r="DK195" s="1123"/>
      <c r="DL195" s="1123"/>
      <c r="DM195" s="1123"/>
      <c r="DN195" s="1123"/>
      <c r="DO195" s="1123"/>
      <c r="DP195" s="1123"/>
    </row>
    <row r="196" spans="1:120" s="11" customFormat="1" ht="15" customHeight="1" x14ac:dyDescent="0.2">
      <c r="A196" s="2369"/>
      <c r="B196" s="2393"/>
      <c r="C196" s="1550" t="s">
        <v>1432</v>
      </c>
      <c r="D196" s="2279">
        <v>0</v>
      </c>
      <c r="E196" s="2393"/>
      <c r="F196" s="1562"/>
      <c r="G196" s="1785"/>
      <c r="H196" s="1123"/>
      <c r="I196" s="1123"/>
      <c r="J196" s="1123"/>
      <c r="K196" s="1123"/>
      <c r="L196" s="1123"/>
      <c r="M196" s="1123"/>
      <c r="N196" s="1123"/>
      <c r="O196" s="1123"/>
      <c r="P196" s="1123"/>
      <c r="Q196" s="1123"/>
      <c r="R196" s="1123"/>
      <c r="S196" s="1123"/>
      <c r="T196" s="1123"/>
      <c r="U196" s="1123"/>
      <c r="V196" s="1123"/>
      <c r="W196" s="1123"/>
      <c r="X196" s="1123"/>
      <c r="Y196" s="1123"/>
      <c r="Z196" s="1123"/>
      <c r="AA196" s="1123"/>
      <c r="AB196" s="1123"/>
      <c r="AC196" s="1123"/>
      <c r="AD196" s="1123"/>
      <c r="AE196" s="1123"/>
      <c r="AF196" s="1123"/>
      <c r="AG196" s="1123"/>
      <c r="AH196" s="1123"/>
      <c r="AI196" s="1123"/>
      <c r="AJ196" s="1123"/>
      <c r="AK196" s="1123"/>
      <c r="AL196" s="1123"/>
      <c r="AM196" s="1123"/>
      <c r="AN196" s="1123"/>
      <c r="AO196" s="1123"/>
      <c r="AP196" s="1123"/>
      <c r="AQ196" s="1123"/>
      <c r="AR196" s="1123"/>
      <c r="AS196" s="1123"/>
      <c r="AT196" s="1123"/>
      <c r="AU196" s="1123"/>
      <c r="AV196" s="1123"/>
      <c r="AW196" s="1123"/>
      <c r="AX196" s="1123"/>
      <c r="AY196" s="1123"/>
      <c r="AZ196" s="1123"/>
      <c r="BA196" s="1123"/>
      <c r="BB196" s="1123"/>
      <c r="BC196" s="1123"/>
      <c r="BD196" s="1123"/>
      <c r="BE196" s="1123"/>
      <c r="BF196" s="1123"/>
      <c r="BG196" s="1123"/>
      <c r="BH196" s="1123"/>
      <c r="BI196" s="1123"/>
      <c r="BJ196" s="1123"/>
      <c r="BK196" s="1123"/>
      <c r="BL196" s="1123"/>
      <c r="BM196" s="1123"/>
      <c r="BN196" s="1123"/>
      <c r="BO196" s="1123"/>
      <c r="BP196" s="1123"/>
      <c r="BQ196" s="1123"/>
      <c r="BR196" s="1123"/>
      <c r="BS196" s="1123"/>
      <c r="BT196" s="1123"/>
      <c r="BU196" s="1123"/>
      <c r="BV196" s="1123"/>
      <c r="BW196" s="1123"/>
      <c r="BX196" s="1123"/>
      <c r="BY196" s="1123"/>
      <c r="BZ196" s="1123"/>
      <c r="CA196" s="1123"/>
      <c r="CB196" s="1123"/>
      <c r="CC196" s="1123"/>
      <c r="CD196" s="1123"/>
      <c r="CE196" s="1123"/>
      <c r="CF196" s="1123"/>
      <c r="CG196" s="1123"/>
      <c r="CH196" s="1123"/>
      <c r="CI196" s="1123"/>
      <c r="CJ196" s="1123"/>
      <c r="CK196" s="1123"/>
      <c r="CL196" s="1123"/>
      <c r="CM196" s="1123"/>
      <c r="CN196" s="1123"/>
      <c r="CO196" s="1123"/>
      <c r="CP196" s="1123"/>
      <c r="CQ196" s="1123"/>
      <c r="CR196" s="1123"/>
      <c r="CS196" s="1123"/>
      <c r="CT196" s="1123"/>
      <c r="CU196" s="1123"/>
      <c r="CV196" s="1123"/>
      <c r="CW196" s="1123"/>
      <c r="CX196" s="1123"/>
      <c r="CY196" s="1123"/>
      <c r="CZ196" s="1123"/>
      <c r="DA196" s="1123"/>
      <c r="DB196" s="1123"/>
      <c r="DC196" s="1123"/>
      <c r="DD196" s="1123"/>
      <c r="DE196" s="1123"/>
      <c r="DF196" s="1123"/>
      <c r="DG196" s="1123"/>
      <c r="DH196" s="1123"/>
      <c r="DI196" s="1123"/>
      <c r="DJ196" s="1124"/>
      <c r="DK196" s="1123"/>
      <c r="DL196" s="1123"/>
      <c r="DM196" s="1123"/>
      <c r="DN196" s="1123"/>
      <c r="DO196" s="1123"/>
      <c r="DP196" s="1123"/>
    </row>
    <row r="197" spans="1:120" ht="15" customHeight="1" x14ac:dyDescent="0.2">
      <c r="A197" s="2369"/>
      <c r="B197" s="2393"/>
      <c r="C197" s="1555" t="s">
        <v>1975</v>
      </c>
      <c r="D197" s="2279">
        <v>0</v>
      </c>
      <c r="E197" s="2393"/>
      <c r="F197" s="1559"/>
      <c r="G197" s="1784"/>
    </row>
    <row r="198" spans="1:120" ht="27" customHeight="1" thickBot="1" x14ac:dyDescent="0.25">
      <c r="A198" s="2369"/>
      <c r="B198" s="2393"/>
      <c r="C198" s="1551" t="s">
        <v>1267</v>
      </c>
      <c r="D198" s="2279">
        <v>1</v>
      </c>
      <c r="E198" s="2393"/>
      <c r="F198" s="1559"/>
      <c r="G198" s="1784"/>
    </row>
    <row r="199" spans="1:120" ht="33.75" customHeight="1" thickBot="1" x14ac:dyDescent="0.25">
      <c r="A199" s="613" t="s">
        <v>433</v>
      </c>
      <c r="B199" s="1137" t="s">
        <v>1233</v>
      </c>
      <c r="C199" s="464" t="s">
        <v>2348</v>
      </c>
      <c r="D199" s="2279">
        <v>1</v>
      </c>
      <c r="E199" s="103"/>
      <c r="F199" s="1559" t="s">
        <v>2349</v>
      </c>
      <c r="G199" s="1784"/>
    </row>
    <row r="200" spans="1:120" ht="30" customHeight="1" thickBot="1" x14ac:dyDescent="0.25">
      <c r="A200" s="2365" t="s">
        <v>29</v>
      </c>
      <c r="B200" s="2374" t="s">
        <v>954</v>
      </c>
      <c r="C200" s="613" t="s">
        <v>2291</v>
      </c>
      <c r="D200" s="2275"/>
      <c r="E200" s="2396" t="s">
        <v>1923</v>
      </c>
      <c r="F200" s="1559"/>
      <c r="G200" s="1784"/>
    </row>
    <row r="201" spans="1:120" ht="15" customHeight="1" x14ac:dyDescent="0.2">
      <c r="A201" s="2365"/>
      <c r="B201" s="2361"/>
      <c r="C201" s="1550" t="s">
        <v>2025</v>
      </c>
      <c r="D201" s="2279">
        <v>1</v>
      </c>
      <c r="E201" s="2393"/>
      <c r="F201" s="1559"/>
      <c r="G201" s="1784"/>
    </row>
    <row r="202" spans="1:120" ht="15" customHeight="1" x14ac:dyDescent="0.2">
      <c r="A202" s="2365"/>
      <c r="B202" s="2361"/>
      <c r="C202" s="1555" t="s">
        <v>1975</v>
      </c>
      <c r="D202" s="2279">
        <v>0</v>
      </c>
      <c r="E202" s="2393"/>
      <c r="F202" s="1559"/>
      <c r="G202" s="1784"/>
    </row>
    <row r="203" spans="1:120" ht="15" customHeight="1" thickBot="1" x14ac:dyDescent="0.25">
      <c r="A203" s="2365"/>
      <c r="B203" s="2361"/>
      <c r="C203" s="1551" t="s">
        <v>2026</v>
      </c>
      <c r="D203" s="2279">
        <v>0</v>
      </c>
      <c r="E203" s="2393"/>
      <c r="F203" s="1559"/>
      <c r="G203" s="1784"/>
    </row>
    <row r="204" spans="1:120" ht="45" customHeight="1" thickBot="1" x14ac:dyDescent="0.25">
      <c r="A204" s="613" t="s">
        <v>30</v>
      </c>
      <c r="B204" s="1137" t="s">
        <v>955</v>
      </c>
      <c r="C204" s="613" t="s">
        <v>2292</v>
      </c>
      <c r="D204" s="2279">
        <v>1</v>
      </c>
      <c r="E204" s="103" t="s">
        <v>1924</v>
      </c>
      <c r="F204" s="1559"/>
      <c r="G204" s="1784"/>
    </row>
    <row r="205" spans="1:120" ht="36" customHeight="1" thickBot="1" x14ac:dyDescent="0.25">
      <c r="A205" s="1968" t="s">
        <v>31</v>
      </c>
      <c r="B205" s="1972" t="s">
        <v>1268</v>
      </c>
      <c r="C205" s="1965" t="s">
        <v>1433</v>
      </c>
      <c r="D205" s="2279">
        <v>0</v>
      </c>
      <c r="E205" s="1976" t="s">
        <v>1925</v>
      </c>
      <c r="F205" s="1559"/>
      <c r="G205" s="1784"/>
    </row>
    <row r="206" spans="1:120" ht="60" customHeight="1" thickBot="1" x14ac:dyDescent="0.25">
      <c r="A206" s="2368" t="s">
        <v>32</v>
      </c>
      <c r="B206" s="2377" t="s">
        <v>1271</v>
      </c>
      <c r="C206" s="613" t="s">
        <v>2688</v>
      </c>
      <c r="D206" s="2281"/>
      <c r="E206" s="2326" t="s">
        <v>2605</v>
      </c>
      <c r="F206" s="1559"/>
      <c r="G206" s="1784"/>
    </row>
    <row r="207" spans="1:120" ht="15" customHeight="1" x14ac:dyDescent="0.2">
      <c r="A207" s="2390"/>
      <c r="B207" s="2361"/>
      <c r="C207" s="1550" t="s">
        <v>2712</v>
      </c>
      <c r="D207" s="2234">
        <v>0</v>
      </c>
      <c r="E207" s="2393"/>
      <c r="F207" s="1559"/>
      <c r="G207" s="1784"/>
    </row>
    <row r="208" spans="1:120" ht="15" customHeight="1" x14ac:dyDescent="0.2">
      <c r="A208" s="2390"/>
      <c r="B208" s="2361"/>
      <c r="C208" s="1555" t="s">
        <v>2713</v>
      </c>
      <c r="D208" s="2234">
        <v>1</v>
      </c>
      <c r="E208" s="2393"/>
      <c r="F208" s="1559"/>
      <c r="G208" s="1784"/>
    </row>
    <row r="209" spans="1:7" ht="15" customHeight="1" x14ac:dyDescent="0.2">
      <c r="A209" s="2390"/>
      <c r="B209" s="2361"/>
      <c r="C209" s="1555" t="s">
        <v>2714</v>
      </c>
      <c r="D209" s="2234">
        <v>0</v>
      </c>
      <c r="E209" s="2393"/>
      <c r="F209" s="1559"/>
      <c r="G209" s="1784"/>
    </row>
    <row r="210" spans="1:7" ht="27" customHeight="1" x14ac:dyDescent="0.2">
      <c r="A210" s="2390"/>
      <c r="B210" s="2361"/>
      <c r="C210" s="1555" t="s">
        <v>2715</v>
      </c>
      <c r="D210" s="2234">
        <v>0</v>
      </c>
      <c r="E210" s="2393"/>
      <c r="F210" s="1559" t="s">
        <v>2395</v>
      </c>
      <c r="G210" s="1784"/>
    </row>
    <row r="211" spans="1:7" ht="27" customHeight="1" thickBot="1" x14ac:dyDescent="0.25">
      <c r="A211" s="2391"/>
      <c r="B211" s="2378"/>
      <c r="C211" s="1243" t="s">
        <v>2716</v>
      </c>
      <c r="D211" s="2234">
        <v>0</v>
      </c>
      <c r="E211" s="2395"/>
      <c r="F211" s="1559" t="s">
        <v>2396</v>
      </c>
      <c r="G211" s="1784"/>
    </row>
    <row r="212" spans="1:7" ht="21" customHeight="1" thickBot="1" x14ac:dyDescent="0.25">
      <c r="A212" s="2369" t="s">
        <v>33</v>
      </c>
      <c r="B212" s="2379" t="s">
        <v>1272</v>
      </c>
      <c r="C212" s="1969" t="s">
        <v>1273</v>
      </c>
      <c r="D212" s="2281"/>
      <c r="E212" s="2327" t="s">
        <v>2194</v>
      </c>
      <c r="F212" s="1559"/>
      <c r="G212" s="1784"/>
    </row>
    <row r="213" spans="1:7" ht="27" customHeight="1" x14ac:dyDescent="0.2">
      <c r="A213" s="2390"/>
      <c r="B213" s="2361"/>
      <c r="C213" s="1550" t="s">
        <v>2717</v>
      </c>
      <c r="D213" s="2234">
        <v>0</v>
      </c>
      <c r="E213" s="2393"/>
      <c r="F213" s="1559"/>
      <c r="G213" s="1784"/>
    </row>
    <row r="214" spans="1:7" ht="15" customHeight="1" x14ac:dyDescent="0.2">
      <c r="A214" s="2390"/>
      <c r="B214" s="2361"/>
      <c r="C214" s="1555" t="s">
        <v>2718</v>
      </c>
      <c r="D214" s="2234">
        <v>1</v>
      </c>
      <c r="E214" s="2393"/>
      <c r="F214" s="1559"/>
      <c r="G214" s="1784"/>
    </row>
    <row r="215" spans="1:7" ht="27" customHeight="1" thickBot="1" x14ac:dyDescent="0.25">
      <c r="A215" s="2390"/>
      <c r="B215" s="2361"/>
      <c r="C215" s="1551" t="s">
        <v>2719</v>
      </c>
      <c r="D215" s="2277">
        <v>0</v>
      </c>
      <c r="E215" s="2393"/>
      <c r="F215" s="1559"/>
      <c r="G215" s="1784"/>
    </row>
    <row r="216" spans="1:7" ht="45" customHeight="1" thickBot="1" x14ac:dyDescent="0.25">
      <c r="A216" s="613" t="s">
        <v>78</v>
      </c>
      <c r="B216" s="1137" t="s">
        <v>1269</v>
      </c>
      <c r="C216" s="613" t="s">
        <v>2458</v>
      </c>
      <c r="D216" s="2282">
        <v>1</v>
      </c>
      <c r="E216" s="103" t="s">
        <v>2195</v>
      </c>
      <c r="F216" s="1559" t="s">
        <v>2397</v>
      </c>
      <c r="G216" s="1784"/>
    </row>
    <row r="217" spans="1:7" ht="40.5" customHeight="1" thickBot="1" x14ac:dyDescent="0.25">
      <c r="A217" s="1968" t="s">
        <v>34</v>
      </c>
      <c r="B217" s="1139" t="s">
        <v>1270</v>
      </c>
      <c r="C217" s="1968" t="s">
        <v>1434</v>
      </c>
      <c r="D217" s="2231">
        <v>0</v>
      </c>
      <c r="E217" s="1976" t="s">
        <v>2196</v>
      </c>
      <c r="F217" s="1559"/>
      <c r="G217" s="1784"/>
    </row>
    <row r="218" spans="1:7" ht="30" customHeight="1" thickBot="1" x14ac:dyDescent="0.25">
      <c r="A218" s="2368" t="s">
        <v>51</v>
      </c>
      <c r="B218" s="2377" t="s">
        <v>1234</v>
      </c>
      <c r="C218" s="613" t="s">
        <v>2027</v>
      </c>
      <c r="D218" s="2278"/>
      <c r="E218" s="2326" t="s">
        <v>1926</v>
      </c>
      <c r="F218" s="1559"/>
      <c r="G218" s="1784"/>
    </row>
    <row r="219" spans="1:7" ht="39" customHeight="1" x14ac:dyDescent="0.2">
      <c r="A219" s="2390"/>
      <c r="B219" s="2361"/>
      <c r="C219" s="1550" t="s">
        <v>1794</v>
      </c>
      <c r="D219" s="2234">
        <v>0</v>
      </c>
      <c r="E219" s="2393"/>
      <c r="F219" s="1559"/>
      <c r="G219" s="1784"/>
    </row>
    <row r="220" spans="1:7" ht="15" customHeight="1" x14ac:dyDescent="0.2">
      <c r="A220" s="2390"/>
      <c r="B220" s="2361"/>
      <c r="C220" s="1555" t="s">
        <v>2720</v>
      </c>
      <c r="D220" s="2234">
        <v>0</v>
      </c>
      <c r="E220" s="2393"/>
      <c r="F220" s="1559"/>
      <c r="G220" s="1784"/>
    </row>
    <row r="221" spans="1:7" ht="30" customHeight="1" x14ac:dyDescent="0.2">
      <c r="A221" s="2390"/>
      <c r="B221" s="2361"/>
      <c r="C221" s="1555" t="s">
        <v>2721</v>
      </c>
      <c r="D221" s="2234">
        <v>1</v>
      </c>
      <c r="E221" s="2393"/>
      <c r="F221" s="1559"/>
      <c r="G221" s="1784"/>
    </row>
    <row r="222" spans="1:7" ht="15" customHeight="1" x14ac:dyDescent="0.2">
      <c r="A222" s="2390"/>
      <c r="B222" s="2361"/>
      <c r="C222" s="1555" t="s">
        <v>2722</v>
      </c>
      <c r="D222" s="2234">
        <v>0</v>
      </c>
      <c r="E222" s="2393"/>
      <c r="F222" s="1559"/>
      <c r="G222" s="1784"/>
    </row>
    <row r="223" spans="1:7" ht="28.5" customHeight="1" thickBot="1" x14ac:dyDescent="0.25">
      <c r="A223" s="2391"/>
      <c r="B223" s="2378"/>
      <c r="C223" s="1243" t="s">
        <v>2723</v>
      </c>
      <c r="D223" s="2234">
        <v>0</v>
      </c>
      <c r="E223" s="2395"/>
      <c r="F223" s="1559"/>
      <c r="G223" s="1784"/>
    </row>
    <row r="224" spans="1:7" ht="21" customHeight="1" thickBot="1" x14ac:dyDescent="0.25">
      <c r="A224" s="2365" t="s">
        <v>434</v>
      </c>
      <c r="B224" s="2384" t="s">
        <v>1235</v>
      </c>
      <c r="C224" s="1969" t="s">
        <v>1236</v>
      </c>
      <c r="D224" s="2275"/>
      <c r="E224" s="2404" t="s">
        <v>2608</v>
      </c>
      <c r="F224" s="1559"/>
      <c r="G224" s="1784"/>
    </row>
    <row r="225" spans="1:7" ht="15" customHeight="1" x14ac:dyDescent="0.2">
      <c r="A225" s="2365"/>
      <c r="B225" s="2384"/>
      <c r="C225" s="1780" t="s">
        <v>2724</v>
      </c>
      <c r="D225" s="2283"/>
      <c r="E225" s="2404"/>
      <c r="F225" s="1594"/>
      <c r="G225" s="1784"/>
    </row>
    <row r="226" spans="1:7" ht="27" customHeight="1" x14ac:dyDescent="0.2">
      <c r="A226" s="2365"/>
      <c r="B226" s="2361"/>
      <c r="C226" s="1781" t="s">
        <v>2725</v>
      </c>
      <c r="D226" s="2274">
        <v>0</v>
      </c>
      <c r="E226" s="2393"/>
      <c r="F226" s="1559"/>
      <c r="G226" s="1784"/>
    </row>
    <row r="227" spans="1:7" ht="15" customHeight="1" thickBot="1" x14ac:dyDescent="0.25">
      <c r="A227" s="2365"/>
      <c r="B227" s="2361"/>
      <c r="C227" s="1965" t="s">
        <v>2726</v>
      </c>
      <c r="D227" s="2284">
        <v>1</v>
      </c>
      <c r="E227" s="2393"/>
      <c r="F227" s="1559"/>
      <c r="G227" s="1784"/>
    </row>
    <row r="228" spans="1:7" ht="21" customHeight="1" thickBot="1" x14ac:dyDescent="0.25">
      <c r="A228" s="2385" t="s">
        <v>452</v>
      </c>
      <c r="B228" s="2388" t="s">
        <v>1237</v>
      </c>
      <c r="C228" s="613" t="s">
        <v>2513</v>
      </c>
      <c r="D228" s="2285"/>
      <c r="E228" s="2423" t="s">
        <v>2300</v>
      </c>
      <c r="F228" s="1559"/>
      <c r="G228" s="1784"/>
    </row>
    <row r="229" spans="1:7" ht="15" customHeight="1" x14ac:dyDescent="0.2">
      <c r="A229" s="2386"/>
      <c r="B229" s="2384"/>
      <c r="C229" s="2209" t="s">
        <v>2849</v>
      </c>
      <c r="D229" s="2274"/>
      <c r="E229" s="2424"/>
      <c r="F229" s="1594"/>
      <c r="G229" s="1784"/>
    </row>
    <row r="230" spans="1:7" ht="15" customHeight="1" x14ac:dyDescent="0.2">
      <c r="A230" s="2386"/>
      <c r="B230" s="2384"/>
      <c r="C230" s="1551" t="s">
        <v>2850</v>
      </c>
      <c r="D230" s="2286"/>
      <c r="E230" s="2424"/>
      <c r="F230" s="1594"/>
      <c r="G230" s="1784"/>
    </row>
    <row r="231" spans="1:7" ht="15" customHeight="1" x14ac:dyDescent="0.2">
      <c r="A231" s="2386"/>
      <c r="B231" s="2361"/>
      <c r="C231" s="1555" t="s">
        <v>2727</v>
      </c>
      <c r="D231" s="2274">
        <v>0</v>
      </c>
      <c r="E231" s="2425"/>
      <c r="F231" s="1559"/>
      <c r="G231" s="1784"/>
    </row>
    <row r="232" spans="1:7" ht="15" customHeight="1" thickBot="1" x14ac:dyDescent="0.25">
      <c r="A232" s="2387"/>
      <c r="B232" s="2378"/>
      <c r="C232" s="2165" t="s">
        <v>2728</v>
      </c>
      <c r="D232" s="2287">
        <v>1</v>
      </c>
      <c r="E232" s="2426"/>
      <c r="F232" s="1559"/>
      <c r="G232" s="1784"/>
    </row>
    <row r="233" spans="1:7" ht="21" customHeight="1" thickBot="1" x14ac:dyDescent="0.25">
      <c r="A233" s="2369" t="s">
        <v>35</v>
      </c>
      <c r="B233" s="2374" t="s">
        <v>1274</v>
      </c>
      <c r="C233" s="1969" t="s">
        <v>958</v>
      </c>
      <c r="D233" s="2278"/>
      <c r="E233" s="2396" t="s">
        <v>1927</v>
      </c>
      <c r="F233" s="1559"/>
      <c r="G233" s="1784"/>
    </row>
    <row r="234" spans="1:7" ht="25.5" customHeight="1" x14ac:dyDescent="0.2">
      <c r="A234" s="2390"/>
      <c r="B234" s="2361"/>
      <c r="C234" s="1557" t="s">
        <v>2729</v>
      </c>
      <c r="D234" s="2234">
        <v>1</v>
      </c>
      <c r="E234" s="2393"/>
      <c r="F234" s="1559"/>
      <c r="G234" s="1784"/>
    </row>
    <row r="235" spans="1:7" ht="42" customHeight="1" x14ac:dyDescent="0.2">
      <c r="A235" s="2390"/>
      <c r="B235" s="2361"/>
      <c r="C235" s="1558" t="s">
        <v>2730</v>
      </c>
      <c r="D235" s="2234">
        <v>0</v>
      </c>
      <c r="E235" s="2393"/>
      <c r="F235" s="1559"/>
      <c r="G235" s="1784"/>
    </row>
    <row r="236" spans="1:7" ht="15" customHeight="1" thickBot="1" x14ac:dyDescent="0.25">
      <c r="A236" s="2390"/>
      <c r="B236" s="2361"/>
      <c r="C236" s="1551" t="s">
        <v>2731</v>
      </c>
      <c r="D236" s="2234">
        <v>0</v>
      </c>
      <c r="E236" s="2393"/>
      <c r="F236" s="1559"/>
      <c r="G236" s="1784"/>
    </row>
    <row r="237" spans="1:7" ht="21" customHeight="1" thickBot="1" x14ac:dyDescent="0.25">
      <c r="A237" s="2368" t="s">
        <v>36</v>
      </c>
      <c r="B237" s="2377" t="s">
        <v>1275</v>
      </c>
      <c r="C237" s="613" t="s">
        <v>2689</v>
      </c>
      <c r="D237" s="2275"/>
      <c r="E237" s="2326" t="s">
        <v>2754</v>
      </c>
      <c r="F237" s="1559"/>
      <c r="G237" s="1784"/>
    </row>
    <row r="238" spans="1:7" ht="40.5" customHeight="1" x14ac:dyDescent="0.2">
      <c r="A238" s="2369"/>
      <c r="B238" s="2361"/>
      <c r="C238" s="1508" t="s">
        <v>2319</v>
      </c>
      <c r="D238" s="2234">
        <v>0</v>
      </c>
      <c r="E238" s="2393"/>
      <c r="F238" s="1559"/>
      <c r="G238" s="1784"/>
    </row>
    <row r="239" spans="1:7" ht="27" customHeight="1" x14ac:dyDescent="0.2">
      <c r="A239" s="2369"/>
      <c r="B239" s="2361"/>
      <c r="C239" s="1555" t="s">
        <v>2540</v>
      </c>
      <c r="D239" s="2234">
        <v>0</v>
      </c>
      <c r="E239" s="2393"/>
      <c r="F239" s="1559"/>
      <c r="G239" s="1784"/>
    </row>
    <row r="240" spans="1:7" ht="15" customHeight="1" thickBot="1" x14ac:dyDescent="0.25">
      <c r="A240" s="2370"/>
      <c r="B240" s="2378"/>
      <c r="C240" s="1243" t="s">
        <v>1435</v>
      </c>
      <c r="D240" s="2234">
        <v>1</v>
      </c>
      <c r="E240" s="2395"/>
      <c r="F240" s="1559"/>
      <c r="G240" s="1784"/>
    </row>
    <row r="241" spans="1:7" ht="21" customHeight="1" thickBot="1" x14ac:dyDescent="0.25">
      <c r="A241" s="2365" t="s">
        <v>37</v>
      </c>
      <c r="B241" s="2374" t="s">
        <v>8</v>
      </c>
      <c r="C241" s="1969" t="s">
        <v>1276</v>
      </c>
      <c r="D241" s="2275"/>
      <c r="E241" s="2396" t="s">
        <v>2197</v>
      </c>
      <c r="F241" s="1559"/>
      <c r="G241" s="1784"/>
    </row>
    <row r="242" spans="1:7" ht="15" customHeight="1" x14ac:dyDescent="0.2">
      <c r="A242" s="2365"/>
      <c r="B242" s="2361"/>
      <c r="C242" s="1550" t="s">
        <v>2690</v>
      </c>
      <c r="D242" s="2234">
        <v>1</v>
      </c>
      <c r="E242" s="2393"/>
      <c r="F242" s="1559"/>
      <c r="G242" s="1784"/>
    </row>
    <row r="243" spans="1:7" ht="15" customHeight="1" x14ac:dyDescent="0.2">
      <c r="A243" s="2365"/>
      <c r="B243" s="2361"/>
      <c r="C243" s="1555" t="s">
        <v>2691</v>
      </c>
      <c r="D243" s="2234">
        <v>0</v>
      </c>
      <c r="E243" s="2393"/>
      <c r="F243" s="1559"/>
      <c r="G243" s="1784"/>
    </row>
    <row r="244" spans="1:7" ht="15" customHeight="1" x14ac:dyDescent="0.2">
      <c r="A244" s="2365"/>
      <c r="B244" s="2361"/>
      <c r="C244" s="1555" t="s">
        <v>2692</v>
      </c>
      <c r="D244" s="2234">
        <v>0</v>
      </c>
      <c r="E244" s="2393"/>
      <c r="F244" s="1559"/>
      <c r="G244" s="1784"/>
    </row>
    <row r="245" spans="1:7" ht="15" customHeight="1" thickBot="1" x14ac:dyDescent="0.25">
      <c r="A245" s="2365"/>
      <c r="B245" s="2361"/>
      <c r="C245" s="1551" t="s">
        <v>2693</v>
      </c>
      <c r="D245" s="2234">
        <v>0</v>
      </c>
      <c r="E245" s="2393"/>
      <c r="F245" s="1559" t="s">
        <v>2398</v>
      </c>
      <c r="G245" s="1784"/>
    </row>
    <row r="246" spans="1:7" ht="31.5" customHeight="1" thickBot="1" x14ac:dyDescent="0.25">
      <c r="A246" s="2417" t="s">
        <v>2678</v>
      </c>
      <c r="B246" s="2418"/>
      <c r="C246" s="2418"/>
      <c r="D246" s="2288"/>
      <c r="E246" s="2013"/>
      <c r="F246" s="1559"/>
      <c r="G246" s="1784"/>
    </row>
    <row r="247" spans="1:7" ht="30" customHeight="1" thickBot="1" x14ac:dyDescent="0.25">
      <c r="A247" s="2365" t="s">
        <v>435</v>
      </c>
      <c r="B247" s="2374" t="s">
        <v>1329</v>
      </c>
      <c r="C247" s="1969" t="s">
        <v>2350</v>
      </c>
      <c r="D247" s="2275"/>
      <c r="E247" s="2396" t="s">
        <v>2296</v>
      </c>
      <c r="F247" s="1559"/>
      <c r="G247" s="1784"/>
    </row>
    <row r="248" spans="1:7" ht="15" customHeight="1" x14ac:dyDescent="0.2">
      <c r="A248" s="2365"/>
      <c r="B248" s="2361"/>
      <c r="C248" s="1550" t="s">
        <v>2694</v>
      </c>
      <c r="D248" s="2234">
        <v>1</v>
      </c>
      <c r="E248" s="2393"/>
      <c r="F248" s="1559"/>
      <c r="G248" s="1784"/>
    </row>
    <row r="249" spans="1:7" ht="15" customHeight="1" x14ac:dyDescent="0.2">
      <c r="A249" s="2365"/>
      <c r="B249" s="2361"/>
      <c r="C249" s="1555" t="s">
        <v>2695</v>
      </c>
      <c r="D249" s="2234">
        <v>0</v>
      </c>
      <c r="E249" s="2393"/>
      <c r="F249" s="1559"/>
      <c r="G249" s="1784"/>
    </row>
    <row r="250" spans="1:7" ht="15" customHeight="1" x14ac:dyDescent="0.2">
      <c r="A250" s="2365"/>
      <c r="B250" s="2361"/>
      <c r="C250" s="1555" t="s">
        <v>2696</v>
      </c>
      <c r="D250" s="2234">
        <v>0</v>
      </c>
      <c r="E250" s="2393"/>
      <c r="F250" s="1559"/>
      <c r="G250" s="1784"/>
    </row>
    <row r="251" spans="1:7" ht="15" customHeight="1" x14ac:dyDescent="0.2">
      <c r="A251" s="2365"/>
      <c r="B251" s="2361"/>
      <c r="C251" s="1555" t="s">
        <v>2697</v>
      </c>
      <c r="D251" s="2234">
        <v>0</v>
      </c>
      <c r="E251" s="2393"/>
      <c r="F251" s="1559"/>
      <c r="G251" s="1784"/>
    </row>
    <row r="252" spans="1:7" ht="15" customHeight="1" thickBot="1" x14ac:dyDescent="0.25">
      <c r="A252" s="2367"/>
      <c r="B252" s="2378"/>
      <c r="C252" s="1243" t="s">
        <v>1888</v>
      </c>
      <c r="D252" s="2234">
        <v>0</v>
      </c>
      <c r="E252" s="2395"/>
      <c r="F252" s="1559" t="s">
        <v>2399</v>
      </c>
      <c r="G252" s="1784"/>
    </row>
    <row r="253" spans="1:7" ht="30" customHeight="1" thickBot="1" x14ac:dyDescent="0.25">
      <c r="A253" s="2369" t="s">
        <v>436</v>
      </c>
      <c r="B253" s="2374" t="s">
        <v>600</v>
      </c>
      <c r="C253" s="1969" t="s">
        <v>2422</v>
      </c>
      <c r="D253" s="2275"/>
      <c r="E253" s="2396" t="s">
        <v>2198</v>
      </c>
      <c r="F253" s="1559"/>
      <c r="G253" s="1784"/>
    </row>
    <row r="254" spans="1:7" ht="15" customHeight="1" x14ac:dyDescent="0.2">
      <c r="A254" s="2390"/>
      <c r="B254" s="2361"/>
      <c r="C254" s="1550" t="s">
        <v>2658</v>
      </c>
      <c r="D254" s="2279">
        <v>0</v>
      </c>
      <c r="E254" s="2393"/>
      <c r="F254" s="1559"/>
      <c r="G254" s="1784"/>
    </row>
    <row r="255" spans="1:7" ht="15" customHeight="1" thickBot="1" x14ac:dyDescent="0.25">
      <c r="A255" s="2390"/>
      <c r="B255" s="2361"/>
      <c r="C255" s="1551" t="s">
        <v>2732</v>
      </c>
      <c r="D255" s="2279">
        <v>0</v>
      </c>
      <c r="E255" s="2393"/>
      <c r="F255" s="1559"/>
      <c r="G255" s="1784"/>
    </row>
    <row r="256" spans="1:7" ht="30" customHeight="1" thickBot="1" x14ac:dyDescent="0.25">
      <c r="A256" s="2368" t="s">
        <v>38</v>
      </c>
      <c r="B256" s="2383" t="s">
        <v>1277</v>
      </c>
      <c r="C256" s="613" t="s">
        <v>1278</v>
      </c>
      <c r="D256" s="2275"/>
      <c r="E256" s="2394" t="s">
        <v>1944</v>
      </c>
      <c r="F256" s="1559"/>
      <c r="G256" s="1784"/>
    </row>
    <row r="257" spans="1:7" ht="15" customHeight="1" x14ac:dyDescent="0.2">
      <c r="A257" s="2390"/>
      <c r="B257" s="2361"/>
      <c r="C257" s="1550" t="s">
        <v>1279</v>
      </c>
      <c r="D257" s="2279">
        <v>1</v>
      </c>
      <c r="E257" s="2393"/>
      <c r="F257" s="1559"/>
      <c r="G257" s="1784"/>
    </row>
    <row r="258" spans="1:7" ht="15" customHeight="1" x14ac:dyDescent="0.2">
      <c r="A258" s="2390"/>
      <c r="B258" s="2361"/>
      <c r="C258" s="1555" t="s">
        <v>2691</v>
      </c>
      <c r="D258" s="2279">
        <v>0</v>
      </c>
      <c r="E258" s="2393"/>
      <c r="F258" s="1559"/>
      <c r="G258" s="1784"/>
    </row>
    <row r="259" spans="1:7" ht="15" customHeight="1" x14ac:dyDescent="0.2">
      <c r="A259" s="2390"/>
      <c r="B259" s="2361"/>
      <c r="C259" s="1555" t="s">
        <v>2698</v>
      </c>
      <c r="D259" s="2279">
        <v>0</v>
      </c>
      <c r="E259" s="2393"/>
      <c r="F259" s="1559"/>
      <c r="G259" s="1784"/>
    </row>
    <row r="260" spans="1:7" ht="15" customHeight="1" thickBot="1" x14ac:dyDescent="0.25">
      <c r="A260" s="2391"/>
      <c r="B260" s="2378"/>
      <c r="C260" s="1243" t="s">
        <v>2699</v>
      </c>
      <c r="D260" s="2279">
        <v>0</v>
      </c>
      <c r="E260" s="2395"/>
      <c r="F260" s="1559"/>
      <c r="G260" s="1784"/>
    </row>
    <row r="261" spans="1:7" ht="45" customHeight="1" thickBot="1" x14ac:dyDescent="0.25">
      <c r="A261" s="1968" t="s">
        <v>276</v>
      </c>
      <c r="B261" s="1972" t="s">
        <v>2345</v>
      </c>
      <c r="C261" s="1965" t="s">
        <v>2423</v>
      </c>
      <c r="D261" s="2234">
        <v>0</v>
      </c>
      <c r="E261" s="1976" t="s">
        <v>1945</v>
      </c>
      <c r="F261" s="1559"/>
      <c r="G261" s="1784"/>
    </row>
    <row r="262" spans="1:7" ht="30" customHeight="1" thickBot="1" x14ac:dyDescent="0.25">
      <c r="A262" s="2368" t="s">
        <v>46</v>
      </c>
      <c r="B262" s="2377" t="s">
        <v>2293</v>
      </c>
      <c r="C262" s="1506" t="s">
        <v>2483</v>
      </c>
      <c r="D262" s="2275"/>
      <c r="E262" s="2326" t="s">
        <v>2199</v>
      </c>
      <c r="F262" s="1559"/>
      <c r="G262" s="1784"/>
    </row>
    <row r="263" spans="1:7" ht="15" customHeight="1" x14ac:dyDescent="0.2">
      <c r="A263" s="2390"/>
      <c r="B263" s="2361"/>
      <c r="C263" s="1550" t="s">
        <v>2033</v>
      </c>
      <c r="D263" s="2234">
        <v>1</v>
      </c>
      <c r="E263" s="2393"/>
      <c r="F263" s="1559"/>
      <c r="G263" s="1784"/>
    </row>
    <row r="264" spans="1:7" ht="15" customHeight="1" x14ac:dyDescent="0.2">
      <c r="A264" s="2390"/>
      <c r="B264" s="2361"/>
      <c r="C264" s="1555" t="s">
        <v>2733</v>
      </c>
      <c r="D264" s="2234">
        <v>0</v>
      </c>
      <c r="E264" s="2393"/>
      <c r="F264" s="1559"/>
      <c r="G264" s="1784"/>
    </row>
    <row r="265" spans="1:7" ht="15" customHeight="1" x14ac:dyDescent="0.2">
      <c r="A265" s="2390"/>
      <c r="B265" s="2361"/>
      <c r="C265" s="1555" t="s">
        <v>2734</v>
      </c>
      <c r="D265" s="2234">
        <v>0</v>
      </c>
      <c r="E265" s="2393"/>
      <c r="F265" s="1559"/>
      <c r="G265" s="1784"/>
    </row>
    <row r="266" spans="1:7" ht="15" customHeight="1" x14ac:dyDescent="0.2">
      <c r="A266" s="2390"/>
      <c r="B266" s="2361"/>
      <c r="C266" s="1555" t="s">
        <v>2735</v>
      </c>
      <c r="D266" s="2234">
        <v>0</v>
      </c>
      <c r="E266" s="2393"/>
      <c r="F266" s="1559"/>
      <c r="G266" s="1784"/>
    </row>
    <row r="267" spans="1:7" ht="15" customHeight="1" x14ac:dyDescent="0.2">
      <c r="A267" s="2390"/>
      <c r="B267" s="2361"/>
      <c r="C267" s="1555" t="s">
        <v>2736</v>
      </c>
      <c r="D267" s="2234">
        <v>0</v>
      </c>
      <c r="E267" s="2393"/>
      <c r="F267" s="1559"/>
      <c r="G267" s="1784"/>
    </row>
    <row r="268" spans="1:7" ht="15" customHeight="1" thickBot="1" x14ac:dyDescent="0.25">
      <c r="A268" s="2391"/>
      <c r="B268" s="2378"/>
      <c r="C268" s="1243" t="s">
        <v>2737</v>
      </c>
      <c r="D268" s="2234">
        <v>0</v>
      </c>
      <c r="E268" s="2395"/>
      <c r="F268" s="1559"/>
      <c r="G268" s="1784"/>
    </row>
    <row r="269" spans="1:7" ht="21" customHeight="1" thickBot="1" x14ac:dyDescent="0.25">
      <c r="A269" s="2365" t="s">
        <v>437</v>
      </c>
      <c r="B269" s="2384" t="s">
        <v>1239</v>
      </c>
      <c r="C269" s="1969" t="s">
        <v>1238</v>
      </c>
      <c r="D269" s="2275"/>
      <c r="E269" s="2404" t="s">
        <v>2200</v>
      </c>
      <c r="F269" s="1559"/>
      <c r="G269" s="1784"/>
    </row>
    <row r="270" spans="1:7" ht="15" customHeight="1" x14ac:dyDescent="0.2">
      <c r="A270" s="2365"/>
      <c r="B270" s="2361"/>
      <c r="C270" s="1550" t="s">
        <v>2738</v>
      </c>
      <c r="D270" s="2234">
        <v>0</v>
      </c>
      <c r="E270" s="2393"/>
      <c r="F270" s="1559"/>
      <c r="G270" s="1784"/>
    </row>
    <row r="271" spans="1:7" ht="15" customHeight="1" x14ac:dyDescent="0.2">
      <c r="A271" s="2365"/>
      <c r="B271" s="2361"/>
      <c r="C271" s="1555" t="s">
        <v>2739</v>
      </c>
      <c r="D271" s="2234">
        <v>0</v>
      </c>
      <c r="E271" s="2393"/>
      <c r="F271" s="1559"/>
      <c r="G271" s="1784"/>
    </row>
    <row r="272" spans="1:7" s="11" customFormat="1" ht="15" customHeight="1" x14ac:dyDescent="0.2">
      <c r="A272" s="2365"/>
      <c r="B272" s="2361"/>
      <c r="C272" s="1555" t="s">
        <v>2740</v>
      </c>
      <c r="D272" s="2234">
        <v>0</v>
      </c>
      <c r="E272" s="2393"/>
      <c r="F272" s="1542"/>
      <c r="G272" s="1786"/>
    </row>
    <row r="273" spans="1:7" s="11" customFormat="1" ht="15" customHeight="1" thickBot="1" x14ac:dyDescent="0.25">
      <c r="A273" s="2365"/>
      <c r="B273" s="2361"/>
      <c r="C273" s="1551" t="s">
        <v>2741</v>
      </c>
      <c r="D273" s="2234">
        <v>1</v>
      </c>
      <c r="E273" s="2393"/>
      <c r="F273" s="1542"/>
      <c r="G273" s="1786"/>
    </row>
    <row r="274" spans="1:7" s="11" customFormat="1" ht="30" customHeight="1" thickBot="1" x14ac:dyDescent="0.25">
      <c r="A274" s="2366" t="s">
        <v>438</v>
      </c>
      <c r="B274" s="2383" t="s">
        <v>465</v>
      </c>
      <c r="C274" s="613" t="s">
        <v>1280</v>
      </c>
      <c r="D274" s="2275"/>
      <c r="E274" s="2394" t="s">
        <v>2201</v>
      </c>
      <c r="F274" s="1542"/>
      <c r="G274" s="1786"/>
    </row>
    <row r="275" spans="1:7" s="11" customFormat="1" ht="15" customHeight="1" x14ac:dyDescent="0.2">
      <c r="A275" s="2365"/>
      <c r="B275" s="2361"/>
      <c r="C275" s="1550" t="s">
        <v>2700</v>
      </c>
      <c r="D275" s="2234">
        <v>0</v>
      </c>
      <c r="E275" s="2393"/>
      <c r="F275" s="1542"/>
      <c r="G275" s="1786"/>
    </row>
    <row r="276" spans="1:7" s="11" customFormat="1" ht="15" customHeight="1" x14ac:dyDescent="0.2">
      <c r="A276" s="2365"/>
      <c r="B276" s="2361"/>
      <c r="C276" s="1555" t="s">
        <v>2701</v>
      </c>
      <c r="D276" s="2234">
        <v>0</v>
      </c>
      <c r="E276" s="2393"/>
      <c r="F276" s="1542"/>
      <c r="G276" s="1786"/>
    </row>
    <row r="277" spans="1:7" ht="15" customHeight="1" thickBot="1" x14ac:dyDescent="0.25">
      <c r="A277" s="2367"/>
      <c r="B277" s="2378"/>
      <c r="C277" s="1243" t="s">
        <v>2702</v>
      </c>
      <c r="D277" s="2234">
        <v>1</v>
      </c>
      <c r="E277" s="2395"/>
      <c r="F277" s="1559"/>
      <c r="G277" s="1784"/>
    </row>
    <row r="278" spans="1:7" ht="21" customHeight="1" thickBot="1" x14ac:dyDescent="0.25">
      <c r="A278" s="2365" t="s">
        <v>77</v>
      </c>
      <c r="B278" s="2374" t="s">
        <v>1282</v>
      </c>
      <c r="C278" s="613" t="s">
        <v>984</v>
      </c>
      <c r="D278" s="2275"/>
      <c r="E278" s="2396" t="s">
        <v>2202</v>
      </c>
      <c r="F278" s="1559"/>
      <c r="G278" s="1784"/>
    </row>
    <row r="279" spans="1:7" ht="27" customHeight="1" x14ac:dyDescent="0.2">
      <c r="A279" s="2365"/>
      <c r="B279" s="2361"/>
      <c r="C279" s="1550" t="s">
        <v>1283</v>
      </c>
      <c r="D279" s="2234">
        <v>1</v>
      </c>
      <c r="E279" s="2393"/>
      <c r="F279" s="1559"/>
      <c r="G279" s="1784"/>
    </row>
    <row r="280" spans="1:7" ht="27" customHeight="1" x14ac:dyDescent="0.2">
      <c r="A280" s="2365"/>
      <c r="B280" s="2361"/>
      <c r="C280" s="1555" t="s">
        <v>1284</v>
      </c>
      <c r="D280" s="2234">
        <v>1</v>
      </c>
      <c r="E280" s="2393"/>
      <c r="F280" s="1559"/>
      <c r="G280" s="1784"/>
    </row>
    <row r="281" spans="1:7" ht="28.5" customHeight="1" thickBot="1" x14ac:dyDescent="0.25">
      <c r="A281" s="2367"/>
      <c r="B281" s="2378"/>
      <c r="C281" s="1243" t="s">
        <v>1036</v>
      </c>
      <c r="D281" s="2234">
        <v>0</v>
      </c>
      <c r="E281" s="2395"/>
      <c r="F281" s="1559"/>
      <c r="G281" s="1784"/>
    </row>
    <row r="282" spans="1:7" ht="60" customHeight="1" thickBot="1" x14ac:dyDescent="0.25">
      <c r="A282" s="2365" t="s">
        <v>439</v>
      </c>
      <c r="B282" s="2374" t="s">
        <v>1285</v>
      </c>
      <c r="C282" s="613" t="s">
        <v>2703</v>
      </c>
      <c r="D282" s="2275"/>
      <c r="E282" s="2396" t="s">
        <v>2203</v>
      </c>
      <c r="F282" s="1559"/>
      <c r="G282" s="1784"/>
    </row>
    <row r="283" spans="1:7" ht="15" customHeight="1" x14ac:dyDescent="0.2">
      <c r="A283" s="2365"/>
      <c r="B283" s="2361"/>
      <c r="C283" s="1550" t="s">
        <v>2028</v>
      </c>
      <c r="D283" s="2234">
        <v>0</v>
      </c>
      <c r="E283" s="2393"/>
      <c r="F283" s="1559"/>
      <c r="G283" s="1784"/>
    </row>
    <row r="284" spans="1:7" ht="15" customHeight="1" x14ac:dyDescent="0.2">
      <c r="A284" s="2365"/>
      <c r="B284" s="2361"/>
      <c r="C284" s="1555" t="s">
        <v>2029</v>
      </c>
      <c r="D284" s="2234">
        <v>0</v>
      </c>
      <c r="E284" s="2393"/>
      <c r="F284" s="1559"/>
      <c r="G284" s="1784"/>
    </row>
    <row r="285" spans="1:7" ht="15" customHeight="1" x14ac:dyDescent="0.2">
      <c r="A285" s="2365"/>
      <c r="B285" s="2361"/>
      <c r="C285" s="1555" t="s">
        <v>2030</v>
      </c>
      <c r="D285" s="2234">
        <v>0</v>
      </c>
      <c r="E285" s="2393"/>
      <c r="F285" s="1559"/>
      <c r="G285" s="1784"/>
    </row>
    <row r="286" spans="1:7" ht="15" customHeight="1" x14ac:dyDescent="0.2">
      <c r="A286" s="2365"/>
      <c r="B286" s="2361"/>
      <c r="C286" s="1555" t="s">
        <v>2031</v>
      </c>
      <c r="D286" s="2234">
        <v>0</v>
      </c>
      <c r="E286" s="2393"/>
      <c r="F286" s="1559"/>
      <c r="G286" s="1784"/>
    </row>
    <row r="287" spans="1:7" ht="15" customHeight="1" x14ac:dyDescent="0.2">
      <c r="A287" s="2365"/>
      <c r="B287" s="2361"/>
      <c r="C287" s="1509" t="s">
        <v>2320</v>
      </c>
      <c r="D287" s="2234">
        <v>0</v>
      </c>
      <c r="E287" s="2393"/>
      <c r="F287" s="1559"/>
      <c r="G287" s="1784"/>
    </row>
    <row r="288" spans="1:7" ht="15" customHeight="1" thickBot="1" x14ac:dyDescent="0.25">
      <c r="A288" s="2365"/>
      <c r="B288" s="2361"/>
      <c r="C288" s="1510" t="s">
        <v>2321</v>
      </c>
      <c r="D288" s="2234">
        <v>1</v>
      </c>
      <c r="E288" s="2393"/>
      <c r="F288" s="1559"/>
      <c r="G288" s="1784"/>
    </row>
    <row r="289" spans="1:7" ht="29.25" customHeight="1" thickBot="1" x14ac:dyDescent="0.25">
      <c r="A289" s="2366" t="s">
        <v>440</v>
      </c>
      <c r="B289" s="2383" t="s">
        <v>1286</v>
      </c>
      <c r="C289" s="1969" t="s">
        <v>2704</v>
      </c>
      <c r="D289" s="2275"/>
      <c r="E289" s="2394" t="s">
        <v>2204</v>
      </c>
      <c r="F289" s="1559"/>
      <c r="G289" s="1784"/>
    </row>
    <row r="290" spans="1:7" ht="15" customHeight="1" x14ac:dyDescent="0.2">
      <c r="A290" s="2365"/>
      <c r="B290" s="2361"/>
      <c r="C290" s="1550" t="s">
        <v>2939</v>
      </c>
      <c r="D290" s="2234">
        <v>1</v>
      </c>
      <c r="E290" s="2393"/>
      <c r="F290" s="1559"/>
      <c r="G290" s="1784"/>
    </row>
    <row r="291" spans="1:7" ht="15" customHeight="1" x14ac:dyDescent="0.2">
      <c r="A291" s="2365"/>
      <c r="B291" s="2361"/>
      <c r="C291" s="1555" t="s">
        <v>2705</v>
      </c>
      <c r="D291" s="2234">
        <v>0</v>
      </c>
      <c r="E291" s="2393"/>
      <c r="F291" s="1559"/>
      <c r="G291" s="1784"/>
    </row>
    <row r="292" spans="1:7" ht="15" customHeight="1" x14ac:dyDescent="0.2">
      <c r="A292" s="2365"/>
      <c r="B292" s="2361"/>
      <c r="C292" s="1555" t="s">
        <v>2706</v>
      </c>
      <c r="D292" s="2234">
        <v>0</v>
      </c>
      <c r="E292" s="2393"/>
      <c r="F292" s="1559"/>
      <c r="G292" s="1784"/>
    </row>
    <row r="293" spans="1:7" ht="15" customHeight="1" thickBot="1" x14ac:dyDescent="0.25">
      <c r="A293" s="2367"/>
      <c r="B293" s="2378"/>
      <c r="C293" s="1243" t="s">
        <v>2032</v>
      </c>
      <c r="D293" s="2277">
        <v>0</v>
      </c>
      <c r="E293" s="2395"/>
      <c r="F293" s="1559"/>
      <c r="G293" s="1784"/>
    </row>
    <row r="294" spans="1:7" ht="30" customHeight="1" thickBot="1" x14ac:dyDescent="0.25">
      <c r="A294" s="1973" t="s">
        <v>485</v>
      </c>
      <c r="B294" s="1140" t="s">
        <v>1037</v>
      </c>
      <c r="C294" s="1965" t="s">
        <v>1436</v>
      </c>
      <c r="D294" s="2231">
        <v>0</v>
      </c>
      <c r="E294" s="1141" t="s">
        <v>1946</v>
      </c>
      <c r="F294" s="1559"/>
      <c r="G294" s="1784"/>
    </row>
    <row r="295" spans="1:7" ht="45" customHeight="1" thickBot="1" x14ac:dyDescent="0.25">
      <c r="A295" s="1142" t="s">
        <v>441</v>
      </c>
      <c r="B295" s="1137" t="s">
        <v>1038</v>
      </c>
      <c r="C295" s="464" t="s">
        <v>2243</v>
      </c>
      <c r="D295" s="2231">
        <v>0</v>
      </c>
      <c r="E295" s="103" t="s">
        <v>1947</v>
      </c>
      <c r="F295" s="1559"/>
      <c r="G295" s="1784"/>
    </row>
    <row r="296" spans="1:7" ht="21" customHeight="1" thickBot="1" x14ac:dyDescent="0.25">
      <c r="A296" s="2365" t="s">
        <v>442</v>
      </c>
      <c r="B296" s="2374" t="s">
        <v>1287</v>
      </c>
      <c r="C296" s="1969" t="s">
        <v>1437</v>
      </c>
      <c r="D296" s="2278"/>
      <c r="E296" s="2396" t="s">
        <v>2205</v>
      </c>
      <c r="F296" s="1559"/>
      <c r="G296" s="1784"/>
    </row>
    <row r="297" spans="1:7" ht="15" customHeight="1" x14ac:dyDescent="0.2">
      <c r="A297" s="2365"/>
      <c r="B297" s="2361"/>
      <c r="C297" s="1550" t="s">
        <v>2742</v>
      </c>
      <c r="D297" s="2234">
        <v>0</v>
      </c>
      <c r="E297" s="2393"/>
      <c r="F297" s="1559"/>
      <c r="G297" s="1784"/>
    </row>
    <row r="298" spans="1:7" ht="15" customHeight="1" x14ac:dyDescent="0.2">
      <c r="A298" s="2365"/>
      <c r="B298" s="2361"/>
      <c r="C298" s="1555" t="s">
        <v>2743</v>
      </c>
      <c r="D298" s="2234">
        <v>0</v>
      </c>
      <c r="E298" s="2393"/>
      <c r="F298" s="1559"/>
      <c r="G298" s="1784"/>
    </row>
    <row r="299" spans="1:7" ht="15" customHeight="1" x14ac:dyDescent="0.2">
      <c r="A299" s="2365"/>
      <c r="B299" s="2361"/>
      <c r="C299" s="1555" t="s">
        <v>2744</v>
      </c>
      <c r="D299" s="2234">
        <v>0</v>
      </c>
      <c r="E299" s="2393"/>
      <c r="F299" s="1559"/>
      <c r="G299" s="1784"/>
    </row>
    <row r="300" spans="1:7" ht="15" customHeight="1" x14ac:dyDescent="0.2">
      <c r="A300" s="2365"/>
      <c r="B300" s="2361"/>
      <c r="C300" s="1555" t="s">
        <v>2745</v>
      </c>
      <c r="D300" s="2234">
        <v>0</v>
      </c>
      <c r="E300" s="2393"/>
      <c r="F300" s="1559"/>
      <c r="G300" s="1784"/>
    </row>
    <row r="301" spans="1:7" ht="15" customHeight="1" x14ac:dyDescent="0.2">
      <c r="A301" s="2365"/>
      <c r="B301" s="2361"/>
      <c r="C301" s="1555" t="s">
        <v>2746</v>
      </c>
      <c r="D301" s="2234">
        <v>0</v>
      </c>
      <c r="E301" s="2393"/>
      <c r="F301" s="1559"/>
      <c r="G301" s="1784"/>
    </row>
    <row r="302" spans="1:7" ht="15" customHeight="1" thickBot="1" x14ac:dyDescent="0.25">
      <c r="A302" s="2365"/>
      <c r="B302" s="2361"/>
      <c r="C302" s="1551" t="s">
        <v>2747</v>
      </c>
      <c r="D302" s="2234">
        <v>1</v>
      </c>
      <c r="E302" s="2393"/>
      <c r="F302" s="1559"/>
      <c r="G302" s="1784"/>
    </row>
    <row r="303" spans="1:7" ht="21" customHeight="1" thickBot="1" x14ac:dyDescent="0.25">
      <c r="A303" s="2366" t="s">
        <v>49</v>
      </c>
      <c r="B303" s="2383" t="s">
        <v>24</v>
      </c>
      <c r="C303" s="464" t="s">
        <v>1288</v>
      </c>
      <c r="D303" s="2275"/>
      <c r="E303" s="2394" t="s">
        <v>1948</v>
      </c>
      <c r="F303" s="1559"/>
      <c r="G303" s="1784"/>
    </row>
    <row r="304" spans="1:7" ht="15" customHeight="1" x14ac:dyDescent="0.2">
      <c r="A304" s="2365"/>
      <c r="B304" s="2361"/>
      <c r="C304" s="1550" t="s">
        <v>2749</v>
      </c>
      <c r="D304" s="2234">
        <v>0</v>
      </c>
      <c r="E304" s="2393"/>
      <c r="F304" s="1559"/>
      <c r="G304" s="1784"/>
    </row>
    <row r="305" spans="1:7" ht="15" customHeight="1" x14ac:dyDescent="0.2">
      <c r="A305" s="2365"/>
      <c r="B305" s="2361"/>
      <c r="C305" s="1555" t="s">
        <v>2748</v>
      </c>
      <c r="D305" s="2234">
        <v>0</v>
      </c>
      <c r="E305" s="2393"/>
      <c r="F305" s="1559"/>
      <c r="G305" s="1784"/>
    </row>
    <row r="306" spans="1:7" ht="15" customHeight="1" thickBot="1" x14ac:dyDescent="0.25">
      <c r="A306" s="2367"/>
      <c r="B306" s="2378"/>
      <c r="C306" s="1243" t="s">
        <v>2750</v>
      </c>
      <c r="D306" s="2277">
        <v>1</v>
      </c>
      <c r="E306" s="2395"/>
      <c r="F306" s="1559"/>
      <c r="G306" s="1784"/>
    </row>
    <row r="307" spans="1:7" ht="45" customHeight="1" thickBot="1" x14ac:dyDescent="0.25">
      <c r="A307" s="613" t="s">
        <v>27</v>
      </c>
      <c r="B307" s="1446" t="s">
        <v>1240</v>
      </c>
      <c r="C307" s="613" t="s">
        <v>2707</v>
      </c>
      <c r="D307" s="2231">
        <v>1</v>
      </c>
      <c r="E307" s="4" t="s">
        <v>2206</v>
      </c>
      <c r="F307" s="1560"/>
      <c r="G307" s="1787"/>
    </row>
    <row r="308" spans="1:7" s="1136" customFormat="1" ht="15" customHeight="1" x14ac:dyDescent="0.2">
      <c r="D308" s="1961"/>
    </row>
    <row r="309" spans="1:7" s="1136" customFormat="1" ht="15" customHeight="1" x14ac:dyDescent="0.2">
      <c r="D309" s="1961"/>
    </row>
    <row r="310" spans="1:7" s="1136" customFormat="1" ht="15" customHeight="1" x14ac:dyDescent="0.2">
      <c r="D310" s="1961"/>
    </row>
    <row r="311" spans="1:7" s="1136" customFormat="1" ht="15" customHeight="1" x14ac:dyDescent="0.2">
      <c r="D311" s="1961"/>
    </row>
    <row r="312" spans="1:7" s="1136" customFormat="1" ht="15" customHeight="1" x14ac:dyDescent="0.2">
      <c r="D312" s="1961"/>
    </row>
    <row r="313" spans="1:7" s="1136" customFormat="1" ht="15" customHeight="1" x14ac:dyDescent="0.2">
      <c r="D313" s="1961"/>
    </row>
    <row r="314" spans="1:7" s="1136" customFormat="1" ht="15" customHeight="1" x14ac:dyDescent="0.2">
      <c r="D314" s="1961"/>
    </row>
    <row r="315" spans="1:7" s="1136" customFormat="1" ht="15" customHeight="1" x14ac:dyDescent="0.2">
      <c r="D315" s="1961"/>
    </row>
    <row r="316" spans="1:7" s="1136" customFormat="1" ht="15" customHeight="1" x14ac:dyDescent="0.2">
      <c r="D316" s="1961"/>
    </row>
    <row r="317" spans="1:7" s="1136" customFormat="1" ht="15" customHeight="1" x14ac:dyDescent="0.2">
      <c r="D317" s="1961"/>
    </row>
    <row r="318" spans="1:7" s="1136" customFormat="1" ht="15" customHeight="1" x14ac:dyDescent="0.2">
      <c r="D318" s="1961"/>
    </row>
    <row r="319" spans="1:7" s="1136" customFormat="1" ht="15" customHeight="1" x14ac:dyDescent="0.2">
      <c r="D319" s="1961"/>
    </row>
    <row r="320" spans="1:7" s="1136" customFormat="1" ht="15" customHeight="1" x14ac:dyDescent="0.2">
      <c r="D320" s="1961"/>
    </row>
    <row r="321" spans="4:4" s="1136" customFormat="1" ht="15" customHeight="1" x14ac:dyDescent="0.2">
      <c r="D321" s="1961"/>
    </row>
    <row r="322" spans="4:4" s="1136" customFormat="1" ht="15" customHeight="1" x14ac:dyDescent="0.2">
      <c r="D322" s="1961"/>
    </row>
    <row r="323" spans="4:4" s="1136" customFormat="1" ht="15" customHeight="1" x14ac:dyDescent="0.2">
      <c r="D323" s="1961"/>
    </row>
    <row r="324" spans="4:4" s="1136" customFormat="1" ht="15" customHeight="1" x14ac:dyDescent="0.2">
      <c r="D324" s="99"/>
    </row>
    <row r="325" spans="4:4" s="1136" customFormat="1" ht="15" customHeight="1" x14ac:dyDescent="0.2">
      <c r="D325" s="99"/>
    </row>
    <row r="326" spans="4:4" s="1136" customFormat="1" ht="15" customHeight="1" x14ac:dyDescent="0.2">
      <c r="D326" s="99"/>
    </row>
    <row r="327" spans="4:4" s="1136" customFormat="1" ht="15" customHeight="1" x14ac:dyDescent="0.2">
      <c r="D327" s="99"/>
    </row>
    <row r="328" spans="4:4" s="1136" customFormat="1" ht="15" customHeight="1" x14ac:dyDescent="0.2">
      <c r="D328" s="99"/>
    </row>
    <row r="329" spans="4:4" s="1136" customFormat="1" ht="15" customHeight="1" x14ac:dyDescent="0.2">
      <c r="D329" s="99"/>
    </row>
    <row r="330" spans="4:4" s="1136" customFormat="1" ht="15" customHeight="1" x14ac:dyDescent="0.2">
      <c r="D330" s="99"/>
    </row>
    <row r="331" spans="4:4" s="1136" customFormat="1" ht="15" customHeight="1" x14ac:dyDescent="0.2">
      <c r="D331" s="99"/>
    </row>
    <row r="332" spans="4:4" s="1136" customFormat="1" ht="15" customHeight="1" x14ac:dyDescent="0.2">
      <c r="D332" s="99"/>
    </row>
    <row r="333" spans="4:4" s="1136" customFormat="1" ht="15" customHeight="1" x14ac:dyDescent="0.2">
      <c r="D333" s="99"/>
    </row>
    <row r="334" spans="4:4" s="1136" customFormat="1" ht="15" customHeight="1" x14ac:dyDescent="0.2">
      <c r="D334" s="99"/>
    </row>
    <row r="335" spans="4:4" s="1136" customFormat="1" ht="15" customHeight="1" x14ac:dyDescent="0.2">
      <c r="D335" s="99"/>
    </row>
    <row r="336" spans="4:4" s="1136" customFormat="1" ht="15" customHeight="1" x14ac:dyDescent="0.2">
      <c r="D336" s="99"/>
    </row>
    <row r="337" spans="4:4" s="1136" customFormat="1" ht="15" customHeight="1" x14ac:dyDescent="0.2">
      <c r="D337" s="99"/>
    </row>
    <row r="338" spans="4:4" s="1136" customFormat="1" ht="15" customHeight="1" x14ac:dyDescent="0.2">
      <c r="D338" s="99"/>
    </row>
    <row r="339" spans="4:4" s="1136" customFormat="1" ht="15" customHeight="1" x14ac:dyDescent="0.2">
      <c r="D339" s="99"/>
    </row>
    <row r="340" spans="4:4" s="1136" customFormat="1" ht="15" customHeight="1" x14ac:dyDescent="0.2">
      <c r="D340" s="99"/>
    </row>
    <row r="341" spans="4:4" s="1136" customFormat="1" ht="15" customHeight="1" x14ac:dyDescent="0.2">
      <c r="D341" s="99"/>
    </row>
    <row r="342" spans="4:4" s="1136" customFormat="1" ht="15" customHeight="1" x14ac:dyDescent="0.2">
      <c r="D342" s="99"/>
    </row>
    <row r="343" spans="4:4" s="1136" customFormat="1" ht="15" customHeight="1" x14ac:dyDescent="0.2">
      <c r="D343" s="99"/>
    </row>
    <row r="344" spans="4:4" s="1136" customFormat="1" ht="15" customHeight="1" x14ac:dyDescent="0.2">
      <c r="D344" s="99"/>
    </row>
    <row r="345" spans="4:4" s="1136" customFormat="1" ht="15" customHeight="1" x14ac:dyDescent="0.2">
      <c r="D345" s="99"/>
    </row>
    <row r="346" spans="4:4" s="1136" customFormat="1" ht="15" customHeight="1" x14ac:dyDescent="0.2">
      <c r="D346" s="99"/>
    </row>
    <row r="347" spans="4:4" s="1136" customFormat="1" ht="15" customHeight="1" x14ac:dyDescent="0.2">
      <c r="D347" s="99"/>
    </row>
    <row r="348" spans="4:4" s="1136" customFormat="1" ht="15" customHeight="1" x14ac:dyDescent="0.2">
      <c r="D348" s="99"/>
    </row>
    <row r="349" spans="4:4" s="1136" customFormat="1" ht="15" customHeight="1" x14ac:dyDescent="0.2">
      <c r="D349" s="99"/>
    </row>
    <row r="350" spans="4:4" s="1136" customFormat="1" ht="15" customHeight="1" x14ac:dyDescent="0.2">
      <c r="D350" s="99"/>
    </row>
    <row r="351" spans="4:4" s="1136" customFormat="1" ht="15" customHeight="1" x14ac:dyDescent="0.2">
      <c r="D351" s="99"/>
    </row>
    <row r="352" spans="4:4" s="1136" customFormat="1" ht="15" customHeight="1" x14ac:dyDescent="0.2">
      <c r="D352" s="99"/>
    </row>
    <row r="353" spans="4:4" s="1136" customFormat="1" ht="15" customHeight="1" x14ac:dyDescent="0.2">
      <c r="D353" s="99"/>
    </row>
    <row r="354" spans="4:4" s="1136" customFormat="1" ht="15" customHeight="1" x14ac:dyDescent="0.2">
      <c r="D354" s="99"/>
    </row>
    <row r="355" spans="4:4" s="1136" customFormat="1" ht="15" customHeight="1" x14ac:dyDescent="0.2">
      <c r="D355" s="99"/>
    </row>
    <row r="356" spans="4:4" s="1136" customFormat="1" ht="15" customHeight="1" x14ac:dyDescent="0.2">
      <c r="D356" s="99"/>
    </row>
    <row r="357" spans="4:4" s="1136" customFormat="1" ht="15" customHeight="1" x14ac:dyDescent="0.2">
      <c r="D357" s="99"/>
    </row>
    <row r="358" spans="4:4" s="1136" customFormat="1" ht="15" customHeight="1" x14ac:dyDescent="0.2">
      <c r="D358" s="99"/>
    </row>
    <row r="359" spans="4:4" s="1136" customFormat="1" ht="15" customHeight="1" x14ac:dyDescent="0.2">
      <c r="D359" s="99"/>
    </row>
    <row r="360" spans="4:4" s="1136" customFormat="1" ht="15" customHeight="1" x14ac:dyDescent="0.2">
      <c r="D360" s="99"/>
    </row>
    <row r="361" spans="4:4" s="1136" customFormat="1" ht="15" customHeight="1" x14ac:dyDescent="0.2">
      <c r="D361" s="99"/>
    </row>
    <row r="362" spans="4:4" s="1136" customFormat="1" ht="15" customHeight="1" x14ac:dyDescent="0.2">
      <c r="D362" s="99"/>
    </row>
    <row r="363" spans="4:4" s="1136" customFormat="1" ht="15" customHeight="1" x14ac:dyDescent="0.2">
      <c r="D363" s="99"/>
    </row>
    <row r="364" spans="4:4" s="1136" customFormat="1" ht="15" customHeight="1" x14ac:dyDescent="0.2">
      <c r="D364" s="99"/>
    </row>
    <row r="365" spans="4:4" s="1136" customFormat="1" ht="15" customHeight="1" x14ac:dyDescent="0.2">
      <c r="D365" s="99"/>
    </row>
    <row r="366" spans="4:4" s="1136" customFormat="1" ht="15" customHeight="1" x14ac:dyDescent="0.2">
      <c r="D366" s="99"/>
    </row>
    <row r="367" spans="4:4" s="1136" customFormat="1" ht="15" customHeight="1" x14ac:dyDescent="0.2">
      <c r="D367" s="99"/>
    </row>
    <row r="368" spans="4:4" s="1136" customFormat="1" ht="15" customHeight="1" x14ac:dyDescent="0.2">
      <c r="D368" s="99"/>
    </row>
    <row r="369" spans="4:4" s="1136" customFormat="1" ht="15" customHeight="1" x14ac:dyDescent="0.2">
      <c r="D369" s="99"/>
    </row>
    <row r="370" spans="4:4" s="1136" customFormat="1" ht="15" customHeight="1" x14ac:dyDescent="0.2">
      <c r="D370" s="99"/>
    </row>
    <row r="371" spans="4:4" s="1136" customFormat="1" ht="15" customHeight="1" x14ac:dyDescent="0.2">
      <c r="D371" s="99"/>
    </row>
    <row r="372" spans="4:4" s="1136" customFormat="1" ht="15" customHeight="1" x14ac:dyDescent="0.2">
      <c r="D372" s="99"/>
    </row>
    <row r="373" spans="4:4" s="1136" customFormat="1" ht="15" customHeight="1" x14ac:dyDescent="0.2">
      <c r="D373" s="99"/>
    </row>
    <row r="374" spans="4:4" s="1136" customFormat="1" ht="15" customHeight="1" x14ac:dyDescent="0.2">
      <c r="D374" s="99"/>
    </row>
    <row r="375" spans="4:4" s="1136" customFormat="1" ht="15" customHeight="1" x14ac:dyDescent="0.2">
      <c r="D375" s="99"/>
    </row>
    <row r="376" spans="4:4" s="1136" customFormat="1" ht="15" customHeight="1" x14ac:dyDescent="0.2">
      <c r="D376" s="99"/>
    </row>
    <row r="377" spans="4:4" s="1136" customFormat="1" ht="15" customHeight="1" x14ac:dyDescent="0.2">
      <c r="D377" s="99"/>
    </row>
    <row r="378" spans="4:4" s="1136" customFormat="1" ht="15" customHeight="1" x14ac:dyDescent="0.2">
      <c r="D378" s="99"/>
    </row>
    <row r="379" spans="4:4" s="1136" customFormat="1" ht="15" customHeight="1" x14ac:dyDescent="0.2">
      <c r="D379" s="99"/>
    </row>
    <row r="380" spans="4:4" s="1136" customFormat="1" ht="15" customHeight="1" x14ac:dyDescent="0.2">
      <c r="D380" s="99"/>
    </row>
    <row r="381" spans="4:4" s="1136" customFormat="1" ht="15" customHeight="1" x14ac:dyDescent="0.2">
      <c r="D381" s="99"/>
    </row>
    <row r="382" spans="4:4" s="1136" customFormat="1" ht="15" customHeight="1" x14ac:dyDescent="0.2">
      <c r="D382" s="99"/>
    </row>
    <row r="383" spans="4:4" s="1136" customFormat="1" ht="15" customHeight="1" x14ac:dyDescent="0.2">
      <c r="D383" s="99"/>
    </row>
    <row r="384" spans="4:4" s="1136" customFormat="1" ht="15" customHeight="1" x14ac:dyDescent="0.2">
      <c r="D384" s="99"/>
    </row>
    <row r="385" spans="1:5" s="1136" customFormat="1" ht="15" customHeight="1" x14ac:dyDescent="0.2">
      <c r="D385" s="99"/>
    </row>
    <row r="386" spans="1:5" s="1136" customFormat="1" ht="15" customHeight="1" x14ac:dyDescent="0.2">
      <c r="D386" s="99"/>
    </row>
    <row r="387" spans="1:5" s="1136" customFormat="1" ht="15" customHeight="1" x14ac:dyDescent="0.2">
      <c r="D387" s="99"/>
    </row>
    <row r="388" spans="1:5" s="1136" customFormat="1" ht="15" customHeight="1" x14ac:dyDescent="0.2">
      <c r="D388" s="99"/>
    </row>
    <row r="389" spans="1:5" s="1136" customFormat="1" ht="15" customHeight="1" x14ac:dyDescent="0.2">
      <c r="D389" s="99"/>
    </row>
    <row r="390" spans="1:5" s="1136" customFormat="1" ht="15" customHeight="1" x14ac:dyDescent="0.2">
      <c r="D390" s="99"/>
    </row>
    <row r="391" spans="1:5" s="1136" customFormat="1" ht="15" customHeight="1" x14ac:dyDescent="0.2">
      <c r="D391" s="99"/>
    </row>
    <row r="392" spans="1:5" s="1136" customFormat="1" ht="15" customHeight="1" x14ac:dyDescent="0.2">
      <c r="D392" s="99"/>
    </row>
    <row r="393" spans="1:5" s="1136" customFormat="1" ht="15" customHeight="1" x14ac:dyDescent="0.2">
      <c r="D393" s="99"/>
    </row>
    <row r="394" spans="1:5" ht="15" customHeight="1" x14ac:dyDescent="0.2">
      <c r="A394" s="1136"/>
      <c r="B394" s="1136"/>
      <c r="C394" s="1136"/>
      <c r="E394" s="99"/>
    </row>
    <row r="395" spans="1:5" ht="15" customHeight="1" x14ac:dyDescent="0.2">
      <c r="A395" s="1136"/>
      <c r="B395" s="1136"/>
      <c r="C395" s="1136"/>
      <c r="E395" s="99"/>
    </row>
    <row r="396" spans="1:5" ht="15" customHeight="1" x14ac:dyDescent="0.2">
      <c r="A396" s="1136"/>
      <c r="B396" s="1136"/>
      <c r="C396" s="1136"/>
      <c r="E396" s="99"/>
    </row>
    <row r="397" spans="1:5" ht="15" customHeight="1" x14ac:dyDescent="0.2">
      <c r="A397" s="1136"/>
      <c r="B397" s="1136"/>
      <c r="C397" s="1136"/>
      <c r="E397" s="99"/>
    </row>
    <row r="398" spans="1:5" ht="15" customHeight="1" x14ac:dyDescent="0.2">
      <c r="A398" s="1136"/>
      <c r="B398" s="1136"/>
      <c r="C398" s="1136"/>
      <c r="E398" s="99"/>
    </row>
    <row r="399" spans="1:5" ht="15" customHeight="1" x14ac:dyDescent="0.2">
      <c r="A399" s="1136"/>
      <c r="B399" s="1136"/>
      <c r="C399" s="1136"/>
      <c r="E399" s="99"/>
    </row>
    <row r="400" spans="1:5" ht="15" customHeight="1" x14ac:dyDescent="0.2">
      <c r="A400" s="1136"/>
      <c r="B400" s="1136"/>
      <c r="C400" s="1136"/>
      <c r="E400" s="99"/>
    </row>
    <row r="401" spans="1:5" ht="15" customHeight="1" x14ac:dyDescent="0.2">
      <c r="A401" s="1136"/>
      <c r="B401" s="1136"/>
      <c r="C401" s="1136"/>
      <c r="E401" s="99"/>
    </row>
    <row r="402" spans="1:5" ht="15" customHeight="1" x14ac:dyDescent="0.2">
      <c r="A402" s="1136"/>
      <c r="B402" s="1136"/>
      <c r="C402" s="1136"/>
      <c r="E402" s="99"/>
    </row>
    <row r="403" spans="1:5" ht="15" customHeight="1" x14ac:dyDescent="0.2">
      <c r="A403" s="1136"/>
      <c r="B403" s="1136"/>
      <c r="C403" s="1136"/>
      <c r="E403" s="99"/>
    </row>
    <row r="404" spans="1:5" ht="15" customHeight="1" x14ac:dyDescent="0.2">
      <c r="A404" s="1136"/>
      <c r="B404" s="1136"/>
      <c r="C404" s="1136"/>
      <c r="E404" s="99"/>
    </row>
    <row r="405" spans="1:5" ht="15" customHeight="1" x14ac:dyDescent="0.2">
      <c r="A405" s="1136"/>
      <c r="B405" s="1136"/>
      <c r="C405" s="1136"/>
      <c r="E405" s="99"/>
    </row>
    <row r="406" spans="1:5" ht="15" customHeight="1" x14ac:dyDescent="0.2">
      <c r="A406" s="1136"/>
      <c r="B406" s="1136"/>
      <c r="C406" s="1136"/>
      <c r="E406" s="99"/>
    </row>
    <row r="407" spans="1:5" ht="15" customHeight="1" x14ac:dyDescent="0.2">
      <c r="A407" s="1136"/>
      <c r="B407" s="1136"/>
      <c r="C407" s="1136"/>
      <c r="E407" s="99"/>
    </row>
    <row r="408" spans="1:5" ht="15" customHeight="1" x14ac:dyDescent="0.2">
      <c r="A408" s="1136"/>
      <c r="B408" s="1136"/>
      <c r="C408" s="1136"/>
      <c r="E408" s="99"/>
    </row>
    <row r="409" spans="1:5" ht="15" customHeight="1" x14ac:dyDescent="0.2">
      <c r="A409" s="1136"/>
      <c r="B409" s="1136"/>
      <c r="C409" s="1136"/>
      <c r="E409" s="99"/>
    </row>
    <row r="410" spans="1:5" ht="15" customHeight="1" x14ac:dyDescent="0.2">
      <c r="A410" s="1136"/>
      <c r="B410" s="1136"/>
      <c r="C410" s="1136"/>
      <c r="E410" s="99"/>
    </row>
    <row r="411" spans="1:5" ht="15" customHeight="1" x14ac:dyDescent="0.2">
      <c r="A411" s="1136"/>
      <c r="B411" s="1136"/>
      <c r="C411" s="1136"/>
      <c r="E411" s="99"/>
    </row>
    <row r="412" spans="1:5" ht="15" customHeight="1" x14ac:dyDescent="0.2">
      <c r="A412" s="1136"/>
      <c r="B412" s="1136"/>
      <c r="C412" s="1136"/>
      <c r="E412" s="99"/>
    </row>
    <row r="413" spans="1:5" ht="15" customHeight="1" x14ac:dyDescent="0.2">
      <c r="A413" s="1136"/>
      <c r="B413" s="1136"/>
      <c r="C413" s="1136"/>
      <c r="E413" s="99"/>
    </row>
    <row r="414" spans="1:5" ht="15" customHeight="1" x14ac:dyDescent="0.2">
      <c r="A414" s="1136"/>
      <c r="B414" s="1136"/>
      <c r="C414" s="1136"/>
      <c r="E414" s="99"/>
    </row>
    <row r="415" spans="1:5" ht="15" customHeight="1" x14ac:dyDescent="0.2">
      <c r="A415" s="1136"/>
      <c r="B415" s="1136"/>
      <c r="C415" s="1136"/>
      <c r="E415" s="99"/>
    </row>
    <row r="416" spans="1:5" ht="15" customHeight="1" x14ac:dyDescent="0.2">
      <c r="A416" s="1136"/>
      <c r="B416" s="1136"/>
      <c r="C416" s="1136"/>
      <c r="E416" s="99"/>
    </row>
    <row r="417" spans="1:6" ht="15" customHeight="1" x14ac:dyDescent="0.2">
      <c r="A417" s="1136"/>
      <c r="B417" s="1136"/>
      <c r="C417" s="1136"/>
      <c r="E417" s="99"/>
    </row>
    <row r="418" spans="1:6" ht="15" customHeight="1" x14ac:dyDescent="0.2">
      <c r="A418" s="1136"/>
      <c r="B418" s="1136"/>
      <c r="C418" s="1136"/>
      <c r="E418" s="99"/>
    </row>
    <row r="419" spans="1:6" ht="15" customHeight="1" x14ac:dyDescent="0.2">
      <c r="A419" s="1136"/>
      <c r="B419" s="1136"/>
      <c r="C419" s="1136"/>
      <c r="E419" s="99"/>
    </row>
    <row r="420" spans="1:6" ht="15" customHeight="1" x14ac:dyDescent="0.2">
      <c r="A420" s="1136"/>
      <c r="B420" s="1136"/>
      <c r="C420" s="1136"/>
      <c r="E420" s="99"/>
    </row>
    <row r="421" spans="1:6" ht="15" customHeight="1" x14ac:dyDescent="0.2">
      <c r="A421" s="1136"/>
      <c r="B421" s="1136"/>
      <c r="C421" s="1136"/>
      <c r="E421" s="99"/>
    </row>
    <row r="422" spans="1:6" ht="15" customHeight="1" x14ac:dyDescent="0.2">
      <c r="A422" s="1136"/>
      <c r="B422" s="1136"/>
      <c r="C422" s="1136"/>
      <c r="E422" s="99"/>
    </row>
    <row r="423" spans="1:6" ht="15" customHeight="1" x14ac:dyDescent="0.2">
      <c r="A423" s="1136"/>
      <c r="B423" s="1136"/>
      <c r="C423" s="1136"/>
      <c r="E423" s="99"/>
    </row>
    <row r="424" spans="1:6" ht="15" customHeight="1" x14ac:dyDescent="0.2">
      <c r="A424" s="1136"/>
      <c r="B424" s="1136"/>
      <c r="C424" s="1136"/>
      <c r="E424" s="99"/>
      <c r="F424" s="99"/>
    </row>
    <row r="425" spans="1:6" ht="15" customHeight="1" x14ac:dyDescent="0.2">
      <c r="A425" s="1136"/>
      <c r="B425" s="1136"/>
      <c r="C425" s="1136"/>
      <c r="E425" s="99"/>
      <c r="F425" s="99"/>
    </row>
    <row r="426" spans="1:6" ht="15" customHeight="1" x14ac:dyDescent="0.2">
      <c r="A426" s="1136"/>
      <c r="B426" s="1136"/>
      <c r="C426" s="1136"/>
      <c r="E426" s="99"/>
      <c r="F426" s="99"/>
    </row>
    <row r="427" spans="1:6" ht="15" customHeight="1" x14ac:dyDescent="0.2">
      <c r="A427" s="1136"/>
      <c r="B427" s="1136"/>
      <c r="C427" s="1136"/>
      <c r="E427" s="99"/>
      <c r="F427" s="99"/>
    </row>
    <row r="428" spans="1:6" ht="15" customHeight="1" x14ac:dyDescent="0.2">
      <c r="A428" s="1136"/>
      <c r="B428" s="1136"/>
      <c r="C428" s="1136"/>
      <c r="E428" s="99"/>
      <c r="F428" s="99"/>
    </row>
    <row r="429" spans="1:6" ht="15" customHeight="1" x14ac:dyDescent="0.2">
      <c r="A429" s="1136"/>
      <c r="B429" s="1136"/>
      <c r="C429" s="1136"/>
      <c r="E429" s="99"/>
      <c r="F429" s="99"/>
    </row>
    <row r="430" spans="1:6" ht="15" customHeight="1" x14ac:dyDescent="0.2">
      <c r="A430" s="1136"/>
      <c r="B430" s="1136"/>
      <c r="C430" s="1136"/>
      <c r="E430" s="99"/>
      <c r="F430" s="99"/>
    </row>
    <row r="431" spans="1:6" ht="15" customHeight="1" x14ac:dyDescent="0.2">
      <c r="A431" s="1136"/>
      <c r="B431" s="1136"/>
      <c r="C431" s="1136"/>
      <c r="E431" s="99"/>
      <c r="F431" s="99"/>
    </row>
    <row r="432" spans="1:6" ht="15" customHeight="1" x14ac:dyDescent="0.2">
      <c r="A432" s="1136"/>
      <c r="B432" s="1136"/>
      <c r="C432" s="1136"/>
      <c r="E432" s="99"/>
    </row>
    <row r="433" spans="1:5" ht="15" customHeight="1" x14ac:dyDescent="0.2">
      <c r="A433" s="1136"/>
      <c r="B433" s="1136"/>
      <c r="C433" s="1136"/>
      <c r="E433" s="99"/>
    </row>
    <row r="434" spans="1:5" ht="15" customHeight="1" x14ac:dyDescent="0.2">
      <c r="A434" s="1136"/>
      <c r="B434" s="1136"/>
      <c r="C434" s="1136"/>
      <c r="E434" s="99"/>
    </row>
    <row r="435" spans="1:5" ht="15" customHeight="1" x14ac:dyDescent="0.2">
      <c r="A435" s="1136"/>
      <c r="B435" s="1136"/>
      <c r="C435" s="1136"/>
      <c r="D435" s="848"/>
      <c r="E435" s="99"/>
    </row>
    <row r="436" spans="1:5" ht="15" customHeight="1" x14ac:dyDescent="0.2">
      <c r="A436" s="1136"/>
      <c r="B436" s="1136"/>
      <c r="C436" s="1136"/>
      <c r="D436" s="848"/>
      <c r="E436" s="99"/>
    </row>
    <row r="437" spans="1:5" ht="15" customHeight="1" x14ac:dyDescent="0.2">
      <c r="A437" s="1136"/>
      <c r="B437" s="1136"/>
      <c r="C437" s="1136"/>
      <c r="D437" s="848"/>
      <c r="E437" s="99"/>
    </row>
    <row r="438" spans="1:5" ht="15" customHeight="1" x14ac:dyDescent="0.2">
      <c r="A438" s="1136"/>
      <c r="B438" s="1136"/>
      <c r="C438" s="1136"/>
      <c r="D438" s="848"/>
      <c r="E438" s="99"/>
    </row>
    <row r="439" spans="1:5" ht="15" customHeight="1" x14ac:dyDescent="0.2">
      <c r="A439" s="1136"/>
      <c r="B439" s="1136"/>
      <c r="C439" s="1136"/>
      <c r="D439" s="848"/>
      <c r="E439" s="99"/>
    </row>
    <row r="440" spans="1:5" ht="15" customHeight="1" x14ac:dyDescent="0.2">
      <c r="A440" s="1136"/>
      <c r="B440" s="1136"/>
      <c r="C440" s="1136"/>
      <c r="D440" s="848"/>
      <c r="E440" s="99"/>
    </row>
    <row r="441" spans="1:5" ht="15" customHeight="1" x14ac:dyDescent="0.2">
      <c r="A441" s="1136"/>
      <c r="B441" s="1136"/>
      <c r="C441" s="1136"/>
      <c r="D441" s="848"/>
      <c r="E441" s="99"/>
    </row>
    <row r="442" spans="1:5" ht="15" customHeight="1" x14ac:dyDescent="0.2">
      <c r="A442" s="1136"/>
      <c r="B442" s="1136"/>
      <c r="C442" s="1136"/>
      <c r="D442" s="848"/>
      <c r="E442" s="99"/>
    </row>
    <row r="443" spans="1:5" ht="15" customHeight="1" x14ac:dyDescent="0.2">
      <c r="A443" s="1136"/>
      <c r="B443" s="1136"/>
      <c r="C443" s="1136"/>
      <c r="D443" s="848"/>
      <c r="E443" s="99"/>
    </row>
    <row r="444" spans="1:5" ht="15" customHeight="1" x14ac:dyDescent="0.2">
      <c r="A444" s="1136"/>
      <c r="B444" s="1136"/>
      <c r="C444" s="1136"/>
      <c r="D444" s="848"/>
      <c r="E444" s="99"/>
    </row>
    <row r="445" spans="1:5" ht="15" customHeight="1" x14ac:dyDescent="0.2">
      <c r="A445" s="1136"/>
      <c r="B445" s="1136"/>
      <c r="C445" s="1136"/>
      <c r="D445" s="848"/>
      <c r="E445" s="99"/>
    </row>
    <row r="446" spans="1:5" ht="15" customHeight="1" x14ac:dyDescent="0.2">
      <c r="A446" s="1136"/>
      <c r="B446" s="1136"/>
      <c r="C446" s="1136"/>
      <c r="D446" s="848"/>
      <c r="E446" s="99"/>
    </row>
    <row r="447" spans="1:5" ht="15" customHeight="1" x14ac:dyDescent="0.2">
      <c r="A447" s="1136"/>
      <c r="B447" s="1136"/>
      <c r="C447" s="1136"/>
      <c r="D447" s="848"/>
      <c r="E447" s="99"/>
    </row>
    <row r="448" spans="1:5" ht="15" customHeight="1" x14ac:dyDescent="0.2">
      <c r="A448" s="1136"/>
      <c r="B448" s="1136"/>
      <c r="C448" s="1136"/>
      <c r="D448" s="848"/>
      <c r="E448" s="99"/>
    </row>
    <row r="449" spans="1:5" ht="15" customHeight="1" x14ac:dyDescent="0.2">
      <c r="A449" s="1136"/>
      <c r="B449" s="1136"/>
      <c r="C449" s="1136"/>
      <c r="D449" s="848"/>
      <c r="E449" s="99"/>
    </row>
    <row r="450" spans="1:5" ht="15" customHeight="1" x14ac:dyDescent="0.2">
      <c r="A450" s="1136"/>
      <c r="B450" s="1136"/>
      <c r="C450" s="1136"/>
      <c r="D450" s="848"/>
      <c r="E450" s="99"/>
    </row>
    <row r="451" spans="1:5" ht="15" customHeight="1" x14ac:dyDescent="0.2">
      <c r="A451" s="1136"/>
      <c r="B451" s="1136"/>
      <c r="C451" s="1136"/>
      <c r="D451" s="848"/>
      <c r="E451" s="99"/>
    </row>
    <row r="452" spans="1:5" ht="15" customHeight="1" x14ac:dyDescent="0.2">
      <c r="A452" s="1136"/>
      <c r="B452" s="1136"/>
      <c r="C452" s="1136"/>
      <c r="D452" s="848"/>
      <c r="E452" s="99"/>
    </row>
    <row r="453" spans="1:5" ht="15" customHeight="1" x14ac:dyDescent="0.2">
      <c r="A453" s="1136"/>
      <c r="B453" s="1136"/>
      <c r="C453" s="1136"/>
      <c r="D453" s="848"/>
      <c r="E453" s="99"/>
    </row>
    <row r="454" spans="1:5" ht="15" customHeight="1" x14ac:dyDescent="0.2">
      <c r="A454" s="1136"/>
      <c r="B454" s="1136"/>
      <c r="C454" s="1136"/>
      <c r="D454" s="848"/>
      <c r="E454" s="99"/>
    </row>
    <row r="455" spans="1:5" ht="15" customHeight="1" x14ac:dyDescent="0.2">
      <c r="A455" s="1136"/>
      <c r="B455" s="1136"/>
      <c r="C455" s="1136"/>
      <c r="D455" s="848"/>
      <c r="E455" s="99"/>
    </row>
    <row r="456" spans="1:5" ht="15" customHeight="1" x14ac:dyDescent="0.2">
      <c r="A456" s="1136"/>
      <c r="B456" s="1136"/>
      <c r="C456" s="1136"/>
      <c r="D456" s="848"/>
      <c r="E456" s="99"/>
    </row>
    <row r="457" spans="1:5" ht="15" customHeight="1" x14ac:dyDescent="0.2">
      <c r="A457" s="1136"/>
      <c r="B457" s="1136"/>
      <c r="C457" s="1136"/>
      <c r="D457" s="848"/>
      <c r="E457" s="99"/>
    </row>
    <row r="458" spans="1:5" ht="15" customHeight="1" x14ac:dyDescent="0.2">
      <c r="A458" s="1136"/>
      <c r="B458" s="1136"/>
      <c r="C458" s="1136"/>
      <c r="D458" s="848"/>
      <c r="E458" s="99"/>
    </row>
    <row r="459" spans="1:5" ht="15" customHeight="1" x14ac:dyDescent="0.2">
      <c r="A459" s="1136"/>
      <c r="B459" s="1136"/>
      <c r="C459" s="1136"/>
      <c r="D459" s="848"/>
      <c r="E459" s="99"/>
    </row>
    <row r="460" spans="1:5" ht="15" customHeight="1" x14ac:dyDescent="0.2">
      <c r="A460" s="1136"/>
      <c r="B460" s="1136"/>
      <c r="C460" s="1136"/>
      <c r="D460" s="848"/>
      <c r="E460" s="99"/>
    </row>
    <row r="461" spans="1:5" ht="15" customHeight="1" x14ac:dyDescent="0.2">
      <c r="A461" s="1136"/>
      <c r="B461" s="1136"/>
      <c r="C461" s="1136"/>
      <c r="D461" s="848"/>
      <c r="E461" s="99"/>
    </row>
    <row r="462" spans="1:5" ht="15" customHeight="1" x14ac:dyDescent="0.2">
      <c r="A462" s="1136"/>
      <c r="B462" s="1136"/>
      <c r="C462" s="1136"/>
      <c r="D462" s="848"/>
      <c r="E462" s="99"/>
    </row>
    <row r="463" spans="1:5" ht="15" customHeight="1" x14ac:dyDescent="0.2">
      <c r="A463" s="1136"/>
      <c r="B463" s="1136"/>
      <c r="C463" s="1136"/>
      <c r="D463" s="848"/>
      <c r="E463" s="99"/>
    </row>
    <row r="464" spans="1:5" ht="15" customHeight="1" x14ac:dyDescent="0.2">
      <c r="D464" s="848"/>
      <c r="E464" s="99"/>
    </row>
    <row r="465" spans="4:5" ht="15" customHeight="1" x14ac:dyDescent="0.2">
      <c r="D465" s="848"/>
      <c r="E465" s="99"/>
    </row>
    <row r="466" spans="4:5" ht="15" customHeight="1" x14ac:dyDescent="0.2">
      <c r="D466" s="848"/>
      <c r="E466" s="99"/>
    </row>
    <row r="467" spans="4:5" ht="15" customHeight="1" x14ac:dyDescent="0.2">
      <c r="D467" s="848"/>
      <c r="E467" s="99"/>
    </row>
    <row r="468" spans="4:5" ht="15" customHeight="1" x14ac:dyDescent="0.2">
      <c r="D468" s="848"/>
      <c r="E468" s="99"/>
    </row>
    <row r="469" spans="4:5" ht="15" customHeight="1" x14ac:dyDescent="0.2">
      <c r="D469" s="848"/>
      <c r="E469" s="99"/>
    </row>
    <row r="470" spans="4:5" ht="15" customHeight="1" x14ac:dyDescent="0.2">
      <c r="D470" s="848"/>
      <c r="E470" s="99"/>
    </row>
    <row r="471" spans="4:5" ht="15" customHeight="1" x14ac:dyDescent="0.2">
      <c r="D471" s="848"/>
      <c r="E471" s="99"/>
    </row>
    <row r="472" spans="4:5" ht="15" customHeight="1" x14ac:dyDescent="0.2">
      <c r="D472" s="848"/>
      <c r="E472" s="99"/>
    </row>
    <row r="473" spans="4:5" ht="15" customHeight="1" x14ac:dyDescent="0.2">
      <c r="D473" s="848"/>
      <c r="E473" s="99"/>
    </row>
    <row r="474" spans="4:5" ht="15" customHeight="1" x14ac:dyDescent="0.2">
      <c r="D474" s="848"/>
      <c r="E474" s="99"/>
    </row>
    <row r="475" spans="4:5" ht="15" customHeight="1" x14ac:dyDescent="0.2">
      <c r="D475" s="848"/>
      <c r="E475" s="99"/>
    </row>
    <row r="476" spans="4:5" ht="15" customHeight="1" x14ac:dyDescent="0.2">
      <c r="D476" s="848"/>
      <c r="E476" s="99"/>
    </row>
    <row r="477" spans="4:5" ht="15" customHeight="1" x14ac:dyDescent="0.2">
      <c r="D477" s="848"/>
      <c r="E477" s="99"/>
    </row>
    <row r="478" spans="4:5" ht="15" customHeight="1" x14ac:dyDescent="0.2">
      <c r="D478" s="848"/>
      <c r="E478" s="99"/>
    </row>
    <row r="479" spans="4:5" ht="15" customHeight="1" x14ac:dyDescent="0.2">
      <c r="D479" s="848"/>
      <c r="E479" s="99"/>
    </row>
    <row r="480" spans="4:5" ht="15" customHeight="1" x14ac:dyDescent="0.2">
      <c r="D480" s="848"/>
      <c r="E480" s="99"/>
    </row>
    <row r="481" spans="4:5" ht="15" customHeight="1" x14ac:dyDescent="0.2">
      <c r="D481" s="848"/>
      <c r="E481" s="99"/>
    </row>
    <row r="482" spans="4:5" ht="15" customHeight="1" x14ac:dyDescent="0.2">
      <c r="D482" s="848"/>
      <c r="E482" s="99"/>
    </row>
    <row r="483" spans="4:5" ht="15" customHeight="1" x14ac:dyDescent="0.2">
      <c r="D483" s="848"/>
      <c r="E483" s="99"/>
    </row>
    <row r="484" spans="4:5" ht="15" customHeight="1" x14ac:dyDescent="0.2">
      <c r="D484" s="848"/>
      <c r="E484" s="99"/>
    </row>
    <row r="485" spans="4:5" ht="15" customHeight="1" x14ac:dyDescent="0.2">
      <c r="D485" s="848"/>
      <c r="E485" s="99"/>
    </row>
    <row r="486" spans="4:5" ht="15" customHeight="1" x14ac:dyDescent="0.2">
      <c r="D486" s="848"/>
      <c r="E486" s="99"/>
    </row>
    <row r="487" spans="4:5" ht="15" customHeight="1" x14ac:dyDescent="0.2">
      <c r="D487" s="848"/>
      <c r="E487" s="99"/>
    </row>
    <row r="488" spans="4:5" ht="15" customHeight="1" x14ac:dyDescent="0.2">
      <c r="D488" s="848"/>
      <c r="E488" s="99"/>
    </row>
    <row r="489" spans="4:5" ht="15" customHeight="1" x14ac:dyDescent="0.2">
      <c r="D489" s="848"/>
      <c r="E489" s="99"/>
    </row>
    <row r="490" spans="4:5" ht="15" customHeight="1" x14ac:dyDescent="0.2">
      <c r="D490" s="848"/>
      <c r="E490" s="99"/>
    </row>
    <row r="491" spans="4:5" ht="15" customHeight="1" x14ac:dyDescent="0.2">
      <c r="D491" s="848"/>
      <c r="E491" s="99"/>
    </row>
    <row r="492" spans="4:5" ht="15" customHeight="1" x14ac:dyDescent="0.2">
      <c r="D492" s="848"/>
      <c r="E492" s="99"/>
    </row>
    <row r="493" spans="4:5" ht="15" customHeight="1" x14ac:dyDescent="0.2">
      <c r="D493" s="848"/>
      <c r="E493" s="99"/>
    </row>
    <row r="494" spans="4:5" ht="15" customHeight="1" x14ac:dyDescent="0.2">
      <c r="D494" s="848"/>
      <c r="E494" s="99"/>
    </row>
    <row r="495" spans="4:5" ht="15" customHeight="1" x14ac:dyDescent="0.2">
      <c r="D495" s="848"/>
      <c r="E495" s="99"/>
    </row>
    <row r="496" spans="4:5" ht="15" customHeight="1" x14ac:dyDescent="0.2">
      <c r="D496" s="848"/>
      <c r="E496" s="99"/>
    </row>
    <row r="497" spans="4:5" ht="15" customHeight="1" x14ac:dyDescent="0.2">
      <c r="D497" s="848"/>
      <c r="E497" s="99"/>
    </row>
    <row r="498" spans="4:5" ht="15" customHeight="1" x14ac:dyDescent="0.2">
      <c r="D498" s="848"/>
      <c r="E498" s="99"/>
    </row>
    <row r="499" spans="4:5" ht="15" customHeight="1" x14ac:dyDescent="0.2">
      <c r="D499" s="848"/>
      <c r="E499" s="99"/>
    </row>
    <row r="500" spans="4:5" ht="15" customHeight="1" x14ac:dyDescent="0.2">
      <c r="D500" s="848"/>
      <c r="E500" s="99"/>
    </row>
    <row r="501" spans="4:5" ht="15" customHeight="1" x14ac:dyDescent="0.2">
      <c r="D501" s="848"/>
      <c r="E501" s="99"/>
    </row>
    <row r="502" spans="4:5" ht="15" customHeight="1" x14ac:dyDescent="0.2">
      <c r="D502" s="848"/>
      <c r="E502" s="99"/>
    </row>
    <row r="503" spans="4:5" ht="15" customHeight="1" x14ac:dyDescent="0.2">
      <c r="D503" s="848"/>
      <c r="E503" s="99"/>
    </row>
    <row r="504" spans="4:5" ht="15" customHeight="1" x14ac:dyDescent="0.2">
      <c r="D504" s="848"/>
      <c r="E504" s="99"/>
    </row>
    <row r="505" spans="4:5" ht="15" customHeight="1" x14ac:dyDescent="0.2">
      <c r="D505" s="848"/>
      <c r="E505" s="99"/>
    </row>
    <row r="506" spans="4:5" ht="15" customHeight="1" x14ac:dyDescent="0.2">
      <c r="D506" s="848"/>
      <c r="E506" s="99"/>
    </row>
    <row r="507" spans="4:5" ht="15" customHeight="1" x14ac:dyDescent="0.2">
      <c r="D507" s="848"/>
      <c r="E507" s="99"/>
    </row>
    <row r="508" spans="4:5" ht="15" customHeight="1" x14ac:dyDescent="0.2">
      <c r="D508" s="848"/>
      <c r="E508" s="99"/>
    </row>
    <row r="509" spans="4:5" ht="15" customHeight="1" x14ac:dyDescent="0.2">
      <c r="D509" s="848"/>
      <c r="E509" s="99"/>
    </row>
    <row r="510" spans="4:5" ht="15" customHeight="1" x14ac:dyDescent="0.2">
      <c r="D510" s="848"/>
      <c r="E510" s="99"/>
    </row>
    <row r="511" spans="4:5" ht="15" customHeight="1" x14ac:dyDescent="0.2">
      <c r="D511" s="848"/>
      <c r="E511" s="99"/>
    </row>
    <row r="512" spans="4:5" ht="15" customHeight="1" x14ac:dyDescent="0.2">
      <c r="D512" s="848"/>
      <c r="E512" s="99"/>
    </row>
    <row r="513" spans="4:5" ht="15" customHeight="1" x14ac:dyDescent="0.2">
      <c r="D513" s="848"/>
      <c r="E513" s="99"/>
    </row>
    <row r="514" spans="4:5" ht="15" customHeight="1" x14ac:dyDescent="0.2">
      <c r="D514" s="848"/>
      <c r="E514" s="99"/>
    </row>
    <row r="515" spans="4:5" ht="15" customHeight="1" x14ac:dyDescent="0.2">
      <c r="D515" s="848"/>
      <c r="E515" s="99"/>
    </row>
    <row r="516" spans="4:5" ht="15" customHeight="1" x14ac:dyDescent="0.2">
      <c r="D516" s="848"/>
      <c r="E516" s="99"/>
    </row>
    <row r="517" spans="4:5" ht="15" customHeight="1" x14ac:dyDescent="0.2">
      <c r="D517" s="848"/>
      <c r="E517" s="99"/>
    </row>
    <row r="518" spans="4:5" ht="15" customHeight="1" x14ac:dyDescent="0.2">
      <c r="D518" s="848"/>
      <c r="E518" s="99"/>
    </row>
    <row r="519" spans="4:5" ht="15" customHeight="1" x14ac:dyDescent="0.2">
      <c r="D519" s="848"/>
      <c r="E519" s="99"/>
    </row>
    <row r="520" spans="4:5" ht="15" customHeight="1" x14ac:dyDescent="0.2">
      <c r="D520" s="848"/>
      <c r="E520" s="99"/>
    </row>
    <row r="521" spans="4:5" ht="15" customHeight="1" x14ac:dyDescent="0.2">
      <c r="D521" s="848"/>
      <c r="E521" s="99"/>
    </row>
    <row r="522" spans="4:5" ht="15" customHeight="1" x14ac:dyDescent="0.2">
      <c r="D522" s="848"/>
      <c r="E522" s="99"/>
    </row>
    <row r="523" spans="4:5" ht="15" customHeight="1" x14ac:dyDescent="0.2">
      <c r="D523" s="848"/>
      <c r="E523" s="99"/>
    </row>
    <row r="524" spans="4:5" ht="15" customHeight="1" x14ac:dyDescent="0.2">
      <c r="D524" s="848"/>
      <c r="E524" s="99"/>
    </row>
    <row r="525" spans="4:5" ht="15" customHeight="1" x14ac:dyDescent="0.2">
      <c r="D525" s="848"/>
      <c r="E525" s="99"/>
    </row>
    <row r="526" spans="4:5" ht="15" customHeight="1" x14ac:dyDescent="0.2">
      <c r="D526" s="848"/>
      <c r="E526" s="99"/>
    </row>
    <row r="527" spans="4:5" ht="15" customHeight="1" x14ac:dyDescent="0.2">
      <c r="D527" s="848"/>
      <c r="E527" s="99"/>
    </row>
    <row r="528" spans="4:5" ht="15" customHeight="1" x14ac:dyDescent="0.2">
      <c r="D528" s="848"/>
      <c r="E528" s="99"/>
    </row>
    <row r="529" spans="4:5" ht="15" customHeight="1" x14ac:dyDescent="0.2">
      <c r="D529" s="848"/>
      <c r="E529" s="99"/>
    </row>
    <row r="530" spans="4:5" ht="15" customHeight="1" x14ac:dyDescent="0.2">
      <c r="D530" s="848"/>
      <c r="E530" s="99"/>
    </row>
    <row r="531" spans="4:5" ht="15" customHeight="1" x14ac:dyDescent="0.2">
      <c r="D531" s="848"/>
      <c r="E531" s="99"/>
    </row>
    <row r="532" spans="4:5" ht="15" customHeight="1" x14ac:dyDescent="0.2">
      <c r="D532" s="848"/>
      <c r="E532" s="99"/>
    </row>
    <row r="533" spans="4:5" ht="15" customHeight="1" x14ac:dyDescent="0.2">
      <c r="D533" s="848"/>
      <c r="E533" s="99"/>
    </row>
    <row r="534" spans="4:5" ht="15" customHeight="1" x14ac:dyDescent="0.2">
      <c r="D534" s="848"/>
      <c r="E534" s="99"/>
    </row>
    <row r="535" spans="4:5" ht="15" customHeight="1" x14ac:dyDescent="0.2">
      <c r="D535" s="848"/>
      <c r="E535" s="99"/>
    </row>
    <row r="536" spans="4:5" ht="15" customHeight="1" x14ac:dyDescent="0.2">
      <c r="D536" s="848"/>
      <c r="E536" s="99"/>
    </row>
    <row r="537" spans="4:5" ht="15" customHeight="1" x14ac:dyDescent="0.2">
      <c r="D537" s="848"/>
      <c r="E537" s="99"/>
    </row>
    <row r="538" spans="4:5" ht="15" customHeight="1" x14ac:dyDescent="0.2">
      <c r="D538" s="848"/>
      <c r="E538" s="99"/>
    </row>
    <row r="539" spans="4:5" ht="15" customHeight="1" x14ac:dyDescent="0.2">
      <c r="D539" s="848"/>
      <c r="E539" s="99"/>
    </row>
    <row r="540" spans="4:5" ht="15" customHeight="1" x14ac:dyDescent="0.2">
      <c r="D540" s="848"/>
      <c r="E540" s="99"/>
    </row>
    <row r="541" spans="4:5" ht="15" customHeight="1" x14ac:dyDescent="0.2">
      <c r="D541" s="848"/>
      <c r="E541" s="99"/>
    </row>
    <row r="542" spans="4:5" ht="15" customHeight="1" x14ac:dyDescent="0.2">
      <c r="D542" s="848"/>
      <c r="E542" s="99"/>
    </row>
    <row r="543" spans="4:5" ht="15" customHeight="1" x14ac:dyDescent="0.2">
      <c r="D543" s="848"/>
      <c r="E543" s="99"/>
    </row>
    <row r="544" spans="4:5" ht="15" customHeight="1" x14ac:dyDescent="0.2">
      <c r="D544" s="848"/>
      <c r="E544" s="99"/>
    </row>
    <row r="545" spans="4:5" ht="15" customHeight="1" x14ac:dyDescent="0.2">
      <c r="D545" s="848"/>
      <c r="E545" s="99"/>
    </row>
    <row r="546" spans="4:5" ht="15" customHeight="1" x14ac:dyDescent="0.2">
      <c r="D546" s="848"/>
      <c r="E546" s="99"/>
    </row>
    <row r="547" spans="4:5" ht="15" customHeight="1" x14ac:dyDescent="0.2">
      <c r="D547" s="848"/>
      <c r="E547" s="99"/>
    </row>
    <row r="548" spans="4:5" ht="15" customHeight="1" x14ac:dyDescent="0.2">
      <c r="D548" s="848"/>
      <c r="E548" s="99"/>
    </row>
    <row r="549" spans="4:5" ht="15" customHeight="1" x14ac:dyDescent="0.2">
      <c r="D549" s="848"/>
      <c r="E549" s="99"/>
    </row>
    <row r="550" spans="4:5" ht="15" customHeight="1" x14ac:dyDescent="0.2">
      <c r="D550" s="848"/>
      <c r="E550" s="99"/>
    </row>
    <row r="551" spans="4:5" ht="15" customHeight="1" x14ac:dyDescent="0.2">
      <c r="D551" s="848"/>
      <c r="E551" s="99"/>
    </row>
    <row r="552" spans="4:5" ht="15" customHeight="1" x14ac:dyDescent="0.2">
      <c r="D552" s="848"/>
      <c r="E552" s="99"/>
    </row>
    <row r="553" spans="4:5" ht="15" customHeight="1" x14ac:dyDescent="0.2">
      <c r="D553" s="848"/>
      <c r="E553" s="99"/>
    </row>
    <row r="554" spans="4:5" ht="15" customHeight="1" x14ac:dyDescent="0.2">
      <c r="D554" s="848"/>
      <c r="E554" s="99"/>
    </row>
    <row r="555" spans="4:5" ht="15" customHeight="1" x14ac:dyDescent="0.2">
      <c r="D555" s="848"/>
      <c r="E555" s="99"/>
    </row>
    <row r="556" spans="4:5" ht="15" customHeight="1" x14ac:dyDescent="0.2">
      <c r="D556" s="848"/>
      <c r="E556" s="99"/>
    </row>
    <row r="557" spans="4:5" ht="15" customHeight="1" x14ac:dyDescent="0.2">
      <c r="D557" s="848"/>
      <c r="E557" s="99"/>
    </row>
    <row r="558" spans="4:5" ht="15" customHeight="1" x14ac:dyDescent="0.2">
      <c r="D558" s="848"/>
      <c r="E558" s="99"/>
    </row>
    <row r="559" spans="4:5" ht="15" customHeight="1" x14ac:dyDescent="0.2">
      <c r="D559" s="848"/>
      <c r="E559" s="99"/>
    </row>
    <row r="560" spans="4:5" ht="15" customHeight="1" x14ac:dyDescent="0.2">
      <c r="D560" s="848"/>
      <c r="E560" s="99"/>
    </row>
    <row r="561" spans="4:5" ht="15" customHeight="1" x14ac:dyDescent="0.2">
      <c r="D561" s="848"/>
      <c r="E561" s="99"/>
    </row>
    <row r="562" spans="4:5" ht="15" customHeight="1" x14ac:dyDescent="0.2">
      <c r="D562" s="848"/>
      <c r="E562" s="99"/>
    </row>
    <row r="563" spans="4:5" ht="15" customHeight="1" x14ac:dyDescent="0.2">
      <c r="D563" s="848"/>
      <c r="E563" s="99"/>
    </row>
    <row r="564" spans="4:5" ht="15" customHeight="1" x14ac:dyDescent="0.2">
      <c r="D564" s="848"/>
      <c r="E564" s="99"/>
    </row>
    <row r="565" spans="4:5" ht="15" customHeight="1" x14ac:dyDescent="0.2">
      <c r="D565" s="848"/>
      <c r="E565" s="99"/>
    </row>
    <row r="566" spans="4:5" ht="15" customHeight="1" x14ac:dyDescent="0.2">
      <c r="D566" s="848"/>
      <c r="E566" s="99"/>
    </row>
    <row r="567" spans="4:5" ht="15" customHeight="1" x14ac:dyDescent="0.2">
      <c r="D567" s="848"/>
      <c r="E567" s="99"/>
    </row>
    <row r="568" spans="4:5" ht="15" customHeight="1" x14ac:dyDescent="0.2">
      <c r="D568" s="848"/>
      <c r="E568" s="99"/>
    </row>
    <row r="569" spans="4:5" ht="15" customHeight="1" x14ac:dyDescent="0.2">
      <c r="D569" s="848"/>
      <c r="E569" s="99"/>
    </row>
    <row r="570" spans="4:5" ht="15" customHeight="1" x14ac:dyDescent="0.2">
      <c r="D570" s="848"/>
      <c r="E570" s="99"/>
    </row>
    <row r="571" spans="4:5" ht="15" customHeight="1" x14ac:dyDescent="0.2">
      <c r="D571" s="848"/>
      <c r="E571" s="99"/>
    </row>
    <row r="572" spans="4:5" ht="15" customHeight="1" x14ac:dyDescent="0.2">
      <c r="D572" s="848"/>
      <c r="E572" s="99"/>
    </row>
    <row r="573" spans="4:5" ht="15" customHeight="1" x14ac:dyDescent="0.2">
      <c r="D573" s="848"/>
      <c r="E573" s="99"/>
    </row>
    <row r="574" spans="4:5" ht="15" customHeight="1" x14ac:dyDescent="0.2">
      <c r="D574" s="848"/>
      <c r="E574" s="99"/>
    </row>
    <row r="575" spans="4:5" ht="15" customHeight="1" x14ac:dyDescent="0.2">
      <c r="D575" s="848"/>
      <c r="E575" s="99"/>
    </row>
    <row r="576" spans="4:5" ht="15" customHeight="1" x14ac:dyDescent="0.2">
      <c r="D576" s="848"/>
      <c r="E576" s="99"/>
    </row>
    <row r="577" spans="2:5" ht="15" customHeight="1" x14ac:dyDescent="0.2">
      <c r="D577" s="848"/>
      <c r="E577" s="99"/>
    </row>
    <row r="578" spans="2:5" ht="15" customHeight="1" x14ac:dyDescent="0.2">
      <c r="D578" s="848"/>
      <c r="E578" s="99"/>
    </row>
    <row r="579" spans="2:5" ht="15" customHeight="1" x14ac:dyDescent="0.2">
      <c r="D579" s="848"/>
      <c r="E579" s="99"/>
    </row>
    <row r="580" spans="2:5" ht="15" customHeight="1" x14ac:dyDescent="0.2">
      <c r="D580" s="848"/>
      <c r="E580" s="99"/>
    </row>
    <row r="581" spans="2:5" ht="15" customHeight="1" x14ac:dyDescent="0.2">
      <c r="D581" s="848"/>
      <c r="E581" s="99"/>
    </row>
    <row r="582" spans="2:5" ht="15" customHeight="1" x14ac:dyDescent="0.2">
      <c r="D582" s="848"/>
      <c r="E582" s="99"/>
    </row>
    <row r="583" spans="2:5" ht="15" customHeight="1" x14ac:dyDescent="0.2">
      <c r="B583" s="1135"/>
      <c r="C583" s="1625"/>
      <c r="D583" s="848"/>
      <c r="E583" s="99"/>
    </row>
    <row r="584" spans="2:5" ht="15" customHeight="1" x14ac:dyDescent="0.2">
      <c r="B584" s="1135"/>
      <c r="C584" s="1625"/>
      <c r="D584" s="848"/>
      <c r="E584" s="99"/>
    </row>
    <row r="585" spans="2:5" ht="15" customHeight="1" x14ac:dyDescent="0.2">
      <c r="B585" s="1135"/>
      <c r="C585" s="1625"/>
      <c r="D585" s="848"/>
      <c r="E585" s="99"/>
    </row>
    <row r="586" spans="2:5" ht="15" customHeight="1" x14ac:dyDescent="0.2">
      <c r="B586" s="1135"/>
      <c r="C586" s="1625"/>
      <c r="D586" s="848"/>
      <c r="E586" s="99"/>
    </row>
    <row r="587" spans="2:5" ht="15" customHeight="1" x14ac:dyDescent="0.2">
      <c r="B587" s="1135"/>
      <c r="C587" s="1625"/>
      <c r="D587" s="848"/>
      <c r="E587" s="99"/>
    </row>
    <row r="588" spans="2:5" ht="15" customHeight="1" x14ac:dyDescent="0.2">
      <c r="B588" s="1135"/>
      <c r="C588" s="1625"/>
      <c r="D588" s="848"/>
      <c r="E588" s="99"/>
    </row>
    <row r="589" spans="2:5" ht="15" customHeight="1" x14ac:dyDescent="0.2">
      <c r="B589" s="1135"/>
      <c r="C589" s="1625"/>
      <c r="D589" s="848"/>
      <c r="E589" s="99"/>
    </row>
    <row r="590" spans="2:5" ht="15" customHeight="1" x14ac:dyDescent="0.2">
      <c r="B590" s="1135"/>
      <c r="C590" s="1625"/>
      <c r="D590" s="848"/>
      <c r="E590" s="99"/>
    </row>
    <row r="591" spans="2:5" ht="15" customHeight="1" x14ac:dyDescent="0.2">
      <c r="B591" s="1135"/>
      <c r="C591" s="1625"/>
      <c r="D591" s="848"/>
      <c r="E591" s="99"/>
    </row>
    <row r="592" spans="2:5" ht="15" customHeight="1" x14ac:dyDescent="0.2">
      <c r="B592" s="1135"/>
      <c r="C592" s="1625"/>
      <c r="D592" s="848"/>
      <c r="E592" s="99"/>
    </row>
    <row r="593" spans="2:5" ht="15" customHeight="1" x14ac:dyDescent="0.2">
      <c r="B593" s="1135"/>
      <c r="C593" s="1625"/>
      <c r="D593" s="848"/>
      <c r="E593" s="99"/>
    </row>
    <row r="594" spans="2:5" ht="15" customHeight="1" x14ac:dyDescent="0.2">
      <c r="B594" s="1135"/>
      <c r="C594" s="1625"/>
      <c r="D594" s="848"/>
      <c r="E594" s="99"/>
    </row>
    <row r="595" spans="2:5" ht="15" customHeight="1" x14ac:dyDescent="0.2">
      <c r="B595" s="1135"/>
      <c r="C595" s="1625"/>
      <c r="D595" s="848"/>
      <c r="E595" s="99"/>
    </row>
    <row r="596" spans="2:5" ht="15" customHeight="1" x14ac:dyDescent="0.2">
      <c r="B596" s="1135"/>
      <c r="C596" s="1625"/>
      <c r="D596" s="848"/>
      <c r="E596" s="99"/>
    </row>
    <row r="597" spans="2:5" ht="15" customHeight="1" x14ac:dyDescent="0.2">
      <c r="B597" s="1135"/>
      <c r="C597" s="1625"/>
      <c r="D597" s="848"/>
      <c r="E597" s="99"/>
    </row>
    <row r="598" spans="2:5" ht="15" customHeight="1" x14ac:dyDescent="0.2">
      <c r="B598" s="1135"/>
      <c r="C598" s="1625"/>
      <c r="D598" s="848"/>
      <c r="E598" s="99"/>
    </row>
    <row r="599" spans="2:5" ht="15" customHeight="1" x14ac:dyDescent="0.2">
      <c r="B599" s="1135"/>
      <c r="C599" s="1625"/>
      <c r="D599" s="848"/>
      <c r="E599" s="99"/>
    </row>
    <row r="600" spans="2:5" ht="15" customHeight="1" x14ac:dyDescent="0.2">
      <c r="B600" s="1135"/>
      <c r="C600" s="1625"/>
      <c r="D600" s="848"/>
      <c r="E600" s="99"/>
    </row>
    <row r="601" spans="2:5" ht="15" customHeight="1" x14ac:dyDescent="0.2">
      <c r="B601" s="1135"/>
      <c r="C601" s="1625"/>
      <c r="D601" s="848"/>
      <c r="E601" s="99"/>
    </row>
    <row r="602" spans="2:5" ht="15" customHeight="1" x14ac:dyDescent="0.2">
      <c r="B602" s="1135"/>
      <c r="C602" s="1625"/>
      <c r="D602" s="848"/>
      <c r="E602" s="99"/>
    </row>
    <row r="603" spans="2:5" ht="15" customHeight="1" x14ac:dyDescent="0.2">
      <c r="B603" s="1135"/>
      <c r="C603" s="1625"/>
      <c r="D603" s="848"/>
      <c r="E603" s="99"/>
    </row>
    <row r="604" spans="2:5" ht="15" customHeight="1" x14ac:dyDescent="0.2">
      <c r="B604" s="1135"/>
      <c r="C604" s="1625"/>
      <c r="D604" s="848"/>
      <c r="E604" s="99"/>
    </row>
    <row r="605" spans="2:5" ht="15" customHeight="1" x14ac:dyDescent="0.2">
      <c r="B605" s="1135"/>
      <c r="C605" s="1625"/>
      <c r="D605" s="848"/>
      <c r="E605" s="99"/>
    </row>
    <row r="606" spans="2:5" ht="15" customHeight="1" x14ac:dyDescent="0.2">
      <c r="B606" s="1135"/>
      <c r="C606" s="1625"/>
      <c r="D606" s="848"/>
      <c r="E606" s="99"/>
    </row>
    <row r="607" spans="2:5" ht="15" customHeight="1" x14ac:dyDescent="0.2">
      <c r="B607" s="1135"/>
      <c r="C607" s="1625"/>
      <c r="D607" s="848"/>
      <c r="E607" s="99"/>
    </row>
    <row r="608" spans="2:5" ht="15" customHeight="1" x14ac:dyDescent="0.2">
      <c r="D608" s="848"/>
      <c r="E608" s="99"/>
    </row>
    <row r="609" spans="4:5" ht="15" customHeight="1" x14ac:dyDescent="0.2">
      <c r="D609" s="848"/>
      <c r="E609" s="99"/>
    </row>
    <row r="610" spans="4:5" ht="15" customHeight="1" x14ac:dyDescent="0.2">
      <c r="D610" s="848"/>
      <c r="E610" s="99"/>
    </row>
    <row r="611" spans="4:5" ht="15" customHeight="1" x14ac:dyDescent="0.2">
      <c r="D611" s="848"/>
      <c r="E611" s="99"/>
    </row>
    <row r="612" spans="4:5" ht="15" customHeight="1" x14ac:dyDescent="0.2">
      <c r="D612" s="848"/>
      <c r="E612" s="99"/>
    </row>
    <row r="613" spans="4:5" ht="15" customHeight="1" x14ac:dyDescent="0.2">
      <c r="D613" s="848"/>
      <c r="E613" s="99"/>
    </row>
    <row r="614" spans="4:5" ht="15" customHeight="1" x14ac:dyDescent="0.2">
      <c r="D614" s="848"/>
      <c r="E614" s="99"/>
    </row>
    <row r="615" spans="4:5" ht="15" customHeight="1" x14ac:dyDescent="0.2">
      <c r="D615" s="848"/>
      <c r="E615" s="99"/>
    </row>
    <row r="616" spans="4:5" ht="15" customHeight="1" x14ac:dyDescent="0.2">
      <c r="D616" s="848"/>
      <c r="E616" s="99"/>
    </row>
    <row r="617" spans="4:5" ht="15" customHeight="1" x14ac:dyDescent="0.2">
      <c r="D617" s="848"/>
      <c r="E617" s="99"/>
    </row>
    <row r="618" spans="4:5" ht="15" customHeight="1" x14ac:dyDescent="0.2">
      <c r="D618" s="848"/>
      <c r="E618" s="99"/>
    </row>
    <row r="619" spans="4:5" ht="15" customHeight="1" x14ac:dyDescent="0.2">
      <c r="D619" s="848"/>
      <c r="E619" s="99"/>
    </row>
    <row r="620" spans="4:5" ht="15" customHeight="1" x14ac:dyDescent="0.2">
      <c r="D620" s="848"/>
      <c r="E620" s="99"/>
    </row>
    <row r="621" spans="4:5" ht="15" customHeight="1" x14ac:dyDescent="0.2">
      <c r="D621" s="848"/>
      <c r="E621" s="99"/>
    </row>
    <row r="622" spans="4:5" ht="15" customHeight="1" x14ac:dyDescent="0.2">
      <c r="D622" s="848"/>
      <c r="E622" s="99"/>
    </row>
    <row r="623" spans="4:5" ht="15" customHeight="1" x14ac:dyDescent="0.2">
      <c r="D623" s="848"/>
      <c r="E623" s="99"/>
    </row>
    <row r="624" spans="4:5" ht="15" customHeight="1" x14ac:dyDescent="0.2">
      <c r="D624" s="848"/>
      <c r="E624" s="99"/>
    </row>
    <row r="625" spans="4:5" ht="15" customHeight="1" x14ac:dyDescent="0.2">
      <c r="D625" s="848"/>
      <c r="E625" s="99"/>
    </row>
    <row r="626" spans="4:5" ht="15" customHeight="1" x14ac:dyDescent="0.2">
      <c r="D626" s="848"/>
      <c r="E626" s="99"/>
    </row>
    <row r="627" spans="4:5" ht="15" customHeight="1" x14ac:dyDescent="0.2">
      <c r="D627" s="848"/>
      <c r="E627" s="99"/>
    </row>
    <row r="628" spans="4:5" ht="15" customHeight="1" x14ac:dyDescent="0.2">
      <c r="D628" s="848"/>
      <c r="E628" s="99"/>
    </row>
    <row r="629" spans="4:5" ht="15" customHeight="1" x14ac:dyDescent="0.2">
      <c r="D629" s="848"/>
      <c r="E629" s="99"/>
    </row>
    <row r="630" spans="4:5" ht="15" customHeight="1" x14ac:dyDescent="0.2">
      <c r="D630" s="848"/>
      <c r="E630" s="99"/>
    </row>
    <row r="631" spans="4:5" ht="15" customHeight="1" x14ac:dyDescent="0.2">
      <c r="D631" s="848"/>
      <c r="E631" s="99"/>
    </row>
    <row r="632" spans="4:5" ht="15" customHeight="1" x14ac:dyDescent="0.2">
      <c r="D632" s="848"/>
      <c r="E632" s="99"/>
    </row>
    <row r="633" spans="4:5" ht="15" customHeight="1" x14ac:dyDescent="0.2">
      <c r="D633" s="848"/>
      <c r="E633" s="99"/>
    </row>
    <row r="634" spans="4:5" ht="15" customHeight="1" x14ac:dyDescent="0.2">
      <c r="D634" s="848"/>
      <c r="E634" s="99"/>
    </row>
    <row r="635" spans="4:5" ht="15" customHeight="1" x14ac:dyDescent="0.2">
      <c r="D635" s="848"/>
      <c r="E635" s="99"/>
    </row>
    <row r="636" spans="4:5" ht="15" customHeight="1" x14ac:dyDescent="0.2">
      <c r="D636" s="848"/>
      <c r="E636" s="99"/>
    </row>
    <row r="637" spans="4:5" ht="15" customHeight="1" x14ac:dyDescent="0.2">
      <c r="D637" s="848"/>
      <c r="E637" s="99"/>
    </row>
    <row r="638" spans="4:5" ht="15" customHeight="1" x14ac:dyDescent="0.2">
      <c r="D638" s="848"/>
      <c r="E638" s="99"/>
    </row>
    <row r="639" spans="4:5" ht="15" customHeight="1" x14ac:dyDescent="0.2">
      <c r="D639" s="848"/>
      <c r="E639" s="99"/>
    </row>
    <row r="640" spans="4:5" ht="15" customHeight="1" x14ac:dyDescent="0.2">
      <c r="D640" s="848"/>
      <c r="E640" s="99"/>
    </row>
    <row r="641" spans="4:5" ht="15" customHeight="1" x14ac:dyDescent="0.2">
      <c r="D641" s="848"/>
      <c r="E641" s="99"/>
    </row>
    <row r="642" spans="4:5" ht="15" customHeight="1" x14ac:dyDescent="0.2">
      <c r="D642" s="848"/>
      <c r="E642" s="99"/>
    </row>
    <row r="643" spans="4:5" ht="15" customHeight="1" x14ac:dyDescent="0.2">
      <c r="D643" s="848"/>
      <c r="E643" s="99"/>
    </row>
    <row r="644" spans="4:5" ht="15" customHeight="1" x14ac:dyDescent="0.2">
      <c r="D644" s="848"/>
      <c r="E644" s="99"/>
    </row>
    <row r="645" spans="4:5" ht="15" customHeight="1" x14ac:dyDescent="0.2">
      <c r="D645" s="848"/>
      <c r="E645" s="99"/>
    </row>
    <row r="646" spans="4:5" ht="15" customHeight="1" x14ac:dyDescent="0.2">
      <c r="D646" s="848"/>
      <c r="E646" s="99"/>
    </row>
    <row r="647" spans="4:5" ht="15" customHeight="1" x14ac:dyDescent="0.2">
      <c r="D647" s="848"/>
      <c r="E647" s="99"/>
    </row>
    <row r="648" spans="4:5" ht="15" customHeight="1" x14ac:dyDescent="0.2">
      <c r="D648" s="848"/>
      <c r="E648" s="99"/>
    </row>
    <row r="649" spans="4:5" ht="15" customHeight="1" x14ac:dyDescent="0.2">
      <c r="D649" s="848"/>
      <c r="E649" s="99"/>
    </row>
    <row r="650" spans="4:5" ht="15" customHeight="1" x14ac:dyDescent="0.2">
      <c r="D650" s="848"/>
      <c r="E650" s="99"/>
    </row>
    <row r="651" spans="4:5" ht="15" customHeight="1" x14ac:dyDescent="0.2">
      <c r="D651" s="848"/>
      <c r="E651" s="99"/>
    </row>
    <row r="652" spans="4:5" ht="15" customHeight="1" x14ac:dyDescent="0.2">
      <c r="D652" s="848"/>
      <c r="E652" s="99"/>
    </row>
    <row r="653" spans="4:5" ht="15" customHeight="1" x14ac:dyDescent="0.2">
      <c r="D653" s="848"/>
      <c r="E653" s="99"/>
    </row>
    <row r="654" spans="4:5" ht="15" customHeight="1" x14ac:dyDescent="0.2">
      <c r="D654" s="848"/>
      <c r="E654" s="99"/>
    </row>
    <row r="655" spans="4:5" ht="15" customHeight="1" x14ac:dyDescent="0.2">
      <c r="D655" s="848"/>
      <c r="E655" s="99"/>
    </row>
    <row r="656" spans="4:5" ht="15" customHeight="1" x14ac:dyDescent="0.2">
      <c r="D656" s="848"/>
      <c r="E656" s="99"/>
    </row>
    <row r="657" spans="4:5" ht="15" customHeight="1" x14ac:dyDescent="0.2">
      <c r="D657" s="848"/>
      <c r="E657" s="99"/>
    </row>
    <row r="658" spans="4:5" ht="15" customHeight="1" x14ac:dyDescent="0.2">
      <c r="D658" s="848"/>
      <c r="E658" s="99"/>
    </row>
    <row r="659" spans="4:5" ht="15" customHeight="1" x14ac:dyDescent="0.2">
      <c r="D659" s="848"/>
      <c r="E659" s="99"/>
    </row>
    <row r="660" spans="4:5" ht="15" customHeight="1" x14ac:dyDescent="0.2">
      <c r="D660" s="848"/>
      <c r="E660" s="99"/>
    </row>
    <row r="661" spans="4:5" ht="15" customHeight="1" x14ac:dyDescent="0.2">
      <c r="D661" s="848"/>
      <c r="E661" s="99"/>
    </row>
    <row r="662" spans="4:5" ht="15" customHeight="1" x14ac:dyDescent="0.2">
      <c r="D662" s="848"/>
      <c r="E662" s="99"/>
    </row>
    <row r="663" spans="4:5" ht="15" customHeight="1" x14ac:dyDescent="0.2">
      <c r="D663" s="848"/>
      <c r="E663" s="99"/>
    </row>
    <row r="664" spans="4:5" ht="15" customHeight="1" x14ac:dyDescent="0.2">
      <c r="D664" s="848"/>
      <c r="E664" s="99"/>
    </row>
    <row r="665" spans="4:5" ht="15" customHeight="1" x14ac:dyDescent="0.2">
      <c r="D665" s="848"/>
      <c r="E665" s="99"/>
    </row>
    <row r="666" spans="4:5" ht="15" customHeight="1" x14ac:dyDescent="0.2">
      <c r="D666" s="848"/>
      <c r="E666" s="99"/>
    </row>
    <row r="667" spans="4:5" ht="15" customHeight="1" x14ac:dyDescent="0.2">
      <c r="D667" s="848"/>
      <c r="E667" s="99"/>
    </row>
    <row r="668" spans="4:5" ht="15" customHeight="1" x14ac:dyDescent="0.2">
      <c r="D668" s="848"/>
      <c r="E668" s="99"/>
    </row>
    <row r="669" spans="4:5" ht="15" customHeight="1" x14ac:dyDescent="0.2">
      <c r="D669" s="848"/>
      <c r="E669" s="99"/>
    </row>
    <row r="670" spans="4:5" ht="15" customHeight="1" x14ac:dyDescent="0.2">
      <c r="D670" s="848"/>
      <c r="E670" s="99"/>
    </row>
    <row r="671" spans="4:5" ht="15" customHeight="1" x14ac:dyDescent="0.2">
      <c r="D671" s="848"/>
      <c r="E671" s="99"/>
    </row>
    <row r="672" spans="4:5" ht="15" customHeight="1" x14ac:dyDescent="0.2">
      <c r="D672" s="848"/>
      <c r="E672" s="99"/>
    </row>
    <row r="673" spans="4:5" ht="15" customHeight="1" x14ac:dyDescent="0.2">
      <c r="D673" s="848"/>
      <c r="E673" s="99"/>
    </row>
    <row r="674" spans="4:5" ht="15" customHeight="1" x14ac:dyDescent="0.2">
      <c r="D674" s="848"/>
      <c r="E674" s="99"/>
    </row>
    <row r="675" spans="4:5" ht="15" customHeight="1" x14ac:dyDescent="0.2">
      <c r="D675" s="848"/>
      <c r="E675" s="99"/>
    </row>
    <row r="676" spans="4:5" ht="15" customHeight="1" x14ac:dyDescent="0.2">
      <c r="D676" s="848"/>
      <c r="E676" s="99"/>
    </row>
    <row r="677" spans="4:5" ht="15" customHeight="1" x14ac:dyDescent="0.2">
      <c r="D677" s="848"/>
      <c r="E677" s="99"/>
    </row>
    <row r="678" spans="4:5" ht="15" customHeight="1" x14ac:dyDescent="0.2">
      <c r="D678" s="848"/>
      <c r="E678" s="99"/>
    </row>
    <row r="679" spans="4:5" ht="15" customHeight="1" x14ac:dyDescent="0.2">
      <c r="D679" s="848"/>
      <c r="E679" s="99"/>
    </row>
    <row r="680" spans="4:5" ht="15" customHeight="1" x14ac:dyDescent="0.2">
      <c r="D680" s="848"/>
      <c r="E680" s="99"/>
    </row>
    <row r="681" spans="4:5" ht="15" customHeight="1" x14ac:dyDescent="0.2">
      <c r="D681" s="848"/>
      <c r="E681" s="99"/>
    </row>
    <row r="682" spans="4:5" ht="15" customHeight="1" x14ac:dyDescent="0.2">
      <c r="D682" s="848"/>
      <c r="E682" s="99"/>
    </row>
    <row r="683" spans="4:5" ht="15" customHeight="1" x14ac:dyDescent="0.2">
      <c r="D683" s="848"/>
      <c r="E683" s="99"/>
    </row>
    <row r="684" spans="4:5" ht="15" customHeight="1" x14ac:dyDescent="0.2">
      <c r="D684" s="848"/>
      <c r="E684" s="99"/>
    </row>
    <row r="685" spans="4:5" ht="15" customHeight="1" x14ac:dyDescent="0.2">
      <c r="D685" s="848"/>
      <c r="E685" s="99"/>
    </row>
    <row r="686" spans="4:5" ht="15" customHeight="1" x14ac:dyDescent="0.2">
      <c r="D686" s="848"/>
      <c r="E686" s="99"/>
    </row>
    <row r="687" spans="4:5" ht="15" customHeight="1" x14ac:dyDescent="0.2">
      <c r="D687" s="848"/>
      <c r="E687" s="99"/>
    </row>
    <row r="688" spans="4:5" ht="15" customHeight="1" x14ac:dyDescent="0.2">
      <c r="D688" s="848"/>
      <c r="E688" s="99"/>
    </row>
    <row r="689" spans="4:5" ht="15" customHeight="1" x14ac:dyDescent="0.2">
      <c r="D689" s="848"/>
      <c r="E689" s="99"/>
    </row>
    <row r="690" spans="4:5" ht="15" customHeight="1" x14ac:dyDescent="0.2">
      <c r="D690" s="848"/>
      <c r="E690" s="99"/>
    </row>
    <row r="691" spans="4:5" ht="15" customHeight="1" x14ac:dyDescent="0.2">
      <c r="D691" s="848"/>
      <c r="E691" s="99"/>
    </row>
    <row r="692" spans="4:5" ht="15" customHeight="1" x14ac:dyDescent="0.2">
      <c r="D692" s="848"/>
      <c r="E692" s="99"/>
    </row>
    <row r="693" spans="4:5" ht="15" customHeight="1" x14ac:dyDescent="0.2">
      <c r="D693" s="848"/>
      <c r="E693" s="99"/>
    </row>
    <row r="694" spans="4:5" ht="15" customHeight="1" x14ac:dyDescent="0.2">
      <c r="D694" s="848"/>
      <c r="E694" s="99"/>
    </row>
    <row r="695" spans="4:5" ht="15" customHeight="1" x14ac:dyDescent="0.2">
      <c r="D695" s="848"/>
      <c r="E695" s="99"/>
    </row>
    <row r="696" spans="4:5" ht="15" customHeight="1" x14ac:dyDescent="0.2">
      <c r="D696" s="848"/>
      <c r="E696" s="99"/>
    </row>
    <row r="697" spans="4:5" ht="15" customHeight="1" x14ac:dyDescent="0.2">
      <c r="D697" s="848"/>
      <c r="E697" s="99"/>
    </row>
    <row r="698" spans="4:5" ht="15" customHeight="1" x14ac:dyDescent="0.2">
      <c r="D698" s="848"/>
      <c r="E698" s="99"/>
    </row>
    <row r="699" spans="4:5" ht="15" customHeight="1" x14ac:dyDescent="0.2">
      <c r="D699" s="848"/>
      <c r="E699" s="99"/>
    </row>
    <row r="700" spans="4:5" ht="15" customHeight="1" x14ac:dyDescent="0.2">
      <c r="D700" s="848"/>
      <c r="E700" s="99"/>
    </row>
    <row r="701" spans="4:5" ht="15" customHeight="1" x14ac:dyDescent="0.2">
      <c r="D701" s="848"/>
      <c r="E701" s="99"/>
    </row>
    <row r="702" spans="4:5" ht="15" customHeight="1" x14ac:dyDescent="0.2">
      <c r="D702" s="848"/>
      <c r="E702" s="99"/>
    </row>
    <row r="703" spans="4:5" ht="15" customHeight="1" x14ac:dyDescent="0.2">
      <c r="D703" s="848"/>
      <c r="E703" s="99"/>
    </row>
    <row r="704" spans="4:5" ht="15" customHeight="1" x14ac:dyDescent="0.2">
      <c r="D704" s="848"/>
      <c r="E704" s="99"/>
    </row>
    <row r="705" spans="4:5" ht="15" customHeight="1" x14ac:dyDescent="0.2">
      <c r="D705" s="848"/>
      <c r="E705" s="99"/>
    </row>
    <row r="706" spans="4:5" ht="15" customHeight="1" x14ac:dyDescent="0.2">
      <c r="D706" s="848"/>
      <c r="E706" s="99"/>
    </row>
    <row r="707" spans="4:5" ht="15" customHeight="1" x14ac:dyDescent="0.2">
      <c r="D707" s="848"/>
      <c r="E707" s="99"/>
    </row>
    <row r="708" spans="4:5" ht="15" customHeight="1" x14ac:dyDescent="0.2">
      <c r="D708" s="848"/>
      <c r="E708" s="99"/>
    </row>
    <row r="709" spans="4:5" ht="15" customHeight="1" x14ac:dyDescent="0.2">
      <c r="D709" s="848"/>
      <c r="E709" s="99"/>
    </row>
    <row r="710" spans="4:5" ht="15" customHeight="1" x14ac:dyDescent="0.2">
      <c r="D710" s="848"/>
      <c r="E710" s="99"/>
    </row>
    <row r="711" spans="4:5" ht="15" customHeight="1" x14ac:dyDescent="0.2">
      <c r="D711" s="848"/>
      <c r="E711" s="99"/>
    </row>
    <row r="712" spans="4:5" ht="15" customHeight="1" x14ac:dyDescent="0.2">
      <c r="D712" s="848"/>
      <c r="E712" s="99"/>
    </row>
    <row r="713" spans="4:5" ht="15" customHeight="1" x14ac:dyDescent="0.2">
      <c r="D713" s="848"/>
      <c r="E713" s="99"/>
    </row>
    <row r="714" spans="4:5" ht="15" customHeight="1" x14ac:dyDescent="0.2">
      <c r="D714" s="848"/>
      <c r="E714" s="99"/>
    </row>
    <row r="715" spans="4:5" ht="15" customHeight="1" x14ac:dyDescent="0.2">
      <c r="D715" s="848"/>
      <c r="E715" s="99"/>
    </row>
    <row r="716" spans="4:5" ht="15" customHeight="1" x14ac:dyDescent="0.2">
      <c r="D716" s="848"/>
      <c r="E716" s="99"/>
    </row>
    <row r="717" spans="4:5" ht="15" customHeight="1" x14ac:dyDescent="0.2">
      <c r="D717" s="848"/>
      <c r="E717" s="99"/>
    </row>
    <row r="718" spans="4:5" ht="15" customHeight="1" x14ac:dyDescent="0.2">
      <c r="D718" s="848"/>
      <c r="E718" s="99"/>
    </row>
    <row r="719" spans="4:5" ht="15" customHeight="1" x14ac:dyDescent="0.2">
      <c r="D719" s="848"/>
      <c r="E719" s="99"/>
    </row>
    <row r="720" spans="4:5" ht="15" customHeight="1" x14ac:dyDescent="0.2">
      <c r="D720" s="848"/>
      <c r="E720" s="99"/>
    </row>
    <row r="721" spans="4:5" ht="15" customHeight="1" x14ac:dyDescent="0.2">
      <c r="D721" s="848"/>
      <c r="E721" s="99"/>
    </row>
    <row r="722" spans="4:5" ht="15" customHeight="1" x14ac:dyDescent="0.2">
      <c r="D722" s="848"/>
      <c r="E722" s="99"/>
    </row>
    <row r="723" spans="4:5" ht="15" customHeight="1" x14ac:dyDescent="0.2">
      <c r="D723" s="848"/>
      <c r="E723" s="99"/>
    </row>
    <row r="724" spans="4:5" ht="15" customHeight="1" x14ac:dyDescent="0.2">
      <c r="D724" s="848"/>
      <c r="E724" s="99"/>
    </row>
    <row r="725" spans="4:5" ht="15" customHeight="1" x14ac:dyDescent="0.2">
      <c r="D725" s="848"/>
      <c r="E725" s="99"/>
    </row>
    <row r="726" spans="4:5" ht="15" customHeight="1" x14ac:dyDescent="0.2">
      <c r="D726" s="848"/>
      <c r="E726" s="99"/>
    </row>
    <row r="727" spans="4:5" ht="15" customHeight="1" x14ac:dyDescent="0.2">
      <c r="D727" s="848"/>
      <c r="E727" s="99"/>
    </row>
    <row r="728" spans="4:5" ht="15" customHeight="1" x14ac:dyDescent="0.2">
      <c r="D728" s="848"/>
      <c r="E728" s="99"/>
    </row>
    <row r="729" spans="4:5" ht="15" customHeight="1" x14ac:dyDescent="0.2">
      <c r="D729" s="848"/>
      <c r="E729" s="99"/>
    </row>
    <row r="730" spans="4:5" ht="15" customHeight="1" x14ac:dyDescent="0.2">
      <c r="D730" s="848"/>
      <c r="E730" s="99"/>
    </row>
    <row r="731" spans="4:5" ht="15" customHeight="1" x14ac:dyDescent="0.2">
      <c r="D731" s="848"/>
      <c r="E731" s="99"/>
    </row>
    <row r="732" spans="4:5" ht="15" customHeight="1" x14ac:dyDescent="0.2">
      <c r="D732" s="848"/>
      <c r="E732" s="99"/>
    </row>
    <row r="733" spans="4:5" ht="15" customHeight="1" x14ac:dyDescent="0.2">
      <c r="D733" s="848"/>
      <c r="E733" s="99"/>
    </row>
    <row r="734" spans="4:5" ht="15" customHeight="1" x14ac:dyDescent="0.2">
      <c r="D734" s="848"/>
      <c r="E734" s="99"/>
    </row>
    <row r="735" spans="4:5" ht="15" customHeight="1" x14ac:dyDescent="0.2">
      <c r="D735" s="848"/>
      <c r="E735" s="99"/>
    </row>
    <row r="736" spans="4:5" ht="15" customHeight="1" x14ac:dyDescent="0.2">
      <c r="D736" s="848"/>
      <c r="E736" s="99"/>
    </row>
    <row r="737" spans="4:5" ht="15" customHeight="1" x14ac:dyDescent="0.2">
      <c r="D737" s="848"/>
      <c r="E737" s="99"/>
    </row>
    <row r="738" spans="4:5" ht="15" customHeight="1" x14ac:dyDescent="0.2">
      <c r="D738" s="848"/>
      <c r="E738" s="99"/>
    </row>
    <row r="739" spans="4:5" ht="15" customHeight="1" x14ac:dyDescent="0.2">
      <c r="D739" s="848"/>
      <c r="E739" s="99"/>
    </row>
    <row r="740" spans="4:5" ht="15" customHeight="1" x14ac:dyDescent="0.2">
      <c r="D740" s="848"/>
      <c r="E740" s="99"/>
    </row>
    <row r="741" spans="4:5" ht="15" customHeight="1" x14ac:dyDescent="0.2">
      <c r="D741" s="848"/>
      <c r="E741" s="99"/>
    </row>
    <row r="742" spans="4:5" ht="15" customHeight="1" x14ac:dyDescent="0.2">
      <c r="D742" s="848"/>
      <c r="E742" s="99"/>
    </row>
    <row r="743" spans="4:5" ht="15" customHeight="1" x14ac:dyDescent="0.2">
      <c r="D743" s="848"/>
      <c r="E743" s="99"/>
    </row>
    <row r="744" spans="4:5" ht="15" customHeight="1" x14ac:dyDescent="0.2">
      <c r="D744" s="848"/>
      <c r="E744" s="99"/>
    </row>
    <row r="745" spans="4:5" ht="15" customHeight="1" x14ac:dyDescent="0.2">
      <c r="D745" s="848"/>
      <c r="E745" s="99"/>
    </row>
    <row r="746" spans="4:5" ht="15" customHeight="1" x14ac:dyDescent="0.2">
      <c r="D746" s="848"/>
      <c r="E746" s="99"/>
    </row>
    <row r="747" spans="4:5" ht="15" customHeight="1" x14ac:dyDescent="0.2">
      <c r="D747" s="848"/>
      <c r="E747" s="99"/>
    </row>
    <row r="748" spans="4:5" ht="15" customHeight="1" x14ac:dyDescent="0.2">
      <c r="D748" s="848"/>
      <c r="E748" s="99"/>
    </row>
    <row r="749" spans="4:5" ht="15" customHeight="1" x14ac:dyDescent="0.2">
      <c r="D749" s="848"/>
      <c r="E749" s="99"/>
    </row>
    <row r="750" spans="4:5" ht="15" customHeight="1" x14ac:dyDescent="0.2">
      <c r="D750" s="848"/>
      <c r="E750" s="99"/>
    </row>
    <row r="751" spans="4:5" ht="15" customHeight="1" x14ac:dyDescent="0.2">
      <c r="D751" s="848"/>
      <c r="E751" s="99"/>
    </row>
    <row r="752" spans="4:5" ht="15" customHeight="1" x14ac:dyDescent="0.2">
      <c r="D752" s="848"/>
      <c r="E752" s="99"/>
    </row>
    <row r="753" spans="4:5" ht="15" customHeight="1" x14ac:dyDescent="0.2">
      <c r="D753" s="848"/>
      <c r="E753" s="99"/>
    </row>
    <row r="754" spans="4:5" ht="15" customHeight="1" x14ac:dyDescent="0.2">
      <c r="D754" s="848"/>
      <c r="E754" s="99"/>
    </row>
    <row r="755" spans="4:5" ht="15" customHeight="1" x14ac:dyDescent="0.2">
      <c r="D755" s="848"/>
      <c r="E755" s="99"/>
    </row>
    <row r="756" spans="4:5" ht="15" customHeight="1" x14ac:dyDescent="0.2">
      <c r="D756" s="848"/>
      <c r="E756" s="99"/>
    </row>
    <row r="757" spans="4:5" ht="15" customHeight="1" x14ac:dyDescent="0.2">
      <c r="D757" s="848"/>
      <c r="E757" s="99"/>
    </row>
    <row r="758" spans="4:5" ht="15" customHeight="1" x14ac:dyDescent="0.2">
      <c r="D758" s="848"/>
      <c r="E758" s="99"/>
    </row>
    <row r="759" spans="4:5" ht="15" customHeight="1" x14ac:dyDescent="0.2">
      <c r="D759" s="848"/>
      <c r="E759" s="99"/>
    </row>
    <row r="760" spans="4:5" ht="15" customHeight="1" x14ac:dyDescent="0.2">
      <c r="D760" s="848"/>
      <c r="E760" s="99"/>
    </row>
    <row r="761" spans="4:5" ht="15" customHeight="1" x14ac:dyDescent="0.2">
      <c r="D761" s="848"/>
      <c r="E761" s="99"/>
    </row>
    <row r="762" spans="4:5" ht="15" customHeight="1" x14ac:dyDescent="0.2">
      <c r="D762" s="848"/>
      <c r="E762" s="99"/>
    </row>
    <row r="763" spans="4:5" ht="15" customHeight="1" x14ac:dyDescent="0.2">
      <c r="D763" s="848"/>
      <c r="E763" s="99"/>
    </row>
    <row r="764" spans="4:5" ht="15" customHeight="1" x14ac:dyDescent="0.2">
      <c r="D764" s="848"/>
      <c r="E764" s="99"/>
    </row>
    <row r="765" spans="4:5" ht="15" customHeight="1" x14ac:dyDescent="0.2">
      <c r="D765" s="848"/>
      <c r="E765" s="99"/>
    </row>
    <row r="766" spans="4:5" ht="15" customHeight="1" x14ac:dyDescent="0.2">
      <c r="D766" s="848"/>
      <c r="E766" s="99"/>
    </row>
    <row r="767" spans="4:5" ht="15" customHeight="1" x14ac:dyDescent="0.2">
      <c r="D767" s="848"/>
      <c r="E767" s="99"/>
    </row>
    <row r="768" spans="4:5" ht="15" customHeight="1" x14ac:dyDescent="0.2">
      <c r="D768" s="848"/>
      <c r="E768" s="99"/>
    </row>
    <row r="769" spans="4:5" ht="15" customHeight="1" x14ac:dyDescent="0.2">
      <c r="D769" s="848"/>
      <c r="E769" s="99"/>
    </row>
    <row r="770" spans="4:5" ht="15" customHeight="1" x14ac:dyDescent="0.2">
      <c r="D770" s="848"/>
      <c r="E770" s="99"/>
    </row>
    <row r="771" spans="4:5" ht="15" customHeight="1" x14ac:dyDescent="0.2">
      <c r="D771" s="848"/>
      <c r="E771" s="99"/>
    </row>
    <row r="772" spans="4:5" ht="15" customHeight="1" x14ac:dyDescent="0.2">
      <c r="D772" s="848"/>
      <c r="E772" s="99"/>
    </row>
    <row r="773" spans="4:5" ht="15" customHeight="1" x14ac:dyDescent="0.2">
      <c r="D773" s="848"/>
      <c r="E773" s="99"/>
    </row>
    <row r="774" spans="4:5" ht="15" customHeight="1" x14ac:dyDescent="0.2">
      <c r="D774" s="848"/>
      <c r="E774" s="99"/>
    </row>
    <row r="775" spans="4:5" ht="15" customHeight="1" x14ac:dyDescent="0.2">
      <c r="D775" s="848"/>
      <c r="E775" s="99"/>
    </row>
    <row r="776" spans="4:5" ht="15" customHeight="1" x14ac:dyDescent="0.2">
      <c r="D776" s="848"/>
      <c r="E776" s="99"/>
    </row>
    <row r="777" spans="4:5" ht="15" customHeight="1" x14ac:dyDescent="0.2">
      <c r="D777" s="848"/>
      <c r="E777" s="99"/>
    </row>
    <row r="778" spans="4:5" ht="15" customHeight="1" x14ac:dyDescent="0.2">
      <c r="D778" s="848"/>
      <c r="E778" s="99"/>
    </row>
    <row r="779" spans="4:5" ht="15" customHeight="1" x14ac:dyDescent="0.2">
      <c r="D779" s="848"/>
      <c r="E779" s="99"/>
    </row>
    <row r="780" spans="4:5" ht="15" customHeight="1" x14ac:dyDescent="0.2">
      <c r="D780" s="848"/>
      <c r="E780" s="99"/>
    </row>
    <row r="781" spans="4:5" ht="15" customHeight="1" x14ac:dyDescent="0.2">
      <c r="D781" s="848"/>
      <c r="E781" s="99"/>
    </row>
    <row r="782" spans="4:5" ht="15" customHeight="1" x14ac:dyDescent="0.2">
      <c r="D782" s="848"/>
      <c r="E782" s="99"/>
    </row>
    <row r="783" spans="4:5" ht="15" customHeight="1" x14ac:dyDescent="0.2">
      <c r="D783" s="848"/>
      <c r="E783" s="99"/>
    </row>
    <row r="784" spans="4:5" ht="15" customHeight="1" x14ac:dyDescent="0.2">
      <c r="D784" s="848"/>
      <c r="E784" s="99"/>
    </row>
    <row r="785" spans="4:5" ht="15" customHeight="1" x14ac:dyDescent="0.2">
      <c r="D785" s="848"/>
      <c r="E785" s="99"/>
    </row>
    <row r="786" spans="4:5" ht="15" customHeight="1" x14ac:dyDescent="0.2">
      <c r="D786" s="848"/>
      <c r="E786" s="99"/>
    </row>
    <row r="787" spans="4:5" ht="15" customHeight="1" x14ac:dyDescent="0.2">
      <c r="D787" s="848"/>
      <c r="E787" s="99"/>
    </row>
    <row r="788" spans="4:5" ht="15" customHeight="1" x14ac:dyDescent="0.2">
      <c r="D788" s="848"/>
      <c r="E788" s="99"/>
    </row>
    <row r="789" spans="4:5" ht="15" customHeight="1" x14ac:dyDescent="0.2">
      <c r="D789" s="848"/>
      <c r="E789" s="99"/>
    </row>
    <row r="790" spans="4:5" ht="15" customHeight="1" x14ac:dyDescent="0.2">
      <c r="D790" s="848"/>
      <c r="E790" s="99"/>
    </row>
    <row r="791" spans="4:5" ht="15" customHeight="1" x14ac:dyDescent="0.2">
      <c r="D791" s="848"/>
      <c r="E791" s="99"/>
    </row>
    <row r="792" spans="4:5" ht="15" customHeight="1" x14ac:dyDescent="0.2">
      <c r="D792" s="848"/>
      <c r="E792" s="99"/>
    </row>
    <row r="793" spans="4:5" ht="15" customHeight="1" x14ac:dyDescent="0.2">
      <c r="D793" s="848"/>
      <c r="E793" s="99"/>
    </row>
    <row r="794" spans="4:5" ht="15" customHeight="1" x14ac:dyDescent="0.2">
      <c r="D794" s="848"/>
      <c r="E794" s="99"/>
    </row>
    <row r="795" spans="4:5" ht="15" customHeight="1" x14ac:dyDescent="0.2">
      <c r="D795" s="848"/>
      <c r="E795" s="99"/>
    </row>
    <row r="796" spans="4:5" ht="15" customHeight="1" x14ac:dyDescent="0.2">
      <c r="D796" s="848"/>
      <c r="E796" s="99"/>
    </row>
    <row r="797" spans="4:5" ht="15" customHeight="1" x14ac:dyDescent="0.2">
      <c r="D797" s="848"/>
      <c r="E797" s="99"/>
    </row>
    <row r="798" spans="4:5" ht="15" customHeight="1" x14ac:dyDescent="0.2">
      <c r="D798" s="848"/>
      <c r="E798" s="99"/>
    </row>
    <row r="799" spans="4:5" ht="15" customHeight="1" x14ac:dyDescent="0.2">
      <c r="D799" s="848"/>
      <c r="E799" s="99"/>
    </row>
    <row r="800" spans="4:5" ht="15" customHeight="1" x14ac:dyDescent="0.2">
      <c r="D800" s="848"/>
      <c r="E800" s="99"/>
    </row>
    <row r="801" spans="4:5" ht="15" customHeight="1" x14ac:dyDescent="0.2">
      <c r="D801" s="848"/>
      <c r="E801" s="99"/>
    </row>
    <row r="802" spans="4:5" ht="15" customHeight="1" x14ac:dyDescent="0.2">
      <c r="D802" s="848"/>
      <c r="E802" s="99"/>
    </row>
    <row r="803" spans="4:5" ht="15" customHeight="1" x14ac:dyDescent="0.2">
      <c r="D803" s="848"/>
      <c r="E803" s="99"/>
    </row>
    <row r="804" spans="4:5" ht="15" customHeight="1" x14ac:dyDescent="0.2">
      <c r="D804" s="848"/>
      <c r="E804" s="99"/>
    </row>
    <row r="805" spans="4:5" ht="15" customHeight="1" x14ac:dyDescent="0.2">
      <c r="D805" s="848"/>
      <c r="E805" s="99"/>
    </row>
    <row r="806" spans="4:5" ht="15" customHeight="1" x14ac:dyDescent="0.2">
      <c r="D806" s="848"/>
      <c r="E806" s="99"/>
    </row>
    <row r="807" spans="4:5" ht="15" customHeight="1" x14ac:dyDescent="0.2">
      <c r="D807" s="848"/>
      <c r="E807" s="99"/>
    </row>
    <row r="808" spans="4:5" ht="15" customHeight="1" x14ac:dyDescent="0.2">
      <c r="D808" s="848"/>
      <c r="E808" s="99"/>
    </row>
    <row r="809" spans="4:5" ht="15" customHeight="1" x14ac:dyDescent="0.2">
      <c r="D809" s="848"/>
      <c r="E809" s="99"/>
    </row>
    <row r="810" spans="4:5" ht="15" customHeight="1" x14ac:dyDescent="0.2">
      <c r="D810" s="848"/>
      <c r="E810" s="99"/>
    </row>
    <row r="811" spans="4:5" ht="15" customHeight="1" x14ac:dyDescent="0.2">
      <c r="D811" s="848"/>
      <c r="E811" s="99"/>
    </row>
    <row r="812" spans="4:5" ht="15" customHeight="1" x14ac:dyDescent="0.2">
      <c r="D812" s="848"/>
      <c r="E812" s="99"/>
    </row>
    <row r="813" spans="4:5" ht="15" customHeight="1" x14ac:dyDescent="0.2">
      <c r="D813" s="848"/>
      <c r="E813" s="99"/>
    </row>
    <row r="814" spans="4:5" ht="15" customHeight="1" x14ac:dyDescent="0.2">
      <c r="D814" s="848"/>
      <c r="E814" s="99"/>
    </row>
    <row r="815" spans="4:5" ht="15" customHeight="1" x14ac:dyDescent="0.2">
      <c r="D815" s="848"/>
      <c r="E815" s="99"/>
    </row>
    <row r="816" spans="4:5" ht="15" customHeight="1" x14ac:dyDescent="0.2">
      <c r="D816" s="848"/>
      <c r="E816" s="99"/>
    </row>
    <row r="817" spans="4:5" ht="15" customHeight="1" x14ac:dyDescent="0.2">
      <c r="D817" s="848"/>
      <c r="E817" s="99"/>
    </row>
    <row r="818" spans="4:5" ht="15" customHeight="1" x14ac:dyDescent="0.2">
      <c r="D818" s="848"/>
      <c r="E818" s="99"/>
    </row>
    <row r="819" spans="4:5" ht="15" customHeight="1" x14ac:dyDescent="0.2">
      <c r="D819" s="848"/>
      <c r="E819" s="99"/>
    </row>
    <row r="820" spans="4:5" ht="15" customHeight="1" x14ac:dyDescent="0.2">
      <c r="D820" s="848"/>
      <c r="E820" s="99"/>
    </row>
    <row r="821" spans="4:5" ht="15" customHeight="1" x14ac:dyDescent="0.2">
      <c r="D821" s="848"/>
      <c r="E821" s="99"/>
    </row>
    <row r="822" spans="4:5" ht="15" customHeight="1" x14ac:dyDescent="0.2">
      <c r="D822" s="848"/>
      <c r="E822" s="99"/>
    </row>
    <row r="823" spans="4:5" ht="15" customHeight="1" x14ac:dyDescent="0.2">
      <c r="D823" s="848"/>
      <c r="E823" s="99"/>
    </row>
    <row r="824" spans="4:5" ht="15" customHeight="1" x14ac:dyDescent="0.2">
      <c r="D824" s="848"/>
      <c r="E824" s="99"/>
    </row>
    <row r="825" spans="4:5" ht="15" customHeight="1" x14ac:dyDescent="0.2">
      <c r="D825" s="848"/>
      <c r="E825" s="99"/>
    </row>
    <row r="826" spans="4:5" ht="15" customHeight="1" x14ac:dyDescent="0.2">
      <c r="D826" s="848"/>
      <c r="E826" s="99"/>
    </row>
    <row r="827" spans="4:5" ht="15" customHeight="1" x14ac:dyDescent="0.2">
      <c r="D827" s="848"/>
      <c r="E827" s="99"/>
    </row>
    <row r="828" spans="4:5" ht="15" customHeight="1" x14ac:dyDescent="0.2">
      <c r="D828" s="848"/>
      <c r="E828" s="99"/>
    </row>
    <row r="829" spans="4:5" ht="15" customHeight="1" x14ac:dyDescent="0.2">
      <c r="D829" s="848"/>
      <c r="E829" s="99"/>
    </row>
    <row r="830" spans="4:5" ht="15" customHeight="1" x14ac:dyDescent="0.2">
      <c r="D830" s="848"/>
      <c r="E830" s="99"/>
    </row>
    <row r="831" spans="4:5" ht="15" customHeight="1" x14ac:dyDescent="0.2">
      <c r="D831" s="848"/>
      <c r="E831" s="99"/>
    </row>
    <row r="832" spans="4:5" ht="15" customHeight="1" x14ac:dyDescent="0.2">
      <c r="D832" s="848"/>
      <c r="E832" s="99"/>
    </row>
    <row r="833" spans="4:5" ht="15" customHeight="1" x14ac:dyDescent="0.2">
      <c r="D833" s="848"/>
      <c r="E833" s="99"/>
    </row>
    <row r="834" spans="4:5" ht="15" customHeight="1" x14ac:dyDescent="0.2">
      <c r="D834" s="848"/>
      <c r="E834" s="99"/>
    </row>
    <row r="835" spans="4:5" ht="15" customHeight="1" x14ac:dyDescent="0.2">
      <c r="D835" s="848"/>
      <c r="E835" s="99"/>
    </row>
    <row r="836" spans="4:5" ht="15" customHeight="1" x14ac:dyDescent="0.2">
      <c r="D836" s="848"/>
      <c r="E836" s="99"/>
    </row>
    <row r="837" spans="4:5" ht="15" customHeight="1" x14ac:dyDescent="0.2">
      <c r="D837" s="848"/>
      <c r="E837" s="99"/>
    </row>
    <row r="838" spans="4:5" ht="15" customHeight="1" x14ac:dyDescent="0.2">
      <c r="D838" s="848"/>
      <c r="E838" s="99"/>
    </row>
    <row r="839" spans="4:5" ht="15" customHeight="1" x14ac:dyDescent="0.2">
      <c r="D839" s="848"/>
      <c r="E839" s="99"/>
    </row>
    <row r="840" spans="4:5" ht="15" customHeight="1" x14ac:dyDescent="0.2">
      <c r="D840" s="848"/>
      <c r="E840" s="99"/>
    </row>
    <row r="841" spans="4:5" ht="15" customHeight="1" x14ac:dyDescent="0.2">
      <c r="D841" s="848"/>
      <c r="E841" s="99"/>
    </row>
    <row r="842" spans="4:5" ht="15" customHeight="1" x14ac:dyDescent="0.2">
      <c r="D842" s="848"/>
      <c r="E842" s="99"/>
    </row>
    <row r="843" spans="4:5" ht="15" customHeight="1" x14ac:dyDescent="0.2">
      <c r="D843" s="848"/>
      <c r="E843" s="99"/>
    </row>
    <row r="844" spans="4:5" ht="15" customHeight="1" x14ac:dyDescent="0.2">
      <c r="D844" s="848"/>
      <c r="E844" s="99"/>
    </row>
    <row r="845" spans="4:5" ht="15" customHeight="1" x14ac:dyDescent="0.2">
      <c r="D845" s="848"/>
      <c r="E845" s="99"/>
    </row>
    <row r="846" spans="4:5" ht="15" customHeight="1" x14ac:dyDescent="0.2">
      <c r="D846" s="848"/>
      <c r="E846" s="99"/>
    </row>
    <row r="847" spans="4:5" ht="15" customHeight="1" x14ac:dyDescent="0.2">
      <c r="D847" s="848"/>
      <c r="E847" s="99"/>
    </row>
    <row r="848" spans="4:5" ht="15" customHeight="1" x14ac:dyDescent="0.2">
      <c r="D848" s="848"/>
      <c r="E848" s="99"/>
    </row>
    <row r="849" spans="4:5" ht="15" customHeight="1" x14ac:dyDescent="0.2">
      <c r="D849" s="848"/>
      <c r="E849" s="99"/>
    </row>
    <row r="850" spans="4:5" ht="15" customHeight="1" x14ac:dyDescent="0.2">
      <c r="D850" s="848"/>
      <c r="E850" s="99"/>
    </row>
    <row r="851" spans="4:5" ht="15" customHeight="1" x14ac:dyDescent="0.2">
      <c r="D851" s="848"/>
      <c r="E851" s="99"/>
    </row>
    <row r="852" spans="4:5" ht="15" customHeight="1" x14ac:dyDescent="0.2">
      <c r="D852" s="848"/>
      <c r="E852" s="99"/>
    </row>
    <row r="853" spans="4:5" ht="15" customHeight="1" x14ac:dyDescent="0.2">
      <c r="D853" s="848"/>
      <c r="E853" s="99"/>
    </row>
    <row r="854" spans="4:5" ht="15" customHeight="1" x14ac:dyDescent="0.2">
      <c r="D854" s="848"/>
      <c r="E854" s="99"/>
    </row>
    <row r="855" spans="4:5" ht="15" customHeight="1" x14ac:dyDescent="0.2">
      <c r="D855" s="848"/>
      <c r="E855" s="99"/>
    </row>
    <row r="856" spans="4:5" ht="15" customHeight="1" x14ac:dyDescent="0.2">
      <c r="D856" s="848"/>
      <c r="E856" s="99"/>
    </row>
    <row r="857" spans="4:5" ht="15" customHeight="1" x14ac:dyDescent="0.2">
      <c r="D857" s="848"/>
      <c r="E857" s="99"/>
    </row>
    <row r="858" spans="4:5" ht="15" customHeight="1" x14ac:dyDescent="0.2">
      <c r="D858" s="848"/>
      <c r="E858" s="99"/>
    </row>
    <row r="859" spans="4:5" ht="15" customHeight="1" x14ac:dyDescent="0.2">
      <c r="D859" s="848"/>
      <c r="E859" s="99"/>
    </row>
    <row r="860" spans="4:5" ht="15" customHeight="1" x14ac:dyDescent="0.2">
      <c r="D860" s="848"/>
      <c r="E860" s="99"/>
    </row>
    <row r="861" spans="4:5" ht="15" customHeight="1" x14ac:dyDescent="0.2">
      <c r="D861" s="848"/>
      <c r="E861" s="99"/>
    </row>
    <row r="862" spans="4:5" ht="15" customHeight="1" x14ac:dyDescent="0.2">
      <c r="D862" s="848"/>
      <c r="E862" s="99"/>
    </row>
    <row r="863" spans="4:5" ht="15" customHeight="1" x14ac:dyDescent="0.2">
      <c r="D863" s="848"/>
      <c r="E863" s="99"/>
    </row>
    <row r="864" spans="4:5" ht="15" customHeight="1" x14ac:dyDescent="0.2">
      <c r="D864" s="848"/>
      <c r="E864" s="99"/>
    </row>
    <row r="865" spans="4:5" ht="15" customHeight="1" x14ac:dyDescent="0.2">
      <c r="D865" s="848"/>
      <c r="E865" s="99"/>
    </row>
    <row r="866" spans="4:5" ht="15" customHeight="1" x14ac:dyDescent="0.2">
      <c r="D866" s="848"/>
      <c r="E866" s="99"/>
    </row>
    <row r="867" spans="4:5" ht="15" customHeight="1" x14ac:dyDescent="0.2">
      <c r="D867" s="848"/>
      <c r="E867" s="99"/>
    </row>
    <row r="868" spans="4:5" ht="15" customHeight="1" x14ac:dyDescent="0.2">
      <c r="D868" s="848"/>
      <c r="E868" s="99"/>
    </row>
    <row r="869" spans="4:5" ht="15" customHeight="1" x14ac:dyDescent="0.2">
      <c r="D869" s="848"/>
      <c r="E869" s="99"/>
    </row>
    <row r="870" spans="4:5" ht="15" customHeight="1" x14ac:dyDescent="0.2">
      <c r="D870" s="848"/>
      <c r="E870" s="99"/>
    </row>
    <row r="871" spans="4:5" ht="15" customHeight="1" x14ac:dyDescent="0.2">
      <c r="D871" s="848"/>
      <c r="E871" s="99"/>
    </row>
    <row r="872" spans="4:5" ht="15" customHeight="1" x14ac:dyDescent="0.2">
      <c r="D872" s="848"/>
      <c r="E872" s="99"/>
    </row>
    <row r="873" spans="4:5" ht="15" customHeight="1" x14ac:dyDescent="0.2">
      <c r="D873" s="848"/>
      <c r="E873" s="99"/>
    </row>
    <row r="874" spans="4:5" ht="15" customHeight="1" x14ac:dyDescent="0.2">
      <c r="D874" s="848"/>
      <c r="E874" s="99"/>
    </row>
    <row r="875" spans="4:5" ht="15" customHeight="1" x14ac:dyDescent="0.2">
      <c r="D875" s="848"/>
      <c r="E875" s="99"/>
    </row>
    <row r="876" spans="4:5" ht="15" customHeight="1" x14ac:dyDescent="0.2">
      <c r="D876" s="848"/>
      <c r="E876" s="99"/>
    </row>
    <row r="877" spans="4:5" ht="15" customHeight="1" x14ac:dyDescent="0.2">
      <c r="D877" s="848"/>
      <c r="E877" s="99"/>
    </row>
    <row r="878" spans="4:5" ht="15" customHeight="1" x14ac:dyDescent="0.2">
      <c r="D878" s="848"/>
      <c r="E878" s="99"/>
    </row>
    <row r="879" spans="4:5" ht="15" customHeight="1" x14ac:dyDescent="0.2">
      <c r="D879" s="848"/>
      <c r="E879" s="99"/>
    </row>
    <row r="880" spans="4:5" ht="15" customHeight="1" x14ac:dyDescent="0.2">
      <c r="D880" s="848"/>
      <c r="E880" s="99"/>
    </row>
    <row r="881" spans="4:5" ht="15" customHeight="1" x14ac:dyDescent="0.2">
      <c r="D881" s="848"/>
      <c r="E881" s="99"/>
    </row>
    <row r="882" spans="4:5" ht="15" customHeight="1" x14ac:dyDescent="0.2">
      <c r="D882" s="848"/>
      <c r="E882" s="99"/>
    </row>
    <row r="883" spans="4:5" ht="15" customHeight="1" x14ac:dyDescent="0.2">
      <c r="D883" s="848"/>
      <c r="E883" s="99"/>
    </row>
    <row r="884" spans="4:5" ht="15" customHeight="1" x14ac:dyDescent="0.2">
      <c r="D884" s="848"/>
      <c r="E884" s="99"/>
    </row>
    <row r="885" spans="4:5" ht="15" customHeight="1" x14ac:dyDescent="0.2">
      <c r="D885" s="848"/>
      <c r="E885" s="99"/>
    </row>
    <row r="886" spans="4:5" ht="15" customHeight="1" x14ac:dyDescent="0.2">
      <c r="D886" s="848"/>
      <c r="E886" s="99"/>
    </row>
    <row r="887" spans="4:5" ht="15" customHeight="1" x14ac:dyDescent="0.2">
      <c r="D887" s="848"/>
      <c r="E887" s="99"/>
    </row>
    <row r="888" spans="4:5" ht="15" customHeight="1" x14ac:dyDescent="0.2">
      <c r="D888" s="848"/>
      <c r="E888" s="99"/>
    </row>
    <row r="889" spans="4:5" ht="15" customHeight="1" x14ac:dyDescent="0.2">
      <c r="D889" s="848"/>
      <c r="E889" s="99"/>
    </row>
    <row r="890" spans="4:5" ht="15" customHeight="1" x14ac:dyDescent="0.2">
      <c r="D890" s="848"/>
      <c r="E890" s="99"/>
    </row>
    <row r="891" spans="4:5" ht="15" customHeight="1" x14ac:dyDescent="0.2">
      <c r="D891" s="848"/>
      <c r="E891" s="99"/>
    </row>
    <row r="892" spans="4:5" ht="15" customHeight="1" x14ac:dyDescent="0.2">
      <c r="D892" s="848"/>
      <c r="E892" s="99"/>
    </row>
    <row r="893" spans="4:5" ht="15" customHeight="1" x14ac:dyDescent="0.2">
      <c r="D893" s="848"/>
      <c r="E893" s="99"/>
    </row>
    <row r="894" spans="4:5" ht="15" customHeight="1" x14ac:dyDescent="0.2">
      <c r="D894" s="848"/>
      <c r="E894" s="99"/>
    </row>
    <row r="895" spans="4:5" ht="15" customHeight="1" x14ac:dyDescent="0.2">
      <c r="D895" s="848"/>
      <c r="E895" s="99"/>
    </row>
    <row r="896" spans="4:5" ht="15" customHeight="1" x14ac:dyDescent="0.2">
      <c r="D896" s="848"/>
      <c r="E896" s="99"/>
    </row>
    <row r="897" spans="4:5" ht="15" customHeight="1" x14ac:dyDescent="0.2">
      <c r="D897" s="848"/>
      <c r="E897" s="99"/>
    </row>
    <row r="898" spans="4:5" ht="15" customHeight="1" x14ac:dyDescent="0.2">
      <c r="D898" s="848"/>
      <c r="E898" s="99"/>
    </row>
    <row r="899" spans="4:5" ht="15" customHeight="1" x14ac:dyDescent="0.2">
      <c r="D899" s="848"/>
      <c r="E899" s="99"/>
    </row>
    <row r="900" spans="4:5" ht="15" customHeight="1" x14ac:dyDescent="0.2">
      <c r="D900" s="848"/>
      <c r="E900" s="99"/>
    </row>
    <row r="901" spans="4:5" ht="15" customHeight="1" x14ac:dyDescent="0.2">
      <c r="D901" s="848"/>
      <c r="E901" s="99"/>
    </row>
    <row r="902" spans="4:5" ht="15" customHeight="1" x14ac:dyDescent="0.2">
      <c r="D902" s="848"/>
      <c r="E902" s="99"/>
    </row>
    <row r="903" spans="4:5" ht="15" customHeight="1" x14ac:dyDescent="0.2">
      <c r="D903" s="848"/>
      <c r="E903" s="99"/>
    </row>
    <row r="904" spans="4:5" ht="15" customHeight="1" x14ac:dyDescent="0.2">
      <c r="D904" s="848"/>
      <c r="E904" s="99"/>
    </row>
    <row r="905" spans="4:5" ht="15" customHeight="1" x14ac:dyDescent="0.2">
      <c r="D905" s="848"/>
      <c r="E905" s="99"/>
    </row>
    <row r="906" spans="4:5" ht="15" customHeight="1" x14ac:dyDescent="0.2">
      <c r="D906" s="848"/>
      <c r="E906" s="99"/>
    </row>
    <row r="907" spans="4:5" ht="15" customHeight="1" x14ac:dyDescent="0.2">
      <c r="D907" s="848"/>
      <c r="E907" s="99"/>
    </row>
    <row r="908" spans="4:5" ht="15" customHeight="1" x14ac:dyDescent="0.2">
      <c r="D908" s="848"/>
      <c r="E908" s="99"/>
    </row>
    <row r="909" spans="4:5" ht="15" customHeight="1" x14ac:dyDescent="0.2">
      <c r="D909" s="848"/>
      <c r="E909" s="99"/>
    </row>
    <row r="910" spans="4:5" ht="15" customHeight="1" x14ac:dyDescent="0.2">
      <c r="D910" s="848"/>
      <c r="E910" s="99"/>
    </row>
    <row r="911" spans="4:5" ht="15" customHeight="1" x14ac:dyDescent="0.2">
      <c r="D911" s="848"/>
      <c r="E911" s="99"/>
    </row>
    <row r="912" spans="4:5" ht="15" customHeight="1" x14ac:dyDescent="0.2">
      <c r="D912" s="848"/>
      <c r="E912" s="99"/>
    </row>
    <row r="913" spans="4:5" ht="15" customHeight="1" x14ac:dyDescent="0.2">
      <c r="D913" s="848"/>
      <c r="E913" s="99"/>
    </row>
    <row r="914" spans="4:5" ht="15" customHeight="1" x14ac:dyDescent="0.2">
      <c r="D914" s="848"/>
      <c r="E914" s="99"/>
    </row>
    <row r="915" spans="4:5" ht="15" customHeight="1" x14ac:dyDescent="0.2">
      <c r="D915" s="848"/>
      <c r="E915" s="99"/>
    </row>
    <row r="916" spans="4:5" ht="15" customHeight="1" x14ac:dyDescent="0.2">
      <c r="D916" s="848"/>
      <c r="E916" s="99"/>
    </row>
    <row r="917" spans="4:5" ht="15" customHeight="1" x14ac:dyDescent="0.2">
      <c r="D917" s="848"/>
      <c r="E917" s="99"/>
    </row>
    <row r="918" spans="4:5" ht="15" customHeight="1" x14ac:dyDescent="0.2">
      <c r="D918" s="848"/>
      <c r="E918" s="99"/>
    </row>
    <row r="919" spans="4:5" ht="15" customHeight="1" x14ac:dyDescent="0.2">
      <c r="D919" s="848"/>
      <c r="E919" s="99"/>
    </row>
    <row r="920" spans="4:5" ht="15" customHeight="1" x14ac:dyDescent="0.2">
      <c r="D920" s="848"/>
      <c r="E920" s="99"/>
    </row>
    <row r="921" spans="4:5" ht="15" customHeight="1" x14ac:dyDescent="0.2">
      <c r="D921" s="848"/>
      <c r="E921" s="99"/>
    </row>
    <row r="922" spans="4:5" ht="15" customHeight="1" x14ac:dyDescent="0.2">
      <c r="D922" s="848"/>
      <c r="E922" s="99"/>
    </row>
    <row r="923" spans="4:5" ht="15" customHeight="1" x14ac:dyDescent="0.2">
      <c r="D923" s="848"/>
      <c r="E923" s="99"/>
    </row>
    <row r="924" spans="4:5" ht="15" customHeight="1" x14ac:dyDescent="0.2">
      <c r="D924" s="848"/>
      <c r="E924" s="99"/>
    </row>
    <row r="925" spans="4:5" ht="15" customHeight="1" x14ac:dyDescent="0.2">
      <c r="D925" s="848"/>
      <c r="E925" s="99"/>
    </row>
    <row r="926" spans="4:5" ht="15" customHeight="1" x14ac:dyDescent="0.2">
      <c r="D926" s="848"/>
      <c r="E926" s="99"/>
    </row>
    <row r="927" spans="4:5" ht="15" customHeight="1" x14ac:dyDescent="0.2">
      <c r="D927" s="848"/>
      <c r="E927" s="99"/>
    </row>
    <row r="928" spans="4:5" ht="15" customHeight="1" x14ac:dyDescent="0.2">
      <c r="D928" s="848"/>
      <c r="E928" s="99"/>
    </row>
    <row r="929" spans="4:5" ht="15" customHeight="1" x14ac:dyDescent="0.2">
      <c r="D929" s="848"/>
      <c r="E929" s="99"/>
    </row>
    <row r="930" spans="4:5" ht="15" customHeight="1" x14ac:dyDescent="0.2">
      <c r="D930" s="848"/>
      <c r="E930" s="99"/>
    </row>
    <row r="931" spans="4:5" ht="15" customHeight="1" x14ac:dyDescent="0.2">
      <c r="D931" s="848"/>
      <c r="E931" s="99"/>
    </row>
    <row r="932" spans="4:5" ht="15" customHeight="1" x14ac:dyDescent="0.2">
      <c r="D932" s="848"/>
      <c r="E932" s="99"/>
    </row>
    <row r="933" spans="4:5" ht="15" customHeight="1" x14ac:dyDescent="0.2">
      <c r="D933" s="848"/>
      <c r="E933" s="99"/>
    </row>
    <row r="934" spans="4:5" ht="15" customHeight="1" x14ac:dyDescent="0.2">
      <c r="D934" s="848"/>
      <c r="E934" s="99"/>
    </row>
    <row r="935" spans="4:5" ht="15" customHeight="1" x14ac:dyDescent="0.2">
      <c r="D935" s="848"/>
      <c r="E935" s="99"/>
    </row>
    <row r="936" spans="4:5" ht="15" customHeight="1" x14ac:dyDescent="0.2">
      <c r="D936" s="848"/>
      <c r="E936" s="99"/>
    </row>
    <row r="937" spans="4:5" ht="15" customHeight="1" x14ac:dyDescent="0.2">
      <c r="D937" s="848"/>
      <c r="E937" s="99"/>
    </row>
    <row r="938" spans="4:5" ht="15" customHeight="1" x14ac:dyDescent="0.2">
      <c r="D938" s="848"/>
      <c r="E938" s="99"/>
    </row>
    <row r="939" spans="4:5" ht="15" customHeight="1" x14ac:dyDescent="0.2">
      <c r="D939" s="848"/>
      <c r="E939" s="99"/>
    </row>
    <row r="940" spans="4:5" ht="15" customHeight="1" x14ac:dyDescent="0.2">
      <c r="D940" s="848"/>
      <c r="E940" s="99"/>
    </row>
    <row r="941" spans="4:5" ht="15" customHeight="1" x14ac:dyDescent="0.2">
      <c r="D941" s="848"/>
      <c r="E941" s="99"/>
    </row>
    <row r="942" spans="4:5" ht="15" customHeight="1" x14ac:dyDescent="0.2">
      <c r="D942" s="848"/>
      <c r="E942" s="99"/>
    </row>
    <row r="943" spans="4:5" ht="15" customHeight="1" x14ac:dyDescent="0.2">
      <c r="D943" s="848"/>
      <c r="E943" s="99"/>
    </row>
    <row r="944" spans="4:5" ht="15" customHeight="1" x14ac:dyDescent="0.2">
      <c r="D944" s="848"/>
      <c r="E944" s="99"/>
    </row>
    <row r="945" spans="4:5" ht="15" customHeight="1" x14ac:dyDescent="0.2">
      <c r="D945" s="848"/>
      <c r="E945" s="99"/>
    </row>
    <row r="946" spans="4:5" ht="15" customHeight="1" x14ac:dyDescent="0.2">
      <c r="D946" s="848"/>
      <c r="E946" s="99"/>
    </row>
    <row r="947" spans="4:5" ht="15" customHeight="1" x14ac:dyDescent="0.2">
      <c r="D947" s="848"/>
      <c r="E947" s="99"/>
    </row>
    <row r="948" spans="4:5" ht="15" customHeight="1" x14ac:dyDescent="0.2">
      <c r="D948" s="848"/>
      <c r="E948" s="99"/>
    </row>
    <row r="949" spans="4:5" ht="15" customHeight="1" x14ac:dyDescent="0.2">
      <c r="D949" s="848"/>
      <c r="E949" s="99"/>
    </row>
    <row r="950" spans="4:5" ht="15" customHeight="1" x14ac:dyDescent="0.2">
      <c r="D950" s="848"/>
      <c r="E950" s="99"/>
    </row>
    <row r="951" spans="4:5" ht="15" customHeight="1" x14ac:dyDescent="0.2">
      <c r="D951" s="848"/>
      <c r="E951" s="99"/>
    </row>
    <row r="952" spans="4:5" ht="15" customHeight="1" x14ac:dyDescent="0.2">
      <c r="D952" s="848"/>
      <c r="E952" s="99"/>
    </row>
    <row r="953" spans="4:5" ht="15" customHeight="1" x14ac:dyDescent="0.2">
      <c r="D953" s="848"/>
      <c r="E953" s="99"/>
    </row>
    <row r="954" spans="4:5" ht="15" customHeight="1" x14ac:dyDescent="0.2">
      <c r="D954" s="848"/>
      <c r="E954" s="99"/>
    </row>
    <row r="955" spans="4:5" ht="15" customHeight="1" x14ac:dyDescent="0.2">
      <c r="D955" s="848"/>
      <c r="E955" s="99"/>
    </row>
    <row r="956" spans="4:5" ht="15" customHeight="1" x14ac:dyDescent="0.2">
      <c r="D956" s="848"/>
      <c r="E956" s="99"/>
    </row>
    <row r="957" spans="4:5" ht="15" customHeight="1" x14ac:dyDescent="0.2">
      <c r="D957" s="848"/>
      <c r="E957" s="99"/>
    </row>
    <row r="958" spans="4:5" ht="15" customHeight="1" x14ac:dyDescent="0.2">
      <c r="D958" s="848"/>
      <c r="E958" s="99"/>
    </row>
    <row r="959" spans="4:5" ht="15" customHeight="1" x14ac:dyDescent="0.2">
      <c r="D959" s="848"/>
      <c r="E959" s="99"/>
    </row>
    <row r="960" spans="4:5" ht="15" customHeight="1" x14ac:dyDescent="0.2">
      <c r="D960" s="848"/>
      <c r="E960" s="99"/>
    </row>
    <row r="961" spans="4:5" ht="15" customHeight="1" x14ac:dyDescent="0.2">
      <c r="D961" s="848"/>
      <c r="E961" s="99"/>
    </row>
    <row r="962" spans="4:5" ht="15" customHeight="1" x14ac:dyDescent="0.2">
      <c r="D962" s="848"/>
      <c r="E962" s="99"/>
    </row>
    <row r="963" spans="4:5" ht="15" customHeight="1" x14ac:dyDescent="0.2">
      <c r="D963" s="848"/>
      <c r="E963" s="99"/>
    </row>
    <row r="964" spans="4:5" ht="15" customHeight="1" x14ac:dyDescent="0.2">
      <c r="D964" s="848"/>
      <c r="E964" s="99"/>
    </row>
    <row r="965" spans="4:5" ht="15" customHeight="1" x14ac:dyDescent="0.2">
      <c r="D965" s="848"/>
      <c r="E965" s="99"/>
    </row>
    <row r="966" spans="4:5" ht="15" customHeight="1" x14ac:dyDescent="0.2">
      <c r="D966" s="848"/>
      <c r="E966" s="99"/>
    </row>
    <row r="967" spans="4:5" ht="15" customHeight="1" x14ac:dyDescent="0.2">
      <c r="D967" s="848"/>
      <c r="E967" s="99"/>
    </row>
    <row r="968" spans="4:5" ht="15" customHeight="1" x14ac:dyDescent="0.2">
      <c r="D968" s="848"/>
      <c r="E968" s="99"/>
    </row>
    <row r="969" spans="4:5" ht="15" customHeight="1" x14ac:dyDescent="0.2">
      <c r="D969" s="848"/>
      <c r="E969" s="99"/>
    </row>
    <row r="970" spans="4:5" ht="15" customHeight="1" x14ac:dyDescent="0.2">
      <c r="D970" s="848"/>
      <c r="E970" s="99"/>
    </row>
    <row r="971" spans="4:5" ht="15" customHeight="1" x14ac:dyDescent="0.2">
      <c r="D971" s="848"/>
      <c r="E971" s="99"/>
    </row>
    <row r="972" spans="4:5" ht="15" customHeight="1" x14ac:dyDescent="0.2">
      <c r="D972" s="848"/>
      <c r="E972" s="99"/>
    </row>
    <row r="973" spans="4:5" ht="15" customHeight="1" x14ac:dyDescent="0.2">
      <c r="D973" s="848"/>
      <c r="E973" s="99"/>
    </row>
    <row r="974" spans="4:5" ht="15" customHeight="1" x14ac:dyDescent="0.2">
      <c r="D974" s="848"/>
      <c r="E974" s="99"/>
    </row>
    <row r="975" spans="4:5" ht="15" customHeight="1" x14ac:dyDescent="0.2">
      <c r="D975" s="848"/>
      <c r="E975" s="99"/>
    </row>
    <row r="976" spans="4:5" ht="15" customHeight="1" x14ac:dyDescent="0.2">
      <c r="D976" s="848"/>
      <c r="E976" s="99"/>
    </row>
    <row r="977" spans="4:5" ht="15" customHeight="1" x14ac:dyDescent="0.2">
      <c r="D977" s="848"/>
      <c r="E977" s="99"/>
    </row>
    <row r="978" spans="4:5" ht="15" customHeight="1" x14ac:dyDescent="0.2">
      <c r="D978" s="848"/>
      <c r="E978" s="99"/>
    </row>
    <row r="979" spans="4:5" ht="15" customHeight="1" x14ac:dyDescent="0.2">
      <c r="D979" s="848"/>
      <c r="E979" s="99"/>
    </row>
    <row r="980" spans="4:5" ht="15" customHeight="1" x14ac:dyDescent="0.2">
      <c r="D980" s="848"/>
      <c r="E980" s="99"/>
    </row>
    <row r="981" spans="4:5" ht="15" customHeight="1" x14ac:dyDescent="0.2">
      <c r="D981" s="848"/>
      <c r="E981" s="99"/>
    </row>
    <row r="982" spans="4:5" ht="15" customHeight="1" x14ac:dyDescent="0.2">
      <c r="D982" s="848"/>
      <c r="E982" s="99"/>
    </row>
    <row r="983" spans="4:5" ht="15" customHeight="1" x14ac:dyDescent="0.2">
      <c r="D983" s="848"/>
      <c r="E983" s="99"/>
    </row>
    <row r="984" spans="4:5" ht="15" customHeight="1" x14ac:dyDescent="0.2">
      <c r="D984" s="848"/>
      <c r="E984" s="99"/>
    </row>
    <row r="985" spans="4:5" ht="15" customHeight="1" x14ac:dyDescent="0.2">
      <c r="D985" s="848"/>
      <c r="E985" s="99"/>
    </row>
    <row r="986" spans="4:5" ht="15" customHeight="1" x14ac:dyDescent="0.2">
      <c r="D986" s="848"/>
      <c r="E986" s="99"/>
    </row>
    <row r="987" spans="4:5" ht="15" customHeight="1" x14ac:dyDescent="0.2">
      <c r="D987" s="848"/>
      <c r="E987" s="99"/>
    </row>
    <row r="988" spans="4:5" ht="15" customHeight="1" x14ac:dyDescent="0.2">
      <c r="D988" s="848"/>
      <c r="E988" s="99"/>
    </row>
    <row r="989" spans="4:5" ht="15" customHeight="1" x14ac:dyDescent="0.2">
      <c r="D989" s="848"/>
      <c r="E989" s="99"/>
    </row>
    <row r="990" spans="4:5" ht="15" customHeight="1" x14ac:dyDescent="0.2">
      <c r="D990" s="848"/>
      <c r="E990" s="99"/>
    </row>
    <row r="991" spans="4:5" ht="15" customHeight="1" x14ac:dyDescent="0.2">
      <c r="D991" s="848"/>
      <c r="E991" s="99"/>
    </row>
    <row r="992" spans="4:5" ht="15" customHeight="1" x14ac:dyDescent="0.2">
      <c r="D992" s="848"/>
      <c r="E992" s="99"/>
    </row>
    <row r="993" spans="4:5" ht="15" customHeight="1" x14ac:dyDescent="0.2">
      <c r="D993" s="848"/>
      <c r="E993" s="99"/>
    </row>
    <row r="994" spans="4:5" ht="15" customHeight="1" x14ac:dyDescent="0.2">
      <c r="D994" s="848"/>
      <c r="E994" s="99"/>
    </row>
    <row r="995" spans="4:5" ht="15" customHeight="1" x14ac:dyDescent="0.2">
      <c r="D995" s="848"/>
      <c r="E995" s="99"/>
    </row>
    <row r="996" spans="4:5" ht="15" customHeight="1" x14ac:dyDescent="0.2">
      <c r="D996" s="848"/>
      <c r="E996" s="99"/>
    </row>
    <row r="997" spans="4:5" ht="15" customHeight="1" x14ac:dyDescent="0.2">
      <c r="D997" s="848"/>
      <c r="E997" s="99"/>
    </row>
    <row r="998" spans="4:5" ht="15" customHeight="1" x14ac:dyDescent="0.2">
      <c r="D998" s="848"/>
      <c r="E998" s="99"/>
    </row>
    <row r="999" spans="4:5" ht="15" customHeight="1" x14ac:dyDescent="0.2">
      <c r="D999" s="848"/>
      <c r="E999" s="99"/>
    </row>
    <row r="1000" spans="4:5" ht="15" customHeight="1" x14ac:dyDescent="0.2">
      <c r="D1000" s="848"/>
      <c r="E1000" s="99"/>
    </row>
    <row r="1001" spans="4:5" ht="15" customHeight="1" x14ac:dyDescent="0.2">
      <c r="D1001" s="848"/>
      <c r="E1001" s="99"/>
    </row>
    <row r="1002" spans="4:5" ht="15" customHeight="1" x14ac:dyDescent="0.2">
      <c r="D1002" s="848"/>
      <c r="E1002" s="99"/>
    </row>
    <row r="1003" spans="4:5" ht="15" customHeight="1" x14ac:dyDescent="0.2">
      <c r="D1003" s="848"/>
      <c r="E1003" s="99"/>
    </row>
    <row r="1004" spans="4:5" ht="15" customHeight="1" x14ac:dyDescent="0.2">
      <c r="D1004" s="848"/>
      <c r="E1004" s="99"/>
    </row>
    <row r="1005" spans="4:5" ht="15" customHeight="1" x14ac:dyDescent="0.2">
      <c r="D1005" s="848"/>
      <c r="E1005" s="99"/>
    </row>
    <row r="1006" spans="4:5" ht="15" customHeight="1" x14ac:dyDescent="0.2">
      <c r="D1006" s="848"/>
      <c r="E1006" s="99"/>
    </row>
    <row r="1007" spans="4:5" ht="15" customHeight="1" x14ac:dyDescent="0.2">
      <c r="D1007" s="848"/>
      <c r="E1007" s="99"/>
    </row>
    <row r="1008" spans="4:5" ht="15" customHeight="1" x14ac:dyDescent="0.2">
      <c r="D1008" s="848"/>
      <c r="E1008" s="99"/>
    </row>
    <row r="1009" spans="4:5" ht="15" customHeight="1" x14ac:dyDescent="0.2">
      <c r="D1009" s="848"/>
      <c r="E1009" s="99"/>
    </row>
    <row r="1010" spans="4:5" ht="15" customHeight="1" x14ac:dyDescent="0.2">
      <c r="D1010" s="848"/>
      <c r="E1010" s="99"/>
    </row>
    <row r="1011" spans="4:5" ht="15" customHeight="1" x14ac:dyDescent="0.2">
      <c r="D1011" s="848"/>
      <c r="E1011" s="99"/>
    </row>
    <row r="1012" spans="4:5" ht="15" customHeight="1" x14ac:dyDescent="0.2">
      <c r="D1012" s="848"/>
      <c r="E1012" s="99"/>
    </row>
    <row r="1013" spans="4:5" ht="15" customHeight="1" x14ac:dyDescent="0.2">
      <c r="D1013" s="848"/>
      <c r="E1013" s="99"/>
    </row>
    <row r="1014" spans="4:5" ht="15" customHeight="1" x14ac:dyDescent="0.2">
      <c r="D1014" s="848"/>
      <c r="E1014" s="99"/>
    </row>
    <row r="1015" spans="4:5" ht="15" customHeight="1" x14ac:dyDescent="0.2">
      <c r="D1015" s="848"/>
      <c r="E1015" s="99"/>
    </row>
    <row r="1016" spans="4:5" ht="15" customHeight="1" x14ac:dyDescent="0.2">
      <c r="D1016" s="848"/>
      <c r="E1016" s="99"/>
    </row>
    <row r="1017" spans="4:5" ht="15" customHeight="1" x14ac:dyDescent="0.2">
      <c r="D1017" s="848"/>
      <c r="E1017" s="99"/>
    </row>
    <row r="1018" spans="4:5" ht="15" customHeight="1" x14ac:dyDescent="0.2">
      <c r="D1018" s="848"/>
      <c r="E1018" s="99"/>
    </row>
    <row r="1019" spans="4:5" ht="15" customHeight="1" x14ac:dyDescent="0.2">
      <c r="D1019" s="848"/>
      <c r="E1019" s="99"/>
    </row>
    <row r="1020" spans="4:5" ht="15" customHeight="1" x14ac:dyDescent="0.2">
      <c r="D1020" s="848"/>
      <c r="E1020" s="99"/>
    </row>
    <row r="1021" spans="4:5" ht="15" customHeight="1" x14ac:dyDescent="0.2">
      <c r="D1021" s="848"/>
      <c r="E1021" s="99"/>
    </row>
    <row r="1022" spans="4:5" ht="15" customHeight="1" x14ac:dyDescent="0.2">
      <c r="D1022" s="848"/>
      <c r="E1022" s="99"/>
    </row>
    <row r="1023" spans="4:5" ht="15" customHeight="1" x14ac:dyDescent="0.2">
      <c r="D1023" s="848"/>
      <c r="E1023" s="99"/>
    </row>
    <row r="1024" spans="4:5" ht="15" customHeight="1" x14ac:dyDescent="0.2">
      <c r="D1024" s="848"/>
      <c r="E1024" s="99"/>
    </row>
    <row r="1025" spans="4:5" ht="15" customHeight="1" x14ac:dyDescent="0.2">
      <c r="D1025" s="848"/>
      <c r="E1025" s="99"/>
    </row>
    <row r="1026" spans="4:5" ht="15" customHeight="1" x14ac:dyDescent="0.2">
      <c r="D1026" s="848"/>
      <c r="E1026" s="99"/>
    </row>
    <row r="1027" spans="4:5" ht="15" customHeight="1" x14ac:dyDescent="0.2">
      <c r="D1027" s="848"/>
      <c r="E1027" s="99"/>
    </row>
    <row r="1028" spans="4:5" ht="15" customHeight="1" x14ac:dyDescent="0.2">
      <c r="D1028" s="848"/>
      <c r="E1028" s="99"/>
    </row>
    <row r="1029" spans="4:5" ht="15" customHeight="1" x14ac:dyDescent="0.2">
      <c r="D1029" s="848"/>
      <c r="E1029" s="99"/>
    </row>
    <row r="1030" spans="4:5" ht="15" customHeight="1" x14ac:dyDescent="0.2">
      <c r="D1030" s="848"/>
      <c r="E1030" s="99"/>
    </row>
    <row r="1031" spans="4:5" ht="15" customHeight="1" x14ac:dyDescent="0.2">
      <c r="D1031" s="848"/>
      <c r="E1031" s="99"/>
    </row>
    <row r="1032" spans="4:5" ht="15" customHeight="1" x14ac:dyDescent="0.2">
      <c r="D1032" s="848"/>
      <c r="E1032" s="99"/>
    </row>
    <row r="1033" spans="4:5" ht="15" customHeight="1" x14ac:dyDescent="0.2">
      <c r="D1033" s="848"/>
      <c r="E1033" s="99"/>
    </row>
    <row r="1034" spans="4:5" ht="15" customHeight="1" x14ac:dyDescent="0.2">
      <c r="D1034" s="848"/>
      <c r="E1034" s="99"/>
    </row>
    <row r="1035" spans="4:5" ht="15" customHeight="1" x14ac:dyDescent="0.2">
      <c r="D1035" s="848"/>
      <c r="E1035" s="99"/>
    </row>
    <row r="1036" spans="4:5" ht="15" customHeight="1" x14ac:dyDescent="0.2">
      <c r="D1036" s="848"/>
      <c r="E1036" s="99"/>
    </row>
    <row r="1037" spans="4:5" ht="15" customHeight="1" x14ac:dyDescent="0.2">
      <c r="D1037" s="848"/>
      <c r="E1037" s="99"/>
    </row>
    <row r="1038" spans="4:5" ht="15" customHeight="1" x14ac:dyDescent="0.2">
      <c r="D1038" s="848"/>
      <c r="E1038" s="99"/>
    </row>
    <row r="1039" spans="4:5" ht="15" customHeight="1" x14ac:dyDescent="0.2">
      <c r="D1039" s="848"/>
      <c r="E1039" s="99"/>
    </row>
    <row r="1040" spans="4:5" ht="15" customHeight="1" x14ac:dyDescent="0.2">
      <c r="D1040" s="848"/>
      <c r="E1040" s="99"/>
    </row>
    <row r="1041" spans="4:5" ht="15" customHeight="1" x14ac:dyDescent="0.2">
      <c r="D1041" s="848"/>
      <c r="E1041" s="99"/>
    </row>
    <row r="1042" spans="4:5" ht="15" customHeight="1" x14ac:dyDescent="0.2">
      <c r="D1042" s="848"/>
      <c r="E1042" s="99"/>
    </row>
    <row r="1043" spans="4:5" ht="15" customHeight="1" x14ac:dyDescent="0.2">
      <c r="D1043" s="848"/>
      <c r="E1043" s="99"/>
    </row>
    <row r="1044" spans="4:5" ht="15" customHeight="1" x14ac:dyDescent="0.2">
      <c r="D1044" s="848"/>
      <c r="E1044" s="99"/>
    </row>
    <row r="1045" spans="4:5" ht="15" customHeight="1" x14ac:dyDescent="0.2">
      <c r="D1045" s="848"/>
      <c r="E1045" s="99"/>
    </row>
    <row r="1046" spans="4:5" ht="15" customHeight="1" x14ac:dyDescent="0.2">
      <c r="D1046" s="848"/>
      <c r="E1046" s="99"/>
    </row>
    <row r="1047" spans="4:5" ht="15" customHeight="1" x14ac:dyDescent="0.2">
      <c r="D1047" s="848"/>
      <c r="E1047" s="99"/>
    </row>
    <row r="1048" spans="4:5" ht="15" customHeight="1" x14ac:dyDescent="0.2">
      <c r="D1048" s="848"/>
      <c r="E1048" s="99"/>
    </row>
    <row r="1049" spans="4:5" ht="15" customHeight="1" x14ac:dyDescent="0.2">
      <c r="D1049" s="848"/>
      <c r="E1049" s="99"/>
    </row>
    <row r="1050" spans="4:5" ht="15" customHeight="1" x14ac:dyDescent="0.2">
      <c r="D1050" s="848"/>
      <c r="E1050" s="99"/>
    </row>
    <row r="1051" spans="4:5" ht="15" customHeight="1" x14ac:dyDescent="0.2">
      <c r="D1051" s="848"/>
      <c r="E1051" s="99"/>
    </row>
    <row r="1052" spans="4:5" ht="15" customHeight="1" x14ac:dyDescent="0.2">
      <c r="D1052" s="848"/>
      <c r="E1052" s="99"/>
    </row>
    <row r="1053" spans="4:5" ht="15" customHeight="1" x14ac:dyDescent="0.2">
      <c r="D1053" s="848"/>
      <c r="E1053" s="99"/>
    </row>
    <row r="1054" spans="4:5" ht="15" customHeight="1" x14ac:dyDescent="0.2">
      <c r="D1054" s="848"/>
      <c r="E1054" s="99"/>
    </row>
    <row r="1055" spans="4:5" ht="15" customHeight="1" x14ac:dyDescent="0.2">
      <c r="D1055" s="848"/>
      <c r="E1055" s="99"/>
    </row>
    <row r="1056" spans="4:5" ht="15" customHeight="1" x14ac:dyDescent="0.2">
      <c r="D1056" s="848"/>
      <c r="E1056" s="99"/>
    </row>
    <row r="1057" spans="4:5" ht="15" customHeight="1" x14ac:dyDescent="0.2">
      <c r="D1057" s="848"/>
      <c r="E1057" s="99"/>
    </row>
    <row r="1058" spans="4:5" ht="15" customHeight="1" x14ac:dyDescent="0.2">
      <c r="D1058" s="848"/>
      <c r="E1058" s="99"/>
    </row>
    <row r="1059" spans="4:5" ht="15" customHeight="1" x14ac:dyDescent="0.2">
      <c r="D1059" s="848"/>
      <c r="E1059" s="99"/>
    </row>
    <row r="1060" spans="4:5" ht="15" customHeight="1" x14ac:dyDescent="0.2">
      <c r="D1060" s="848"/>
      <c r="E1060" s="99"/>
    </row>
    <row r="1061" spans="4:5" ht="15" customHeight="1" x14ac:dyDescent="0.2">
      <c r="D1061" s="848"/>
      <c r="E1061" s="99"/>
    </row>
    <row r="1062" spans="4:5" ht="15" customHeight="1" x14ac:dyDescent="0.2">
      <c r="D1062" s="848"/>
      <c r="E1062" s="99"/>
    </row>
    <row r="1063" spans="4:5" ht="15" customHeight="1" x14ac:dyDescent="0.2">
      <c r="D1063" s="848"/>
      <c r="E1063" s="99"/>
    </row>
    <row r="1064" spans="4:5" ht="15" customHeight="1" x14ac:dyDescent="0.2">
      <c r="D1064" s="848"/>
      <c r="E1064" s="99"/>
    </row>
    <row r="1065" spans="4:5" ht="15" customHeight="1" x14ac:dyDescent="0.2">
      <c r="D1065" s="848"/>
      <c r="E1065" s="99"/>
    </row>
    <row r="1066" spans="4:5" ht="15" customHeight="1" x14ac:dyDescent="0.2">
      <c r="D1066" s="848"/>
      <c r="E1066" s="99"/>
    </row>
    <row r="1067" spans="4:5" ht="15" customHeight="1" x14ac:dyDescent="0.2">
      <c r="D1067" s="848"/>
      <c r="E1067" s="99"/>
    </row>
    <row r="1068" spans="4:5" ht="15" customHeight="1" x14ac:dyDescent="0.2">
      <c r="D1068" s="848"/>
      <c r="E1068" s="99"/>
    </row>
    <row r="1069" spans="4:5" ht="15" customHeight="1" x14ac:dyDescent="0.2">
      <c r="D1069" s="848"/>
      <c r="E1069" s="99"/>
    </row>
    <row r="1070" spans="4:5" ht="15" customHeight="1" x14ac:dyDescent="0.2">
      <c r="D1070" s="848"/>
      <c r="E1070" s="99"/>
    </row>
    <row r="1071" spans="4:5" ht="15" customHeight="1" x14ac:dyDescent="0.2">
      <c r="D1071" s="848"/>
      <c r="E1071" s="99"/>
    </row>
    <row r="1072" spans="4:5" ht="15" customHeight="1" x14ac:dyDescent="0.2">
      <c r="D1072" s="848"/>
      <c r="E1072" s="99"/>
    </row>
    <row r="1073" spans="4:5" ht="15" customHeight="1" x14ac:dyDescent="0.2">
      <c r="D1073" s="848"/>
      <c r="E1073" s="99"/>
    </row>
    <row r="1074" spans="4:5" ht="15" customHeight="1" x14ac:dyDescent="0.2">
      <c r="D1074" s="848"/>
      <c r="E1074" s="99"/>
    </row>
    <row r="1075" spans="4:5" ht="15" customHeight="1" x14ac:dyDescent="0.2">
      <c r="D1075" s="848"/>
      <c r="E1075" s="99"/>
    </row>
    <row r="1076" spans="4:5" ht="15" customHeight="1" x14ac:dyDescent="0.2">
      <c r="D1076" s="848"/>
      <c r="E1076" s="99"/>
    </row>
    <row r="1077" spans="4:5" ht="15" customHeight="1" x14ac:dyDescent="0.2">
      <c r="D1077" s="848"/>
      <c r="E1077" s="99"/>
    </row>
    <row r="1078" spans="4:5" ht="15" customHeight="1" x14ac:dyDescent="0.2">
      <c r="D1078" s="848"/>
      <c r="E1078" s="99"/>
    </row>
    <row r="1079" spans="4:5" ht="15" customHeight="1" x14ac:dyDescent="0.2">
      <c r="D1079" s="848"/>
      <c r="E1079" s="99"/>
    </row>
    <row r="1080" spans="4:5" ht="15" customHeight="1" x14ac:dyDescent="0.2">
      <c r="D1080" s="848"/>
      <c r="E1080" s="99"/>
    </row>
    <row r="1081" spans="4:5" ht="15" customHeight="1" x14ac:dyDescent="0.2">
      <c r="D1081" s="848"/>
      <c r="E1081" s="99"/>
    </row>
    <row r="1082" spans="4:5" ht="15" customHeight="1" x14ac:dyDescent="0.2">
      <c r="D1082" s="848"/>
      <c r="E1082" s="99"/>
    </row>
    <row r="1083" spans="4:5" ht="15" customHeight="1" x14ac:dyDescent="0.2">
      <c r="D1083" s="848"/>
      <c r="E1083" s="99"/>
    </row>
    <row r="1084" spans="4:5" ht="15" customHeight="1" x14ac:dyDescent="0.2">
      <c r="D1084" s="848"/>
      <c r="E1084" s="99"/>
    </row>
    <row r="1085" spans="4:5" ht="15" customHeight="1" x14ac:dyDescent="0.2">
      <c r="D1085" s="848"/>
      <c r="E1085" s="99"/>
    </row>
    <row r="1086" spans="4:5" ht="15" customHeight="1" x14ac:dyDescent="0.2">
      <c r="D1086" s="848"/>
      <c r="E1086" s="99"/>
    </row>
    <row r="1087" spans="4:5" ht="15" customHeight="1" x14ac:dyDescent="0.2">
      <c r="D1087" s="848"/>
      <c r="E1087" s="99"/>
    </row>
    <row r="1088" spans="4:5" ht="15" customHeight="1" x14ac:dyDescent="0.2">
      <c r="D1088" s="848"/>
      <c r="E1088" s="99"/>
    </row>
    <row r="1089" spans="4:5" ht="15" customHeight="1" x14ac:dyDescent="0.2">
      <c r="D1089" s="848"/>
      <c r="E1089" s="99"/>
    </row>
    <row r="1090" spans="4:5" ht="15" customHeight="1" x14ac:dyDescent="0.2">
      <c r="D1090" s="848"/>
      <c r="E1090" s="99"/>
    </row>
    <row r="1091" spans="4:5" ht="15" customHeight="1" x14ac:dyDescent="0.2">
      <c r="D1091" s="848"/>
      <c r="E1091" s="99"/>
    </row>
    <row r="1092" spans="4:5" ht="15" customHeight="1" x14ac:dyDescent="0.2">
      <c r="D1092" s="848"/>
      <c r="E1092" s="99"/>
    </row>
    <row r="1093" spans="4:5" ht="15" customHeight="1" x14ac:dyDescent="0.2">
      <c r="D1093" s="848"/>
      <c r="E1093" s="99"/>
    </row>
    <row r="1094" spans="4:5" ht="15" customHeight="1" x14ac:dyDescent="0.2">
      <c r="D1094" s="848"/>
      <c r="E1094" s="99"/>
    </row>
    <row r="1095" spans="4:5" ht="15" customHeight="1" x14ac:dyDescent="0.2">
      <c r="D1095" s="848"/>
      <c r="E1095" s="99"/>
    </row>
    <row r="1096" spans="4:5" ht="15" customHeight="1" x14ac:dyDescent="0.2">
      <c r="D1096" s="848"/>
      <c r="E1096" s="99"/>
    </row>
    <row r="1097" spans="4:5" ht="15" customHeight="1" x14ac:dyDescent="0.2">
      <c r="D1097" s="848"/>
      <c r="E1097" s="99"/>
    </row>
    <row r="1098" spans="4:5" ht="15" customHeight="1" x14ac:dyDescent="0.2">
      <c r="D1098" s="848"/>
      <c r="E1098" s="99"/>
    </row>
    <row r="1099" spans="4:5" ht="15" customHeight="1" x14ac:dyDescent="0.2">
      <c r="D1099" s="848"/>
      <c r="E1099" s="99"/>
    </row>
    <row r="1100" spans="4:5" ht="15" customHeight="1" x14ac:dyDescent="0.2">
      <c r="D1100" s="848"/>
      <c r="E1100" s="99"/>
    </row>
    <row r="1101" spans="4:5" ht="15" customHeight="1" x14ac:dyDescent="0.2">
      <c r="D1101" s="848"/>
      <c r="E1101" s="99"/>
    </row>
    <row r="1102" spans="4:5" ht="15" customHeight="1" x14ac:dyDescent="0.2">
      <c r="D1102" s="848"/>
      <c r="E1102" s="99"/>
    </row>
    <row r="1103" spans="4:5" ht="15" customHeight="1" x14ac:dyDescent="0.2">
      <c r="D1103" s="848"/>
      <c r="E1103" s="99"/>
    </row>
    <row r="1104" spans="4:5" ht="15" customHeight="1" x14ac:dyDescent="0.2">
      <c r="D1104" s="848"/>
      <c r="E1104" s="99"/>
    </row>
    <row r="1105" spans="4:5" ht="15" customHeight="1" x14ac:dyDescent="0.2">
      <c r="D1105" s="848"/>
      <c r="E1105" s="99"/>
    </row>
    <row r="1106" spans="4:5" ht="15" customHeight="1" x14ac:dyDescent="0.2">
      <c r="D1106" s="848"/>
      <c r="E1106" s="99"/>
    </row>
    <row r="1107" spans="4:5" ht="15" customHeight="1" x14ac:dyDescent="0.2">
      <c r="D1107" s="848"/>
      <c r="E1107" s="99"/>
    </row>
    <row r="1108" spans="4:5" ht="15" customHeight="1" x14ac:dyDescent="0.2">
      <c r="D1108" s="848"/>
      <c r="E1108" s="99"/>
    </row>
    <row r="1109" spans="4:5" ht="15" customHeight="1" x14ac:dyDescent="0.2">
      <c r="D1109" s="848"/>
      <c r="E1109" s="99"/>
    </row>
    <row r="1110" spans="4:5" ht="15" customHeight="1" x14ac:dyDescent="0.2">
      <c r="D1110" s="848"/>
      <c r="E1110" s="99"/>
    </row>
    <row r="1111" spans="4:5" ht="15" customHeight="1" x14ac:dyDescent="0.2">
      <c r="D1111" s="848"/>
      <c r="E1111" s="99"/>
    </row>
    <row r="1112" spans="4:5" ht="15" customHeight="1" x14ac:dyDescent="0.2">
      <c r="D1112" s="848"/>
      <c r="E1112" s="99"/>
    </row>
    <row r="1113" spans="4:5" ht="15" customHeight="1" x14ac:dyDescent="0.2">
      <c r="D1113" s="848"/>
      <c r="E1113" s="99"/>
    </row>
    <row r="1114" spans="4:5" ht="15" customHeight="1" x14ac:dyDescent="0.2">
      <c r="D1114" s="848"/>
      <c r="E1114" s="99"/>
    </row>
    <row r="1115" spans="4:5" ht="15" customHeight="1" x14ac:dyDescent="0.2">
      <c r="D1115" s="848"/>
      <c r="E1115" s="99"/>
    </row>
    <row r="1116" spans="4:5" ht="15" customHeight="1" x14ac:dyDescent="0.2">
      <c r="D1116" s="848"/>
      <c r="E1116" s="99"/>
    </row>
    <row r="1117" spans="4:5" ht="15" customHeight="1" x14ac:dyDescent="0.2">
      <c r="D1117" s="848"/>
      <c r="E1117" s="99"/>
    </row>
    <row r="1118" spans="4:5" ht="15" customHeight="1" x14ac:dyDescent="0.2">
      <c r="D1118" s="848"/>
      <c r="E1118" s="99"/>
    </row>
    <row r="1119" spans="4:5" ht="15" customHeight="1" x14ac:dyDescent="0.2">
      <c r="D1119" s="848"/>
      <c r="E1119" s="99"/>
    </row>
    <row r="1120" spans="4:5" ht="15" customHeight="1" x14ac:dyDescent="0.2">
      <c r="D1120" s="848"/>
      <c r="E1120" s="99"/>
    </row>
    <row r="1121" spans="4:5" ht="15" customHeight="1" x14ac:dyDescent="0.2">
      <c r="D1121" s="848"/>
      <c r="E1121" s="99"/>
    </row>
    <row r="1122" spans="4:5" ht="15" customHeight="1" x14ac:dyDescent="0.2">
      <c r="D1122" s="848"/>
      <c r="E1122" s="99"/>
    </row>
    <row r="1123" spans="4:5" ht="15" customHeight="1" x14ac:dyDescent="0.2">
      <c r="D1123" s="848"/>
      <c r="E1123" s="99"/>
    </row>
    <row r="1124" spans="4:5" ht="15" customHeight="1" x14ac:dyDescent="0.2">
      <c r="D1124" s="848"/>
      <c r="E1124" s="99"/>
    </row>
    <row r="1125" spans="4:5" ht="15" customHeight="1" x14ac:dyDescent="0.2">
      <c r="D1125" s="848"/>
      <c r="E1125" s="99"/>
    </row>
    <row r="1126" spans="4:5" ht="15" customHeight="1" x14ac:dyDescent="0.2">
      <c r="D1126" s="848"/>
      <c r="E1126" s="99"/>
    </row>
    <row r="1127" spans="4:5" ht="15" customHeight="1" x14ac:dyDescent="0.2">
      <c r="D1127" s="848"/>
      <c r="E1127" s="99"/>
    </row>
    <row r="1128" spans="4:5" ht="15" customHeight="1" x14ac:dyDescent="0.2">
      <c r="D1128" s="848"/>
      <c r="E1128" s="99"/>
    </row>
    <row r="1129" spans="4:5" ht="15" customHeight="1" x14ac:dyDescent="0.2">
      <c r="D1129" s="848"/>
      <c r="E1129" s="99"/>
    </row>
    <row r="1130" spans="4:5" ht="15" customHeight="1" x14ac:dyDescent="0.2">
      <c r="D1130" s="848"/>
      <c r="E1130" s="99"/>
    </row>
    <row r="1131" spans="4:5" ht="15" customHeight="1" x14ac:dyDescent="0.2">
      <c r="D1131" s="848"/>
      <c r="E1131" s="99"/>
    </row>
    <row r="1132" spans="4:5" ht="15" customHeight="1" x14ac:dyDescent="0.2">
      <c r="D1132" s="848"/>
      <c r="E1132" s="99"/>
    </row>
    <row r="1133" spans="4:5" ht="15" customHeight="1" x14ac:dyDescent="0.2">
      <c r="D1133" s="848"/>
      <c r="E1133" s="99"/>
    </row>
    <row r="1134" spans="4:5" ht="15" customHeight="1" x14ac:dyDescent="0.2">
      <c r="D1134" s="848"/>
      <c r="E1134" s="99"/>
    </row>
    <row r="1135" spans="4:5" ht="15" customHeight="1" x14ac:dyDescent="0.2">
      <c r="D1135" s="848"/>
      <c r="E1135" s="99"/>
    </row>
    <row r="1136" spans="4:5" ht="15" customHeight="1" x14ac:dyDescent="0.2">
      <c r="D1136" s="848"/>
      <c r="E1136" s="99"/>
    </row>
    <row r="1137" spans="4:5" ht="15" customHeight="1" x14ac:dyDescent="0.2">
      <c r="D1137" s="848"/>
      <c r="E1137" s="99"/>
    </row>
    <row r="1138" spans="4:5" ht="15" customHeight="1" x14ac:dyDescent="0.2">
      <c r="D1138" s="848"/>
      <c r="E1138" s="99"/>
    </row>
    <row r="1139" spans="4:5" ht="15" customHeight="1" x14ac:dyDescent="0.2">
      <c r="D1139" s="848"/>
      <c r="E1139" s="99"/>
    </row>
    <row r="1140" spans="4:5" ht="15" customHeight="1" x14ac:dyDescent="0.2">
      <c r="D1140" s="848"/>
      <c r="E1140" s="99"/>
    </row>
    <row r="1141" spans="4:5" ht="15" customHeight="1" x14ac:dyDescent="0.2">
      <c r="D1141" s="848"/>
      <c r="E1141" s="99"/>
    </row>
    <row r="1142" spans="4:5" ht="15" customHeight="1" x14ac:dyDescent="0.2">
      <c r="D1142" s="848"/>
      <c r="E1142" s="99"/>
    </row>
    <row r="1143" spans="4:5" ht="15" customHeight="1" x14ac:dyDescent="0.2">
      <c r="D1143" s="848"/>
      <c r="E1143" s="99"/>
    </row>
    <row r="1144" spans="4:5" ht="15" customHeight="1" x14ac:dyDescent="0.2">
      <c r="D1144" s="848"/>
      <c r="E1144" s="99"/>
    </row>
    <row r="1145" spans="4:5" ht="15" customHeight="1" x14ac:dyDescent="0.2">
      <c r="D1145" s="848"/>
      <c r="E1145" s="99"/>
    </row>
    <row r="1146" spans="4:5" ht="15" customHeight="1" x14ac:dyDescent="0.2">
      <c r="D1146" s="848"/>
      <c r="E1146" s="99"/>
    </row>
    <row r="1147" spans="4:5" ht="15" customHeight="1" x14ac:dyDescent="0.2">
      <c r="D1147" s="848"/>
      <c r="E1147" s="99"/>
    </row>
    <row r="1148" spans="4:5" ht="15" customHeight="1" x14ac:dyDescent="0.2">
      <c r="D1148" s="848"/>
      <c r="E1148" s="99"/>
    </row>
    <row r="1149" spans="4:5" ht="15" customHeight="1" x14ac:dyDescent="0.2">
      <c r="D1149" s="848"/>
      <c r="E1149" s="99"/>
    </row>
    <row r="1150" spans="4:5" ht="15" customHeight="1" x14ac:dyDescent="0.2">
      <c r="D1150" s="848"/>
      <c r="E1150" s="99"/>
    </row>
    <row r="1151" spans="4:5" ht="15" customHeight="1" x14ac:dyDescent="0.2">
      <c r="D1151" s="848"/>
      <c r="E1151" s="99"/>
    </row>
    <row r="1152" spans="4:5" ht="15" customHeight="1" x14ac:dyDescent="0.2">
      <c r="D1152" s="848"/>
      <c r="E1152" s="99"/>
    </row>
    <row r="1153" spans="4:5" ht="15" customHeight="1" x14ac:dyDescent="0.2">
      <c r="D1153" s="848"/>
      <c r="E1153" s="99"/>
    </row>
    <row r="1154" spans="4:5" ht="15" customHeight="1" x14ac:dyDescent="0.2">
      <c r="D1154" s="848"/>
      <c r="E1154" s="99"/>
    </row>
    <row r="1155" spans="4:5" ht="15" customHeight="1" x14ac:dyDescent="0.2">
      <c r="D1155" s="848"/>
      <c r="E1155" s="99"/>
    </row>
    <row r="1156" spans="4:5" ht="15" customHeight="1" x14ac:dyDescent="0.2">
      <c r="D1156" s="848"/>
      <c r="E1156" s="99"/>
    </row>
    <row r="1157" spans="4:5" ht="15" customHeight="1" x14ac:dyDescent="0.2">
      <c r="D1157" s="848"/>
      <c r="E1157" s="99"/>
    </row>
    <row r="1158" spans="4:5" ht="15" customHeight="1" x14ac:dyDescent="0.2">
      <c r="D1158" s="848"/>
      <c r="E1158" s="99"/>
    </row>
    <row r="1159" spans="4:5" ht="15" customHeight="1" x14ac:dyDescent="0.2">
      <c r="D1159" s="848"/>
      <c r="E1159" s="99"/>
    </row>
    <row r="1160" spans="4:5" ht="15" customHeight="1" x14ac:dyDescent="0.2">
      <c r="D1160" s="848"/>
      <c r="E1160" s="99"/>
    </row>
    <row r="1161" spans="4:5" ht="15" customHeight="1" x14ac:dyDescent="0.2">
      <c r="D1161" s="848"/>
      <c r="E1161" s="99"/>
    </row>
    <row r="1162" spans="4:5" ht="15" customHeight="1" x14ac:dyDescent="0.2">
      <c r="D1162" s="848"/>
      <c r="E1162" s="99"/>
    </row>
    <row r="1163" spans="4:5" ht="15" customHeight="1" x14ac:dyDescent="0.2">
      <c r="D1163" s="848"/>
      <c r="E1163" s="99"/>
    </row>
    <row r="1164" spans="4:5" ht="15" customHeight="1" x14ac:dyDescent="0.2">
      <c r="D1164" s="848"/>
      <c r="E1164" s="99"/>
    </row>
    <row r="1165" spans="4:5" ht="15" customHeight="1" x14ac:dyDescent="0.2">
      <c r="D1165" s="848"/>
      <c r="E1165" s="99"/>
    </row>
    <row r="1166" spans="4:5" ht="15" customHeight="1" x14ac:dyDescent="0.2">
      <c r="D1166" s="848"/>
      <c r="E1166" s="99"/>
    </row>
    <row r="1167" spans="4:5" ht="15" customHeight="1" x14ac:dyDescent="0.2">
      <c r="D1167" s="848"/>
      <c r="E1167" s="99"/>
    </row>
    <row r="1168" spans="4:5" ht="15" customHeight="1" x14ac:dyDescent="0.2">
      <c r="D1168" s="848"/>
      <c r="E1168" s="99"/>
    </row>
    <row r="1169" spans="4:5" ht="15" customHeight="1" x14ac:dyDescent="0.2">
      <c r="D1169" s="848"/>
      <c r="E1169" s="99"/>
    </row>
    <row r="1170" spans="4:5" ht="15" customHeight="1" x14ac:dyDescent="0.2">
      <c r="D1170" s="848"/>
      <c r="E1170" s="99"/>
    </row>
    <row r="1171" spans="4:5" ht="15" customHeight="1" x14ac:dyDescent="0.2">
      <c r="D1171" s="848"/>
      <c r="E1171" s="99"/>
    </row>
    <row r="1172" spans="4:5" ht="15" customHeight="1" x14ac:dyDescent="0.2">
      <c r="D1172" s="848"/>
      <c r="E1172" s="99"/>
    </row>
    <row r="1173" spans="4:5" ht="15" customHeight="1" x14ac:dyDescent="0.2">
      <c r="D1173" s="848"/>
      <c r="E1173" s="99"/>
    </row>
    <row r="1174" spans="4:5" ht="15" customHeight="1" x14ac:dyDescent="0.2">
      <c r="D1174" s="848"/>
      <c r="E1174" s="99"/>
    </row>
    <row r="1175" spans="4:5" ht="15" customHeight="1" x14ac:dyDescent="0.2">
      <c r="D1175" s="848"/>
      <c r="E1175" s="99"/>
    </row>
    <row r="1176" spans="4:5" ht="15" customHeight="1" x14ac:dyDescent="0.2">
      <c r="D1176" s="848"/>
      <c r="E1176" s="99"/>
    </row>
    <row r="1177" spans="4:5" ht="15" customHeight="1" x14ac:dyDescent="0.2">
      <c r="D1177" s="848"/>
      <c r="E1177" s="99"/>
    </row>
    <row r="1178" spans="4:5" ht="15" customHeight="1" x14ac:dyDescent="0.2">
      <c r="D1178" s="848"/>
      <c r="E1178" s="99"/>
    </row>
    <row r="1179" spans="4:5" ht="15" customHeight="1" x14ac:dyDescent="0.2">
      <c r="D1179" s="848"/>
      <c r="E1179" s="99"/>
    </row>
    <row r="1180" spans="4:5" ht="15" customHeight="1" x14ac:dyDescent="0.2">
      <c r="D1180" s="848"/>
      <c r="E1180" s="99"/>
    </row>
    <row r="1181" spans="4:5" ht="15" customHeight="1" x14ac:dyDescent="0.2">
      <c r="D1181" s="848"/>
      <c r="E1181" s="99"/>
    </row>
    <row r="1182" spans="4:5" ht="15" customHeight="1" x14ac:dyDescent="0.2">
      <c r="D1182" s="848"/>
      <c r="E1182" s="99"/>
    </row>
    <row r="1183" spans="4:5" ht="15" customHeight="1" x14ac:dyDescent="0.2">
      <c r="D1183" s="848"/>
      <c r="E1183" s="99"/>
    </row>
    <row r="1184" spans="4:5" ht="15" customHeight="1" x14ac:dyDescent="0.2">
      <c r="D1184" s="848"/>
      <c r="E1184" s="99"/>
    </row>
    <row r="1185" spans="4:5" ht="15" customHeight="1" x14ac:dyDescent="0.2">
      <c r="D1185" s="848"/>
      <c r="E1185" s="99"/>
    </row>
    <row r="1186" spans="4:5" ht="15" customHeight="1" x14ac:dyDescent="0.2">
      <c r="D1186" s="848"/>
      <c r="E1186" s="99"/>
    </row>
    <row r="1187" spans="4:5" ht="15" customHeight="1" x14ac:dyDescent="0.2">
      <c r="D1187" s="848"/>
      <c r="E1187" s="99"/>
    </row>
    <row r="1188" spans="4:5" ht="15" customHeight="1" x14ac:dyDescent="0.2">
      <c r="D1188" s="848"/>
      <c r="E1188" s="99"/>
    </row>
    <row r="1189" spans="4:5" ht="15" customHeight="1" x14ac:dyDescent="0.2">
      <c r="D1189" s="848"/>
      <c r="E1189" s="99"/>
    </row>
    <row r="1190" spans="4:5" ht="15" customHeight="1" x14ac:dyDescent="0.2">
      <c r="D1190" s="848"/>
      <c r="E1190" s="99"/>
    </row>
    <row r="1191" spans="4:5" ht="15" customHeight="1" x14ac:dyDescent="0.2">
      <c r="D1191" s="848"/>
      <c r="E1191" s="99"/>
    </row>
    <row r="1192" spans="4:5" ht="15" customHeight="1" x14ac:dyDescent="0.2">
      <c r="D1192" s="848"/>
      <c r="E1192" s="99"/>
    </row>
    <row r="1193" spans="4:5" ht="15" customHeight="1" x14ac:dyDescent="0.2">
      <c r="D1193" s="848"/>
      <c r="E1193" s="99"/>
    </row>
    <row r="1194" spans="4:5" ht="15" customHeight="1" x14ac:dyDescent="0.2">
      <c r="D1194" s="848"/>
      <c r="E1194" s="99"/>
    </row>
    <row r="1195" spans="4:5" ht="15" customHeight="1" x14ac:dyDescent="0.2">
      <c r="D1195" s="848"/>
      <c r="E1195" s="99"/>
    </row>
    <row r="1196" spans="4:5" ht="15" customHeight="1" x14ac:dyDescent="0.2">
      <c r="D1196" s="848"/>
      <c r="E1196" s="99"/>
    </row>
    <row r="1197" spans="4:5" ht="15" customHeight="1" x14ac:dyDescent="0.2">
      <c r="D1197" s="848"/>
      <c r="E1197" s="99"/>
    </row>
    <row r="1198" spans="4:5" ht="15" customHeight="1" x14ac:dyDescent="0.2">
      <c r="D1198" s="848"/>
      <c r="E1198" s="99"/>
    </row>
    <row r="1199" spans="4:5" ht="15" customHeight="1" x14ac:dyDescent="0.2">
      <c r="D1199" s="848"/>
      <c r="E1199" s="99"/>
    </row>
    <row r="1200" spans="4:5" ht="15" customHeight="1" x14ac:dyDescent="0.2">
      <c r="D1200" s="848"/>
      <c r="E1200" s="99"/>
    </row>
    <row r="1201" spans="4:5" ht="15" customHeight="1" x14ac:dyDescent="0.2">
      <c r="D1201" s="848"/>
      <c r="E1201" s="99"/>
    </row>
    <row r="1202" spans="4:5" ht="15" customHeight="1" x14ac:dyDescent="0.2">
      <c r="D1202" s="848"/>
      <c r="E1202" s="99"/>
    </row>
    <row r="1203" spans="4:5" ht="15" customHeight="1" x14ac:dyDescent="0.2">
      <c r="D1203" s="848"/>
      <c r="E1203" s="99"/>
    </row>
    <row r="1204" spans="4:5" ht="15" customHeight="1" x14ac:dyDescent="0.2">
      <c r="D1204" s="848"/>
      <c r="E1204" s="99"/>
    </row>
    <row r="1205" spans="4:5" ht="15" customHeight="1" x14ac:dyDescent="0.2">
      <c r="D1205" s="848"/>
      <c r="E1205" s="99"/>
    </row>
    <row r="1206" spans="4:5" ht="15" customHeight="1" x14ac:dyDescent="0.2">
      <c r="D1206" s="848"/>
      <c r="E1206" s="99"/>
    </row>
    <row r="1207" spans="4:5" ht="15" customHeight="1" x14ac:dyDescent="0.2">
      <c r="D1207" s="848"/>
      <c r="E1207" s="99"/>
    </row>
    <row r="1208" spans="4:5" ht="15" customHeight="1" x14ac:dyDescent="0.2">
      <c r="D1208" s="848"/>
      <c r="E1208" s="99"/>
    </row>
    <row r="1209" spans="4:5" ht="15" customHeight="1" x14ac:dyDescent="0.2">
      <c r="D1209" s="848"/>
      <c r="E1209" s="99"/>
    </row>
    <row r="1210" spans="4:5" ht="15" customHeight="1" x14ac:dyDescent="0.2">
      <c r="D1210" s="848"/>
      <c r="E1210" s="99"/>
    </row>
    <row r="1211" spans="4:5" ht="15" customHeight="1" x14ac:dyDescent="0.2">
      <c r="D1211" s="848"/>
      <c r="E1211" s="99"/>
    </row>
    <row r="1212" spans="4:5" ht="15" customHeight="1" x14ac:dyDescent="0.2">
      <c r="D1212" s="848"/>
      <c r="E1212" s="99"/>
    </row>
    <row r="1213" spans="4:5" ht="15" customHeight="1" x14ac:dyDescent="0.2">
      <c r="D1213" s="848"/>
      <c r="E1213" s="99"/>
    </row>
    <row r="1214" spans="4:5" ht="15" customHeight="1" x14ac:dyDescent="0.2">
      <c r="D1214" s="848"/>
      <c r="E1214" s="99"/>
    </row>
    <row r="1215" spans="4:5" ht="15" customHeight="1" x14ac:dyDescent="0.2">
      <c r="D1215" s="848"/>
      <c r="E1215" s="99"/>
    </row>
    <row r="1216" spans="4:5" ht="15" customHeight="1" x14ac:dyDescent="0.2">
      <c r="D1216" s="848"/>
      <c r="E1216" s="99"/>
    </row>
    <row r="1217" spans="4:5" ht="15" customHeight="1" x14ac:dyDescent="0.2">
      <c r="D1217" s="848"/>
      <c r="E1217" s="99"/>
    </row>
    <row r="1218" spans="4:5" ht="15" customHeight="1" x14ac:dyDescent="0.2">
      <c r="D1218" s="848"/>
      <c r="E1218" s="99"/>
    </row>
    <row r="1219" spans="4:5" ht="15" customHeight="1" x14ac:dyDescent="0.2">
      <c r="D1219" s="848"/>
      <c r="E1219" s="99"/>
    </row>
    <row r="1220" spans="4:5" ht="15" customHeight="1" x14ac:dyDescent="0.2">
      <c r="D1220" s="848"/>
      <c r="E1220" s="99"/>
    </row>
    <row r="1221" spans="4:5" ht="15" customHeight="1" x14ac:dyDescent="0.2">
      <c r="D1221" s="848"/>
      <c r="E1221" s="99"/>
    </row>
    <row r="1222" spans="4:5" ht="15" customHeight="1" x14ac:dyDescent="0.2">
      <c r="D1222" s="848"/>
      <c r="E1222" s="99"/>
    </row>
    <row r="1223" spans="4:5" ht="15" customHeight="1" x14ac:dyDescent="0.2">
      <c r="D1223" s="848"/>
      <c r="E1223" s="99"/>
    </row>
    <row r="1224" spans="4:5" ht="15" customHeight="1" x14ac:dyDescent="0.2">
      <c r="D1224" s="848"/>
      <c r="E1224" s="99"/>
    </row>
    <row r="1225" spans="4:5" ht="15" customHeight="1" x14ac:dyDescent="0.2">
      <c r="D1225" s="848"/>
      <c r="E1225" s="99"/>
    </row>
    <row r="1226" spans="4:5" ht="15" customHeight="1" x14ac:dyDescent="0.2">
      <c r="D1226" s="848"/>
      <c r="E1226" s="99"/>
    </row>
    <row r="1227" spans="4:5" ht="15" customHeight="1" x14ac:dyDescent="0.2">
      <c r="D1227" s="848"/>
      <c r="E1227" s="99"/>
    </row>
    <row r="1228" spans="4:5" ht="15" customHeight="1" x14ac:dyDescent="0.2">
      <c r="D1228" s="848"/>
      <c r="E1228" s="99"/>
    </row>
    <row r="1229" spans="4:5" ht="15" customHeight="1" x14ac:dyDescent="0.2">
      <c r="D1229" s="848"/>
      <c r="E1229" s="99"/>
    </row>
    <row r="1230" spans="4:5" ht="15" customHeight="1" x14ac:dyDescent="0.2">
      <c r="D1230" s="848"/>
      <c r="E1230" s="99"/>
    </row>
    <row r="1231" spans="4:5" ht="15" customHeight="1" x14ac:dyDescent="0.2">
      <c r="D1231" s="848"/>
      <c r="E1231" s="99"/>
    </row>
    <row r="1232" spans="4:5" ht="15" customHeight="1" x14ac:dyDescent="0.2">
      <c r="D1232" s="848"/>
      <c r="E1232" s="99"/>
    </row>
    <row r="1233" spans="4:5" ht="15" customHeight="1" x14ac:dyDescent="0.2">
      <c r="D1233" s="848"/>
      <c r="E1233" s="99"/>
    </row>
    <row r="1234" spans="4:5" ht="15" customHeight="1" x14ac:dyDescent="0.2">
      <c r="D1234" s="848"/>
      <c r="E1234" s="99"/>
    </row>
    <row r="1235" spans="4:5" ht="15" customHeight="1" x14ac:dyDescent="0.2">
      <c r="D1235" s="848"/>
      <c r="E1235" s="99"/>
    </row>
    <row r="1236" spans="4:5" ht="15" customHeight="1" x14ac:dyDescent="0.2">
      <c r="D1236" s="848"/>
      <c r="E1236" s="99"/>
    </row>
    <row r="1237" spans="4:5" ht="15" customHeight="1" x14ac:dyDescent="0.2">
      <c r="D1237" s="848"/>
      <c r="E1237" s="99"/>
    </row>
    <row r="1238" spans="4:5" ht="15" customHeight="1" x14ac:dyDescent="0.2">
      <c r="D1238" s="848"/>
      <c r="E1238" s="99"/>
    </row>
    <row r="1239" spans="4:5" ht="15" customHeight="1" x14ac:dyDescent="0.2">
      <c r="D1239" s="848"/>
      <c r="E1239" s="99"/>
    </row>
    <row r="1240" spans="4:5" ht="15" customHeight="1" x14ac:dyDescent="0.2">
      <c r="D1240" s="848"/>
      <c r="E1240" s="99"/>
    </row>
    <row r="1241" spans="4:5" ht="15" customHeight="1" x14ac:dyDescent="0.2">
      <c r="D1241" s="848"/>
      <c r="E1241" s="99"/>
    </row>
    <row r="1242" spans="4:5" ht="15" customHeight="1" x14ac:dyDescent="0.2">
      <c r="D1242" s="848"/>
      <c r="E1242" s="99"/>
    </row>
    <row r="1243" spans="4:5" ht="15" customHeight="1" x14ac:dyDescent="0.2">
      <c r="D1243" s="848"/>
      <c r="E1243" s="99"/>
    </row>
    <row r="1244" spans="4:5" ht="15" customHeight="1" x14ac:dyDescent="0.2">
      <c r="D1244" s="848"/>
      <c r="E1244" s="99"/>
    </row>
    <row r="1245" spans="4:5" ht="15" customHeight="1" x14ac:dyDescent="0.2">
      <c r="D1245" s="848"/>
      <c r="E1245" s="99"/>
    </row>
    <row r="1246" spans="4:5" ht="15" customHeight="1" x14ac:dyDescent="0.2">
      <c r="D1246" s="848"/>
      <c r="E1246" s="99"/>
    </row>
    <row r="1247" spans="4:5" ht="15" customHeight="1" x14ac:dyDescent="0.2">
      <c r="D1247" s="848"/>
      <c r="E1247" s="99"/>
    </row>
    <row r="1248" spans="4:5" ht="15" customHeight="1" x14ac:dyDescent="0.2">
      <c r="D1248" s="848"/>
      <c r="E1248" s="99"/>
    </row>
    <row r="1249" spans="4:5" ht="15" customHeight="1" x14ac:dyDescent="0.2">
      <c r="D1249" s="848"/>
      <c r="E1249" s="99"/>
    </row>
    <row r="1250" spans="4:5" ht="15" customHeight="1" x14ac:dyDescent="0.2">
      <c r="D1250" s="848"/>
      <c r="E1250" s="99"/>
    </row>
    <row r="1251" spans="4:5" ht="15" customHeight="1" x14ac:dyDescent="0.2">
      <c r="D1251" s="848"/>
      <c r="E1251" s="99"/>
    </row>
    <row r="1252" spans="4:5" ht="15" customHeight="1" x14ac:dyDescent="0.2">
      <c r="D1252" s="848"/>
      <c r="E1252" s="99"/>
    </row>
    <row r="1253" spans="4:5" ht="15" customHeight="1" x14ac:dyDescent="0.2">
      <c r="D1253" s="848"/>
      <c r="E1253" s="99"/>
    </row>
    <row r="1254" spans="4:5" ht="15" customHeight="1" x14ac:dyDescent="0.2">
      <c r="D1254" s="848"/>
      <c r="E1254" s="99"/>
    </row>
    <row r="1255" spans="4:5" ht="15" customHeight="1" x14ac:dyDescent="0.2">
      <c r="D1255" s="848"/>
      <c r="E1255" s="99"/>
    </row>
    <row r="1256" spans="4:5" ht="15" customHeight="1" x14ac:dyDescent="0.2">
      <c r="D1256" s="848"/>
      <c r="E1256" s="99"/>
    </row>
    <row r="1257" spans="4:5" ht="15" customHeight="1" x14ac:dyDescent="0.2">
      <c r="D1257" s="848"/>
      <c r="E1257" s="99"/>
    </row>
    <row r="1258" spans="4:5" ht="15" customHeight="1" x14ac:dyDescent="0.2">
      <c r="D1258" s="848"/>
      <c r="E1258" s="99"/>
    </row>
    <row r="1259" spans="4:5" ht="15" customHeight="1" x14ac:dyDescent="0.2">
      <c r="D1259" s="848"/>
      <c r="E1259" s="99"/>
    </row>
    <row r="1260" spans="4:5" ht="15" customHeight="1" x14ac:dyDescent="0.2">
      <c r="D1260" s="848"/>
      <c r="E1260" s="99"/>
    </row>
    <row r="1261" spans="4:5" ht="15" customHeight="1" x14ac:dyDescent="0.2">
      <c r="D1261" s="848"/>
      <c r="E1261" s="99"/>
    </row>
    <row r="1262" spans="4:5" ht="15" customHeight="1" x14ac:dyDescent="0.2">
      <c r="D1262" s="848"/>
      <c r="E1262" s="99"/>
    </row>
    <row r="1263" spans="4:5" ht="15" customHeight="1" x14ac:dyDescent="0.2">
      <c r="D1263" s="848"/>
      <c r="E1263" s="99"/>
    </row>
    <row r="1264" spans="4:5" ht="15" customHeight="1" x14ac:dyDescent="0.2">
      <c r="D1264" s="848"/>
      <c r="E1264" s="99"/>
    </row>
    <row r="1265" spans="4:5" ht="15" customHeight="1" x14ac:dyDescent="0.2">
      <c r="D1265" s="848"/>
      <c r="E1265" s="99"/>
    </row>
    <row r="1266" spans="4:5" ht="15" customHeight="1" x14ac:dyDescent="0.2">
      <c r="D1266" s="848"/>
      <c r="E1266" s="99"/>
    </row>
    <row r="1267" spans="4:5" ht="15" customHeight="1" x14ac:dyDescent="0.2">
      <c r="D1267" s="848"/>
      <c r="E1267" s="99"/>
    </row>
    <row r="1268" spans="4:5" ht="15" customHeight="1" x14ac:dyDescent="0.2">
      <c r="D1268" s="848"/>
      <c r="E1268" s="99"/>
    </row>
    <row r="1269" spans="4:5" ht="15" customHeight="1" x14ac:dyDescent="0.2">
      <c r="D1269" s="848"/>
      <c r="E1269" s="99"/>
    </row>
    <row r="1270" spans="4:5" ht="15" customHeight="1" x14ac:dyDescent="0.2">
      <c r="D1270" s="848"/>
      <c r="E1270" s="99"/>
    </row>
    <row r="1271" spans="4:5" ht="15" customHeight="1" x14ac:dyDescent="0.2">
      <c r="D1271" s="848"/>
      <c r="E1271" s="99"/>
    </row>
    <row r="1272" spans="4:5" ht="15" customHeight="1" x14ac:dyDescent="0.2">
      <c r="D1272" s="848"/>
      <c r="E1272" s="99"/>
    </row>
    <row r="1273" spans="4:5" ht="15" customHeight="1" x14ac:dyDescent="0.2">
      <c r="D1273" s="848"/>
      <c r="E1273" s="99"/>
    </row>
    <row r="1274" spans="4:5" ht="15" customHeight="1" x14ac:dyDescent="0.2">
      <c r="D1274" s="848"/>
      <c r="E1274" s="99"/>
    </row>
    <row r="1275" spans="4:5" ht="15" customHeight="1" x14ac:dyDescent="0.2">
      <c r="D1275" s="848"/>
      <c r="E1275" s="99"/>
    </row>
    <row r="1276" spans="4:5" ht="15" customHeight="1" x14ac:dyDescent="0.2">
      <c r="D1276" s="848"/>
      <c r="E1276" s="99"/>
    </row>
    <row r="1277" spans="4:5" ht="15" customHeight="1" x14ac:dyDescent="0.2">
      <c r="D1277" s="848"/>
      <c r="E1277" s="99"/>
    </row>
    <row r="1278" spans="4:5" ht="15" customHeight="1" x14ac:dyDescent="0.2">
      <c r="D1278" s="848"/>
      <c r="E1278" s="99"/>
    </row>
    <row r="1279" spans="4:5" ht="15" customHeight="1" x14ac:dyDescent="0.2">
      <c r="D1279" s="848"/>
      <c r="E1279" s="99"/>
    </row>
    <row r="1280" spans="4:5" ht="15" customHeight="1" x14ac:dyDescent="0.2">
      <c r="D1280" s="848"/>
      <c r="E1280" s="99"/>
    </row>
    <row r="1281" spans="4:5" ht="15" customHeight="1" x14ac:dyDescent="0.2">
      <c r="D1281" s="848"/>
      <c r="E1281" s="99"/>
    </row>
    <row r="1282" spans="4:5" ht="15" customHeight="1" x14ac:dyDescent="0.2">
      <c r="D1282" s="848"/>
      <c r="E1282" s="99"/>
    </row>
    <row r="1283" spans="4:5" ht="15" customHeight="1" x14ac:dyDescent="0.2">
      <c r="D1283" s="848"/>
      <c r="E1283" s="99"/>
    </row>
    <row r="1284" spans="4:5" ht="15" customHeight="1" x14ac:dyDescent="0.2">
      <c r="D1284" s="848"/>
      <c r="E1284" s="99"/>
    </row>
    <row r="1285" spans="4:5" ht="15" customHeight="1" x14ac:dyDescent="0.2">
      <c r="D1285" s="848"/>
      <c r="E1285" s="99"/>
    </row>
    <row r="1286" spans="4:5" ht="15" customHeight="1" x14ac:dyDescent="0.2">
      <c r="D1286" s="848"/>
      <c r="E1286" s="99"/>
    </row>
    <row r="1287" spans="4:5" ht="15" customHeight="1" x14ac:dyDescent="0.2">
      <c r="D1287" s="848"/>
      <c r="E1287" s="99"/>
    </row>
    <row r="1288" spans="4:5" ht="15" customHeight="1" x14ac:dyDescent="0.2">
      <c r="D1288" s="848"/>
      <c r="E1288" s="99"/>
    </row>
    <row r="1289" spans="4:5" ht="15" customHeight="1" x14ac:dyDescent="0.2">
      <c r="D1289" s="848"/>
      <c r="E1289" s="99"/>
    </row>
    <row r="1290" spans="4:5" ht="15" customHeight="1" x14ac:dyDescent="0.2">
      <c r="D1290" s="848"/>
      <c r="E1290" s="99"/>
    </row>
    <row r="1291" spans="4:5" ht="15" customHeight="1" x14ac:dyDescent="0.2">
      <c r="D1291" s="848"/>
      <c r="E1291" s="99"/>
    </row>
    <row r="1292" spans="4:5" ht="15" customHeight="1" x14ac:dyDescent="0.2">
      <c r="D1292" s="848"/>
      <c r="E1292" s="99"/>
    </row>
    <row r="1293" spans="4:5" ht="15" customHeight="1" x14ac:dyDescent="0.2">
      <c r="D1293" s="848"/>
      <c r="E1293" s="99"/>
    </row>
    <row r="1294" spans="4:5" ht="15" customHeight="1" x14ac:dyDescent="0.2">
      <c r="D1294" s="848"/>
      <c r="E1294" s="99"/>
    </row>
    <row r="1295" spans="4:5" ht="15" customHeight="1" x14ac:dyDescent="0.2">
      <c r="D1295" s="848"/>
      <c r="E1295" s="99"/>
    </row>
    <row r="1296" spans="4:5" ht="15" customHeight="1" x14ac:dyDescent="0.2">
      <c r="D1296" s="848"/>
      <c r="E1296" s="99"/>
    </row>
    <row r="1297" spans="4:5" ht="15" customHeight="1" x14ac:dyDescent="0.2">
      <c r="D1297" s="848"/>
      <c r="E1297" s="99"/>
    </row>
    <row r="1298" spans="4:5" ht="15" customHeight="1" x14ac:dyDescent="0.2">
      <c r="D1298" s="848"/>
      <c r="E1298" s="99"/>
    </row>
    <row r="1299" spans="4:5" ht="15" customHeight="1" x14ac:dyDescent="0.2">
      <c r="D1299" s="848"/>
      <c r="E1299" s="99"/>
    </row>
    <row r="1300" spans="4:5" ht="15" customHeight="1" x14ac:dyDescent="0.2">
      <c r="D1300" s="848"/>
      <c r="E1300" s="99"/>
    </row>
    <row r="1301" spans="4:5" ht="15" customHeight="1" x14ac:dyDescent="0.2">
      <c r="D1301" s="848"/>
      <c r="E1301" s="99"/>
    </row>
    <row r="1302" spans="4:5" ht="15" customHeight="1" x14ac:dyDescent="0.2">
      <c r="D1302" s="848"/>
      <c r="E1302" s="99"/>
    </row>
    <row r="1303" spans="4:5" ht="15" customHeight="1" x14ac:dyDescent="0.2">
      <c r="D1303" s="848"/>
      <c r="E1303" s="99"/>
    </row>
    <row r="1304" spans="4:5" ht="15" customHeight="1" x14ac:dyDescent="0.2">
      <c r="D1304" s="848"/>
      <c r="E1304" s="99"/>
    </row>
    <row r="1305" spans="4:5" ht="15" customHeight="1" x14ac:dyDescent="0.2">
      <c r="D1305" s="848"/>
      <c r="E1305" s="99"/>
    </row>
    <row r="1306" spans="4:5" ht="15" customHeight="1" x14ac:dyDescent="0.2">
      <c r="D1306" s="848"/>
      <c r="E1306" s="99"/>
    </row>
    <row r="1307" spans="4:5" ht="15" customHeight="1" x14ac:dyDescent="0.2">
      <c r="D1307" s="848"/>
      <c r="E1307" s="99"/>
    </row>
    <row r="1308" spans="4:5" ht="15" customHeight="1" x14ac:dyDescent="0.2">
      <c r="D1308" s="848"/>
      <c r="E1308" s="99"/>
    </row>
    <row r="1309" spans="4:5" ht="15" customHeight="1" x14ac:dyDescent="0.2">
      <c r="D1309" s="848"/>
      <c r="E1309" s="99"/>
    </row>
    <row r="1310" spans="4:5" ht="15" customHeight="1" x14ac:dyDescent="0.2">
      <c r="D1310" s="848"/>
      <c r="E1310" s="99"/>
    </row>
    <row r="1311" spans="4:5" ht="15" customHeight="1" x14ac:dyDescent="0.2">
      <c r="D1311" s="848"/>
      <c r="E1311" s="99"/>
    </row>
    <row r="1312" spans="4:5" ht="15" customHeight="1" x14ac:dyDescent="0.2">
      <c r="D1312" s="848"/>
      <c r="E1312" s="99"/>
    </row>
    <row r="1313" spans="4:5" ht="15" customHeight="1" x14ac:dyDescent="0.2">
      <c r="D1313" s="848"/>
      <c r="E1313" s="99"/>
    </row>
    <row r="1314" spans="4:5" ht="15" customHeight="1" x14ac:dyDescent="0.2">
      <c r="D1314" s="848"/>
      <c r="E1314" s="99"/>
    </row>
    <row r="1315" spans="4:5" ht="15" customHeight="1" x14ac:dyDescent="0.2">
      <c r="D1315" s="848"/>
      <c r="E1315" s="99"/>
    </row>
    <row r="1316" spans="4:5" ht="15" customHeight="1" x14ac:dyDescent="0.2">
      <c r="D1316" s="848"/>
      <c r="E1316" s="99"/>
    </row>
    <row r="1317" spans="4:5" ht="15" customHeight="1" x14ac:dyDescent="0.2">
      <c r="D1317" s="848"/>
      <c r="E1317" s="99"/>
    </row>
    <row r="1318" spans="4:5" ht="15" customHeight="1" x14ac:dyDescent="0.2">
      <c r="D1318" s="848"/>
      <c r="E1318" s="99"/>
    </row>
    <row r="1319" spans="4:5" ht="15" customHeight="1" x14ac:dyDescent="0.2">
      <c r="D1319" s="848"/>
      <c r="E1319" s="99"/>
    </row>
    <row r="1320" spans="4:5" ht="15" customHeight="1" x14ac:dyDescent="0.2">
      <c r="D1320" s="848"/>
      <c r="E1320" s="99"/>
    </row>
    <row r="1321" spans="4:5" ht="15" customHeight="1" x14ac:dyDescent="0.2">
      <c r="D1321" s="848"/>
      <c r="E1321" s="99"/>
    </row>
    <row r="1322" spans="4:5" ht="15" customHeight="1" x14ac:dyDescent="0.2">
      <c r="D1322" s="848"/>
      <c r="E1322" s="99"/>
    </row>
    <row r="1323" spans="4:5" ht="15" customHeight="1" x14ac:dyDescent="0.2">
      <c r="D1323" s="848"/>
      <c r="E1323" s="99"/>
    </row>
    <row r="1324" spans="4:5" ht="15" customHeight="1" x14ac:dyDescent="0.2">
      <c r="D1324" s="848"/>
      <c r="E1324" s="99"/>
    </row>
    <row r="1325" spans="4:5" ht="15" customHeight="1" x14ac:dyDescent="0.2">
      <c r="D1325" s="848"/>
      <c r="E1325" s="99"/>
    </row>
    <row r="1326" spans="4:5" ht="15" customHeight="1" x14ac:dyDescent="0.2">
      <c r="D1326" s="848"/>
      <c r="E1326" s="99"/>
    </row>
    <row r="1327" spans="4:5" ht="15" customHeight="1" x14ac:dyDescent="0.2">
      <c r="D1327" s="848"/>
      <c r="E1327" s="99"/>
    </row>
    <row r="1328" spans="4:5" ht="15" customHeight="1" x14ac:dyDescent="0.2">
      <c r="D1328" s="848"/>
      <c r="E1328" s="99"/>
    </row>
    <row r="1329" spans="4:5" ht="15" customHeight="1" x14ac:dyDescent="0.2">
      <c r="D1329" s="848"/>
      <c r="E1329" s="99"/>
    </row>
    <row r="1330" spans="4:5" ht="15" customHeight="1" x14ac:dyDescent="0.2">
      <c r="D1330" s="848"/>
      <c r="E1330" s="99"/>
    </row>
    <row r="1331" spans="4:5" ht="15" customHeight="1" x14ac:dyDescent="0.2">
      <c r="D1331" s="848"/>
      <c r="E1331" s="99"/>
    </row>
    <row r="1332" spans="4:5" ht="15" customHeight="1" x14ac:dyDescent="0.2">
      <c r="D1332" s="848"/>
      <c r="E1332" s="99"/>
    </row>
    <row r="1333" spans="4:5" ht="15" customHeight="1" x14ac:dyDescent="0.2">
      <c r="D1333" s="848"/>
      <c r="E1333" s="99"/>
    </row>
    <row r="1334" spans="4:5" ht="15" customHeight="1" x14ac:dyDescent="0.2">
      <c r="D1334" s="848"/>
      <c r="E1334" s="99"/>
    </row>
    <row r="1335" spans="4:5" ht="15" customHeight="1" x14ac:dyDescent="0.2">
      <c r="D1335" s="848"/>
      <c r="E1335" s="99"/>
    </row>
    <row r="1336" spans="4:5" ht="15" customHeight="1" x14ac:dyDescent="0.2">
      <c r="D1336" s="848"/>
      <c r="E1336" s="99"/>
    </row>
    <row r="1337" spans="4:5" ht="15" customHeight="1" x14ac:dyDescent="0.2">
      <c r="D1337" s="848"/>
      <c r="E1337" s="99"/>
    </row>
    <row r="1338" spans="4:5" ht="15" customHeight="1" x14ac:dyDescent="0.2">
      <c r="D1338" s="848"/>
      <c r="E1338" s="99"/>
    </row>
    <row r="1339" spans="4:5" ht="15" customHeight="1" x14ac:dyDescent="0.2">
      <c r="D1339" s="848"/>
      <c r="E1339" s="99"/>
    </row>
    <row r="1340" spans="4:5" ht="15" customHeight="1" x14ac:dyDescent="0.2">
      <c r="D1340" s="848"/>
      <c r="E1340" s="99"/>
    </row>
    <row r="1341" spans="4:5" ht="15" customHeight="1" x14ac:dyDescent="0.2">
      <c r="D1341" s="848"/>
      <c r="E1341" s="99"/>
    </row>
    <row r="1342" spans="4:5" ht="15" customHeight="1" x14ac:dyDescent="0.2">
      <c r="D1342" s="848"/>
      <c r="E1342" s="99"/>
    </row>
    <row r="1343" spans="4:5" ht="15" customHeight="1" x14ac:dyDescent="0.2">
      <c r="D1343" s="848"/>
      <c r="E1343" s="99"/>
    </row>
    <row r="1344" spans="4:5" ht="15" customHeight="1" x14ac:dyDescent="0.2">
      <c r="D1344" s="848"/>
      <c r="E1344" s="99"/>
    </row>
    <row r="1345" spans="4:5" ht="15" customHeight="1" x14ac:dyDescent="0.2">
      <c r="D1345" s="848"/>
      <c r="E1345" s="99"/>
    </row>
    <row r="1346" spans="4:5" ht="15" customHeight="1" x14ac:dyDescent="0.2">
      <c r="D1346" s="848"/>
      <c r="E1346" s="99"/>
    </row>
    <row r="1347" spans="4:5" ht="15" customHeight="1" x14ac:dyDescent="0.2">
      <c r="D1347" s="848"/>
      <c r="E1347" s="99"/>
    </row>
    <row r="1348" spans="4:5" ht="15" customHeight="1" x14ac:dyDescent="0.2">
      <c r="D1348" s="848"/>
      <c r="E1348" s="99"/>
    </row>
    <row r="1349" spans="4:5" ht="15" customHeight="1" x14ac:dyDescent="0.2">
      <c r="D1349" s="848"/>
      <c r="E1349" s="99"/>
    </row>
    <row r="1350" spans="4:5" ht="15" customHeight="1" x14ac:dyDescent="0.2">
      <c r="D1350" s="848"/>
      <c r="E1350" s="99"/>
    </row>
    <row r="1351" spans="4:5" ht="15" customHeight="1" x14ac:dyDescent="0.2">
      <c r="D1351" s="848"/>
      <c r="E1351" s="99"/>
    </row>
    <row r="1352" spans="4:5" ht="15" customHeight="1" x14ac:dyDescent="0.2">
      <c r="D1352" s="848"/>
      <c r="E1352" s="99"/>
    </row>
    <row r="1353" spans="4:5" ht="15" customHeight="1" x14ac:dyDescent="0.2">
      <c r="D1353" s="848"/>
      <c r="E1353" s="99"/>
    </row>
    <row r="1354" spans="4:5" ht="15" customHeight="1" x14ac:dyDescent="0.2">
      <c r="D1354" s="848"/>
      <c r="E1354" s="99"/>
    </row>
    <row r="1355" spans="4:5" ht="15" customHeight="1" x14ac:dyDescent="0.2">
      <c r="D1355" s="848"/>
      <c r="E1355" s="99"/>
    </row>
    <row r="1356" spans="4:5" ht="15" customHeight="1" x14ac:dyDescent="0.2">
      <c r="D1356" s="848"/>
      <c r="E1356" s="99"/>
    </row>
    <row r="1357" spans="4:5" ht="15" customHeight="1" x14ac:dyDescent="0.2">
      <c r="D1357" s="848"/>
      <c r="E1357" s="99"/>
    </row>
    <row r="1358" spans="4:5" ht="15" customHeight="1" x14ac:dyDescent="0.2">
      <c r="D1358" s="848"/>
      <c r="E1358" s="99"/>
    </row>
    <row r="1359" spans="4:5" ht="15" customHeight="1" x14ac:dyDescent="0.2">
      <c r="D1359" s="848"/>
      <c r="E1359" s="99"/>
    </row>
    <row r="1360" spans="4:5" ht="15" customHeight="1" x14ac:dyDescent="0.2">
      <c r="D1360" s="848"/>
      <c r="E1360" s="99"/>
    </row>
    <row r="1361" spans="4:5" ht="15" customHeight="1" x14ac:dyDescent="0.2">
      <c r="D1361" s="848"/>
      <c r="E1361" s="99"/>
    </row>
    <row r="1362" spans="4:5" ht="15" customHeight="1" x14ac:dyDescent="0.2">
      <c r="D1362" s="848"/>
      <c r="E1362" s="99"/>
    </row>
    <row r="1363" spans="4:5" ht="15" customHeight="1" x14ac:dyDescent="0.2">
      <c r="D1363" s="848"/>
      <c r="E1363" s="99"/>
    </row>
    <row r="1364" spans="4:5" ht="15" customHeight="1" x14ac:dyDescent="0.2">
      <c r="D1364" s="848"/>
      <c r="E1364" s="99"/>
    </row>
    <row r="1365" spans="4:5" ht="15" customHeight="1" x14ac:dyDescent="0.2">
      <c r="D1365" s="848"/>
      <c r="E1365" s="99"/>
    </row>
    <row r="1366" spans="4:5" ht="15" customHeight="1" x14ac:dyDescent="0.2">
      <c r="D1366" s="848"/>
      <c r="E1366" s="99"/>
    </row>
    <row r="1367" spans="4:5" ht="15" customHeight="1" x14ac:dyDescent="0.2">
      <c r="D1367" s="848"/>
      <c r="E1367" s="99"/>
    </row>
    <row r="1368" spans="4:5" ht="15" customHeight="1" x14ac:dyDescent="0.2">
      <c r="D1368" s="848"/>
      <c r="E1368" s="99"/>
    </row>
    <row r="1369" spans="4:5" ht="15" customHeight="1" x14ac:dyDescent="0.2">
      <c r="D1369" s="848"/>
      <c r="E1369" s="99"/>
    </row>
    <row r="1370" spans="4:5" ht="15" customHeight="1" x14ac:dyDescent="0.2">
      <c r="D1370" s="848"/>
      <c r="E1370" s="99"/>
    </row>
    <row r="1371" spans="4:5" ht="15" customHeight="1" x14ac:dyDescent="0.2">
      <c r="D1371" s="848"/>
      <c r="E1371" s="99"/>
    </row>
    <row r="1372" spans="4:5" ht="15" customHeight="1" x14ac:dyDescent="0.2">
      <c r="D1372" s="848"/>
      <c r="E1372" s="99"/>
    </row>
    <row r="1373" spans="4:5" ht="15" customHeight="1" x14ac:dyDescent="0.2">
      <c r="D1373" s="848"/>
      <c r="E1373" s="99"/>
    </row>
    <row r="1374" spans="4:5" ht="15" customHeight="1" x14ac:dyDescent="0.2">
      <c r="D1374" s="848"/>
      <c r="E1374" s="99"/>
    </row>
    <row r="1375" spans="4:5" ht="15" customHeight="1" x14ac:dyDescent="0.2">
      <c r="D1375" s="848"/>
      <c r="E1375" s="99"/>
    </row>
    <row r="1376" spans="4:5" ht="15" customHeight="1" x14ac:dyDescent="0.2">
      <c r="D1376" s="848"/>
      <c r="E1376" s="99"/>
    </row>
    <row r="1377" spans="4:5" ht="15" customHeight="1" x14ac:dyDescent="0.2">
      <c r="D1377" s="848"/>
      <c r="E1377" s="99"/>
    </row>
    <row r="1378" spans="4:5" ht="15" customHeight="1" x14ac:dyDescent="0.2">
      <c r="D1378" s="848"/>
      <c r="E1378" s="99"/>
    </row>
    <row r="1379" spans="4:5" ht="15" customHeight="1" x14ac:dyDescent="0.2">
      <c r="D1379" s="848"/>
      <c r="E1379" s="99"/>
    </row>
    <row r="1380" spans="4:5" ht="15" customHeight="1" x14ac:dyDescent="0.2">
      <c r="D1380" s="848"/>
      <c r="E1380" s="99"/>
    </row>
    <row r="1381" spans="4:5" ht="15" customHeight="1" x14ac:dyDescent="0.2">
      <c r="D1381" s="848"/>
      <c r="E1381" s="99"/>
    </row>
    <row r="1382" spans="4:5" ht="15" customHeight="1" x14ac:dyDescent="0.2">
      <c r="D1382" s="848"/>
      <c r="E1382" s="99"/>
    </row>
    <row r="1383" spans="4:5" ht="15" customHeight="1" x14ac:dyDescent="0.2">
      <c r="D1383" s="848"/>
      <c r="E1383" s="99"/>
    </row>
    <row r="1384" spans="4:5" ht="15" customHeight="1" x14ac:dyDescent="0.2">
      <c r="D1384" s="848"/>
      <c r="E1384" s="99"/>
    </row>
    <row r="1385" spans="4:5" ht="15" customHeight="1" x14ac:dyDescent="0.2">
      <c r="D1385" s="848"/>
      <c r="E1385" s="99"/>
    </row>
    <row r="1386" spans="4:5" ht="15" customHeight="1" x14ac:dyDescent="0.2">
      <c r="D1386" s="848"/>
      <c r="E1386" s="99"/>
    </row>
    <row r="1387" spans="4:5" ht="15" customHeight="1" x14ac:dyDescent="0.2">
      <c r="D1387" s="848"/>
      <c r="E1387" s="99"/>
    </row>
    <row r="1388" spans="4:5" ht="15" customHeight="1" x14ac:dyDescent="0.2">
      <c r="D1388" s="848"/>
      <c r="E1388" s="99"/>
    </row>
    <row r="1389" spans="4:5" ht="15" customHeight="1" x14ac:dyDescent="0.2">
      <c r="D1389" s="848"/>
      <c r="E1389" s="99"/>
    </row>
    <row r="1390" spans="4:5" ht="15" customHeight="1" x14ac:dyDescent="0.2">
      <c r="D1390" s="848"/>
      <c r="E1390" s="99"/>
    </row>
    <row r="1391" spans="4:5" ht="15" customHeight="1" x14ac:dyDescent="0.2">
      <c r="D1391" s="848"/>
      <c r="E1391" s="99"/>
    </row>
    <row r="1392" spans="4:5" ht="15" customHeight="1" x14ac:dyDescent="0.2">
      <c r="D1392" s="848"/>
      <c r="E1392" s="99"/>
    </row>
    <row r="1393" spans="4:5" ht="15" customHeight="1" x14ac:dyDescent="0.2">
      <c r="D1393" s="848"/>
      <c r="E1393" s="99"/>
    </row>
    <row r="1394" spans="4:5" ht="15" customHeight="1" x14ac:dyDescent="0.2">
      <c r="D1394" s="848"/>
      <c r="E1394" s="99"/>
    </row>
    <row r="1395" spans="4:5" ht="15" customHeight="1" x14ac:dyDescent="0.2">
      <c r="D1395" s="848"/>
      <c r="E1395" s="99"/>
    </row>
    <row r="1396" spans="4:5" ht="15" customHeight="1" x14ac:dyDescent="0.2">
      <c r="D1396" s="848"/>
      <c r="E1396" s="99"/>
    </row>
    <row r="1397" spans="4:5" ht="15" customHeight="1" x14ac:dyDescent="0.2">
      <c r="D1397" s="848"/>
      <c r="E1397" s="99"/>
    </row>
    <row r="1398" spans="4:5" ht="15" customHeight="1" x14ac:dyDescent="0.2">
      <c r="D1398" s="848"/>
      <c r="E1398" s="99"/>
    </row>
    <row r="1399" spans="4:5" ht="15" customHeight="1" x14ac:dyDescent="0.2">
      <c r="D1399" s="848"/>
      <c r="E1399" s="99"/>
    </row>
    <row r="1400" spans="4:5" ht="15" customHeight="1" x14ac:dyDescent="0.2">
      <c r="D1400" s="848"/>
      <c r="E1400" s="99"/>
    </row>
    <row r="1401" spans="4:5" ht="15" customHeight="1" x14ac:dyDescent="0.2">
      <c r="D1401" s="848"/>
      <c r="E1401" s="99"/>
    </row>
    <row r="1402" spans="4:5" ht="15" customHeight="1" x14ac:dyDescent="0.2">
      <c r="D1402" s="848"/>
      <c r="E1402" s="99"/>
    </row>
    <row r="1403" spans="4:5" ht="15" customHeight="1" x14ac:dyDescent="0.2">
      <c r="D1403" s="848"/>
      <c r="E1403" s="99"/>
    </row>
    <row r="1404" spans="4:5" ht="15" customHeight="1" x14ac:dyDescent="0.2">
      <c r="D1404" s="848"/>
    </row>
    <row r="1405" spans="4:5" ht="15" customHeight="1" x14ac:dyDescent="0.2">
      <c r="D1405" s="848"/>
    </row>
    <row r="1406" spans="4:5" ht="15" customHeight="1" x14ac:dyDescent="0.2">
      <c r="D1406" s="848"/>
    </row>
    <row r="1407" spans="4:5" ht="15" customHeight="1" x14ac:dyDescent="0.2">
      <c r="D1407" s="848"/>
    </row>
    <row r="1408" spans="4:5" ht="15" customHeight="1" x14ac:dyDescent="0.2">
      <c r="D1408" s="848"/>
    </row>
    <row r="1409" spans="4:4" ht="15" customHeight="1" x14ac:dyDescent="0.2">
      <c r="D1409" s="848"/>
    </row>
    <row r="1410" spans="4:4" ht="15" customHeight="1" x14ac:dyDescent="0.2">
      <c r="D1410" s="848"/>
    </row>
    <row r="1411" spans="4:4" ht="15" customHeight="1" x14ac:dyDescent="0.2">
      <c r="D1411" s="848"/>
    </row>
    <row r="1412" spans="4:4" ht="15" customHeight="1" x14ac:dyDescent="0.2">
      <c r="D1412" s="848"/>
    </row>
    <row r="1413" spans="4:4" ht="15" customHeight="1" x14ac:dyDescent="0.2">
      <c r="D1413" s="848"/>
    </row>
    <row r="1414" spans="4:4" ht="15" customHeight="1" x14ac:dyDescent="0.2">
      <c r="D1414" s="848"/>
    </row>
    <row r="1415" spans="4:4" ht="15" customHeight="1" x14ac:dyDescent="0.2">
      <c r="D1415" s="848"/>
    </row>
    <row r="1416" spans="4:4" ht="15" customHeight="1" x14ac:dyDescent="0.2">
      <c r="D1416" s="848"/>
    </row>
    <row r="1417" spans="4:4" ht="15" customHeight="1" x14ac:dyDescent="0.2">
      <c r="D1417" s="848"/>
    </row>
    <row r="1418" spans="4:4" ht="15" customHeight="1" x14ac:dyDescent="0.2">
      <c r="D1418" s="848"/>
    </row>
    <row r="1419" spans="4:4" ht="15" customHeight="1" x14ac:dyDescent="0.2">
      <c r="D1419" s="848"/>
    </row>
    <row r="1420" spans="4:4" ht="15" customHeight="1" x14ac:dyDescent="0.2">
      <c r="D1420" s="848"/>
    </row>
    <row r="1421" spans="4:4" ht="15" customHeight="1" x14ac:dyDescent="0.2">
      <c r="D1421" s="848"/>
    </row>
    <row r="1422" spans="4:4" ht="15" customHeight="1" x14ac:dyDescent="0.2">
      <c r="D1422" s="848"/>
    </row>
    <row r="1423" spans="4:4" ht="15" customHeight="1" x14ac:dyDescent="0.2">
      <c r="D1423" s="848"/>
    </row>
    <row r="1424" spans="4:4" ht="15" customHeight="1" x14ac:dyDescent="0.2">
      <c r="D1424" s="848"/>
    </row>
    <row r="1425" spans="4:4" ht="15" customHeight="1" x14ac:dyDescent="0.2">
      <c r="D1425" s="848"/>
    </row>
    <row r="1426" spans="4:4" ht="15" customHeight="1" x14ac:dyDescent="0.2">
      <c r="D1426" s="848"/>
    </row>
    <row r="1427" spans="4:4" ht="15" customHeight="1" x14ac:dyDescent="0.2">
      <c r="D1427" s="848"/>
    </row>
    <row r="1428" spans="4:4" ht="15" customHeight="1" x14ac:dyDescent="0.2">
      <c r="D1428" s="848"/>
    </row>
    <row r="1429" spans="4:4" ht="15" customHeight="1" x14ac:dyDescent="0.2">
      <c r="D1429" s="848"/>
    </row>
    <row r="1430" spans="4:4" ht="15" customHeight="1" x14ac:dyDescent="0.2">
      <c r="D1430" s="848"/>
    </row>
    <row r="1431" spans="4:4" ht="15" customHeight="1" x14ac:dyDescent="0.2">
      <c r="D1431" s="848"/>
    </row>
    <row r="1432" spans="4:4" ht="15" customHeight="1" x14ac:dyDescent="0.2">
      <c r="D1432" s="848"/>
    </row>
    <row r="1433" spans="4:4" ht="15" customHeight="1" x14ac:dyDescent="0.2">
      <c r="D1433" s="848"/>
    </row>
    <row r="1434" spans="4:4" ht="15" customHeight="1" x14ac:dyDescent="0.2">
      <c r="D1434" s="848"/>
    </row>
    <row r="1435" spans="4:4" ht="15" customHeight="1" x14ac:dyDescent="0.2">
      <c r="D1435" s="848"/>
    </row>
    <row r="1436" spans="4:4" ht="15" customHeight="1" x14ac:dyDescent="0.2">
      <c r="D1436" s="848"/>
    </row>
    <row r="1437" spans="4:4" ht="15" customHeight="1" x14ac:dyDescent="0.2">
      <c r="D1437" s="848"/>
    </row>
    <row r="1438" spans="4:4" ht="15" customHeight="1" x14ac:dyDescent="0.2">
      <c r="D1438" s="848"/>
    </row>
    <row r="1439" spans="4:4" ht="15" customHeight="1" x14ac:dyDescent="0.2">
      <c r="D1439" s="848"/>
    </row>
    <row r="1440" spans="4:4" ht="15" customHeight="1" x14ac:dyDescent="0.2">
      <c r="D1440" s="848"/>
    </row>
    <row r="1441" spans="4:4" ht="15" customHeight="1" x14ac:dyDescent="0.2">
      <c r="D1441" s="848"/>
    </row>
    <row r="1442" spans="4:4" ht="15" customHeight="1" x14ac:dyDescent="0.2">
      <c r="D1442" s="848"/>
    </row>
    <row r="1443" spans="4:4" ht="15" customHeight="1" x14ac:dyDescent="0.2">
      <c r="D1443" s="848"/>
    </row>
    <row r="1444" spans="4:4" ht="15" customHeight="1" x14ac:dyDescent="0.2">
      <c r="D1444" s="848"/>
    </row>
    <row r="1445" spans="4:4" ht="15" customHeight="1" x14ac:dyDescent="0.2">
      <c r="D1445" s="848"/>
    </row>
    <row r="1446" spans="4:4" ht="15" customHeight="1" x14ac:dyDescent="0.2">
      <c r="D1446" s="848"/>
    </row>
    <row r="1447" spans="4:4" ht="15" customHeight="1" x14ac:dyDescent="0.2">
      <c r="D1447" s="848"/>
    </row>
    <row r="1448" spans="4:4" ht="15" customHeight="1" x14ac:dyDescent="0.2">
      <c r="D1448" s="848"/>
    </row>
    <row r="1449" spans="4:4" ht="15" customHeight="1" x14ac:dyDescent="0.2">
      <c r="D1449" s="848"/>
    </row>
    <row r="1450" spans="4:4" ht="15" customHeight="1" x14ac:dyDescent="0.2">
      <c r="D1450" s="848"/>
    </row>
    <row r="1451" spans="4:4" ht="15" customHeight="1" x14ac:dyDescent="0.2">
      <c r="D1451" s="848"/>
    </row>
    <row r="1452" spans="4:4" ht="15" customHeight="1" x14ac:dyDescent="0.2">
      <c r="D1452" s="848"/>
    </row>
    <row r="1453" spans="4:4" ht="15" customHeight="1" x14ac:dyDescent="0.2">
      <c r="D1453" s="848"/>
    </row>
    <row r="1454" spans="4:4" ht="15" customHeight="1" x14ac:dyDescent="0.2">
      <c r="D1454" s="848"/>
    </row>
    <row r="1455" spans="4:4" ht="15" customHeight="1" x14ac:dyDescent="0.2">
      <c r="D1455" s="848"/>
    </row>
    <row r="1456" spans="4:4" ht="15" customHeight="1" x14ac:dyDescent="0.2">
      <c r="D1456" s="848"/>
    </row>
    <row r="1457" spans="4:4" ht="15" customHeight="1" x14ac:dyDescent="0.2">
      <c r="D1457" s="848"/>
    </row>
    <row r="1458" spans="4:4" ht="15" customHeight="1" x14ac:dyDescent="0.2">
      <c r="D1458" s="848"/>
    </row>
    <row r="1459" spans="4:4" ht="15" customHeight="1" x14ac:dyDescent="0.2">
      <c r="D1459" s="848"/>
    </row>
    <row r="1460" spans="4:4" ht="15" customHeight="1" x14ac:dyDescent="0.2">
      <c r="D1460" s="848"/>
    </row>
    <row r="1461" spans="4:4" ht="15" customHeight="1" x14ac:dyDescent="0.2">
      <c r="D1461" s="848"/>
    </row>
    <row r="1462" spans="4:4" ht="15" customHeight="1" x14ac:dyDescent="0.2">
      <c r="D1462" s="848"/>
    </row>
    <row r="1463" spans="4:4" ht="15" customHeight="1" x14ac:dyDescent="0.2">
      <c r="D1463" s="848"/>
    </row>
    <row r="1464" spans="4:4" ht="15" customHeight="1" x14ac:dyDescent="0.2">
      <c r="D1464" s="848"/>
    </row>
    <row r="1465" spans="4:4" ht="15" customHeight="1" x14ac:dyDescent="0.2">
      <c r="D1465" s="848"/>
    </row>
    <row r="1466" spans="4:4" ht="15" customHeight="1" x14ac:dyDescent="0.2">
      <c r="D1466" s="848"/>
    </row>
    <row r="1467" spans="4:4" ht="15" customHeight="1" x14ac:dyDescent="0.2">
      <c r="D1467" s="848"/>
    </row>
    <row r="1468" spans="4:4" ht="15" customHeight="1" x14ac:dyDescent="0.2">
      <c r="D1468" s="848"/>
    </row>
    <row r="1469" spans="4:4" ht="15" customHeight="1" x14ac:dyDescent="0.2">
      <c r="D1469" s="848"/>
    </row>
    <row r="1470" spans="4:4" ht="15" customHeight="1" x14ac:dyDescent="0.2">
      <c r="D1470" s="848"/>
    </row>
    <row r="1471" spans="4:4" ht="15" customHeight="1" x14ac:dyDescent="0.2">
      <c r="D1471" s="848"/>
    </row>
    <row r="1472" spans="4:4" ht="15" customHeight="1" x14ac:dyDescent="0.2">
      <c r="D1472" s="848"/>
    </row>
    <row r="1473" spans="4:4" ht="15" customHeight="1" x14ac:dyDescent="0.2">
      <c r="D1473" s="848"/>
    </row>
    <row r="1474" spans="4:4" ht="15" customHeight="1" x14ac:dyDescent="0.2">
      <c r="D1474" s="848"/>
    </row>
    <row r="1475" spans="4:4" ht="15" customHeight="1" x14ac:dyDescent="0.2">
      <c r="D1475" s="848"/>
    </row>
    <row r="1476" spans="4:4" ht="15" customHeight="1" x14ac:dyDescent="0.2">
      <c r="D1476" s="848"/>
    </row>
    <row r="1477" spans="4:4" ht="15" customHeight="1" x14ac:dyDescent="0.2">
      <c r="D1477" s="848"/>
    </row>
    <row r="1478" spans="4:4" ht="15" customHeight="1" x14ac:dyDescent="0.2">
      <c r="D1478" s="848"/>
    </row>
    <row r="1479" spans="4:4" ht="15" customHeight="1" x14ac:dyDescent="0.2">
      <c r="D1479" s="848"/>
    </row>
    <row r="1480" spans="4:4" ht="15" customHeight="1" x14ac:dyDescent="0.2">
      <c r="D1480" s="848"/>
    </row>
    <row r="1481" spans="4:4" ht="15" customHeight="1" x14ac:dyDescent="0.2">
      <c r="D1481" s="848"/>
    </row>
    <row r="1482" spans="4:4" ht="15" customHeight="1" x14ac:dyDescent="0.2">
      <c r="D1482" s="848"/>
    </row>
    <row r="1483" spans="4:4" ht="15" customHeight="1" x14ac:dyDescent="0.2">
      <c r="D1483" s="848"/>
    </row>
    <row r="1484" spans="4:4" ht="15" customHeight="1" x14ac:dyDescent="0.2">
      <c r="D1484" s="848"/>
    </row>
    <row r="1485" spans="4:4" ht="15" customHeight="1" x14ac:dyDescent="0.2">
      <c r="D1485" s="848"/>
    </row>
    <row r="1486" spans="4:4" ht="15" customHeight="1" x14ac:dyDescent="0.2">
      <c r="D1486" s="848"/>
    </row>
    <row r="1487" spans="4:4" ht="15" customHeight="1" x14ac:dyDescent="0.2">
      <c r="D1487" s="848"/>
    </row>
    <row r="1488" spans="4:4" ht="15" customHeight="1" x14ac:dyDescent="0.2">
      <c r="D1488" s="848"/>
    </row>
    <row r="1489" spans="4:4" ht="15" customHeight="1" x14ac:dyDescent="0.2">
      <c r="D1489" s="848"/>
    </row>
    <row r="1490" spans="4:4" ht="15" customHeight="1" x14ac:dyDescent="0.2">
      <c r="D1490" s="848"/>
    </row>
    <row r="1491" spans="4:4" ht="15" customHeight="1" x14ac:dyDescent="0.2">
      <c r="D1491" s="848"/>
    </row>
    <row r="1492" spans="4:4" ht="15" customHeight="1" x14ac:dyDescent="0.2">
      <c r="D1492" s="848"/>
    </row>
    <row r="1493" spans="4:4" ht="15" customHeight="1" x14ac:dyDescent="0.2">
      <c r="D1493" s="848"/>
    </row>
    <row r="1494" spans="4:4" ht="15" customHeight="1" x14ac:dyDescent="0.2">
      <c r="D1494" s="848"/>
    </row>
    <row r="1495" spans="4:4" ht="15" customHeight="1" x14ac:dyDescent="0.2">
      <c r="D1495" s="848"/>
    </row>
    <row r="1496" spans="4:4" ht="15" customHeight="1" x14ac:dyDescent="0.2">
      <c r="D1496" s="848"/>
    </row>
    <row r="1497" spans="4:4" ht="15" customHeight="1" x14ac:dyDescent="0.2">
      <c r="D1497" s="848"/>
    </row>
    <row r="1498" spans="4:4" ht="15" customHeight="1" x14ac:dyDescent="0.2">
      <c r="D1498" s="848"/>
    </row>
    <row r="1499" spans="4:4" ht="15" customHeight="1" x14ac:dyDescent="0.2">
      <c r="D1499" s="848"/>
    </row>
    <row r="1500" spans="4:4" ht="15" customHeight="1" x14ac:dyDescent="0.2">
      <c r="D1500" s="848"/>
    </row>
    <row r="1501" spans="4:4" ht="15" customHeight="1" x14ac:dyDescent="0.2">
      <c r="D1501" s="848"/>
    </row>
    <row r="1502" spans="4:4" ht="15" customHeight="1" x14ac:dyDescent="0.2">
      <c r="D1502" s="848"/>
    </row>
    <row r="1503" spans="4:4" ht="15" customHeight="1" x14ac:dyDescent="0.2">
      <c r="D1503" s="848"/>
    </row>
    <row r="1504" spans="4:4" ht="15" customHeight="1" x14ac:dyDescent="0.2">
      <c r="D1504" s="848"/>
    </row>
    <row r="1505" spans="4:4" ht="15" customHeight="1" x14ac:dyDescent="0.2">
      <c r="D1505" s="848"/>
    </row>
    <row r="1506" spans="4:4" ht="15" customHeight="1" x14ac:dyDescent="0.2">
      <c r="D1506" s="848"/>
    </row>
    <row r="1507" spans="4:4" ht="15" customHeight="1" x14ac:dyDescent="0.2">
      <c r="D1507" s="848"/>
    </row>
    <row r="1508" spans="4:4" ht="15" customHeight="1" x14ac:dyDescent="0.2">
      <c r="D1508" s="848"/>
    </row>
    <row r="1509" spans="4:4" ht="15" customHeight="1" x14ac:dyDescent="0.2">
      <c r="D1509" s="848"/>
    </row>
    <row r="1510" spans="4:4" ht="15" customHeight="1" x14ac:dyDescent="0.2">
      <c r="D1510" s="848"/>
    </row>
    <row r="1511" spans="4:4" ht="15" customHeight="1" x14ac:dyDescent="0.2">
      <c r="D1511" s="848"/>
    </row>
    <row r="1512" spans="4:4" ht="15" customHeight="1" x14ac:dyDescent="0.2">
      <c r="D1512" s="848"/>
    </row>
    <row r="1513" spans="4:4" ht="15" customHeight="1" x14ac:dyDescent="0.2">
      <c r="D1513" s="848"/>
    </row>
    <row r="1514" spans="4:4" ht="15" customHeight="1" x14ac:dyDescent="0.2">
      <c r="D1514" s="848"/>
    </row>
    <row r="1515" spans="4:4" ht="15" customHeight="1" x14ac:dyDescent="0.2">
      <c r="D1515" s="848"/>
    </row>
    <row r="1516" spans="4:4" ht="15" customHeight="1" x14ac:dyDescent="0.2">
      <c r="D1516" s="848"/>
    </row>
    <row r="1517" spans="4:4" ht="15" customHeight="1" x14ac:dyDescent="0.2">
      <c r="D1517" s="848"/>
    </row>
    <row r="1518" spans="4:4" ht="15" customHeight="1" x14ac:dyDescent="0.2">
      <c r="D1518" s="848"/>
    </row>
    <row r="1519" spans="4:4" ht="15" customHeight="1" x14ac:dyDescent="0.2">
      <c r="D1519" s="848"/>
    </row>
    <row r="1520" spans="4:4" ht="15" customHeight="1" x14ac:dyDescent="0.2">
      <c r="D1520" s="848"/>
    </row>
    <row r="1521" spans="4:4" ht="15" customHeight="1" x14ac:dyDescent="0.2">
      <c r="D1521" s="848"/>
    </row>
    <row r="1522" spans="4:4" ht="15" customHeight="1" x14ac:dyDescent="0.2">
      <c r="D1522" s="848"/>
    </row>
    <row r="1523" spans="4:4" ht="15" customHeight="1" x14ac:dyDescent="0.2">
      <c r="D1523" s="848"/>
    </row>
    <row r="1524" spans="4:4" ht="15" customHeight="1" x14ac:dyDescent="0.2">
      <c r="D1524" s="848"/>
    </row>
    <row r="1525" spans="4:4" ht="15" customHeight="1" x14ac:dyDescent="0.2">
      <c r="D1525" s="848"/>
    </row>
    <row r="1526" spans="4:4" ht="15" customHeight="1" x14ac:dyDescent="0.2">
      <c r="D1526" s="848"/>
    </row>
    <row r="1527" spans="4:4" ht="15" customHeight="1" x14ac:dyDescent="0.2">
      <c r="D1527" s="848"/>
    </row>
    <row r="1528" spans="4:4" ht="15" customHeight="1" x14ac:dyDescent="0.2">
      <c r="D1528" s="848"/>
    </row>
    <row r="1529" spans="4:4" ht="15" customHeight="1" x14ac:dyDescent="0.2">
      <c r="D1529" s="848"/>
    </row>
    <row r="1530" spans="4:4" ht="15" customHeight="1" x14ac:dyDescent="0.2">
      <c r="D1530" s="848"/>
    </row>
    <row r="1531" spans="4:4" ht="15" customHeight="1" x14ac:dyDescent="0.2">
      <c r="D1531" s="848"/>
    </row>
    <row r="1532" spans="4:4" ht="15" customHeight="1" x14ac:dyDescent="0.2">
      <c r="D1532" s="848"/>
    </row>
    <row r="1533" spans="4:4" ht="15" customHeight="1" x14ac:dyDescent="0.2">
      <c r="D1533" s="848"/>
    </row>
    <row r="1534" spans="4:4" ht="15" customHeight="1" x14ac:dyDescent="0.2">
      <c r="D1534" s="848"/>
    </row>
    <row r="1535" spans="4:4" ht="15" customHeight="1" x14ac:dyDescent="0.2">
      <c r="D1535" s="848"/>
    </row>
    <row r="1536" spans="4:4" ht="15" customHeight="1" x14ac:dyDescent="0.2">
      <c r="D1536" s="848"/>
    </row>
    <row r="1537" spans="4:4" ht="15" customHeight="1" x14ac:dyDescent="0.2">
      <c r="D1537" s="848"/>
    </row>
    <row r="1538" spans="4:4" ht="15" customHeight="1" x14ac:dyDescent="0.2">
      <c r="D1538" s="848"/>
    </row>
    <row r="1539" spans="4:4" ht="15" customHeight="1" x14ac:dyDescent="0.2">
      <c r="D1539" s="848"/>
    </row>
    <row r="1540" spans="4:4" ht="15" customHeight="1" x14ac:dyDescent="0.2">
      <c r="D1540" s="848"/>
    </row>
    <row r="1541" spans="4:4" ht="15" customHeight="1" x14ac:dyDescent="0.2">
      <c r="D1541" s="848"/>
    </row>
    <row r="1542" spans="4:4" ht="15" customHeight="1" x14ac:dyDescent="0.2">
      <c r="D1542" s="848"/>
    </row>
    <row r="1543" spans="4:4" ht="15" customHeight="1" x14ac:dyDescent="0.2">
      <c r="D1543" s="848"/>
    </row>
    <row r="1544" spans="4:4" ht="15" customHeight="1" x14ac:dyDescent="0.2">
      <c r="D1544" s="848"/>
    </row>
    <row r="1545" spans="4:4" ht="15" customHeight="1" x14ac:dyDescent="0.2">
      <c r="D1545" s="848"/>
    </row>
    <row r="1546" spans="4:4" ht="15" customHeight="1" x14ac:dyDescent="0.2">
      <c r="D1546" s="848"/>
    </row>
    <row r="1547" spans="4:4" ht="15" customHeight="1" x14ac:dyDescent="0.2">
      <c r="D1547" s="848"/>
    </row>
    <row r="1548" spans="4:4" ht="15" customHeight="1" x14ac:dyDescent="0.2">
      <c r="D1548" s="848"/>
    </row>
    <row r="1549" spans="4:4" ht="15" customHeight="1" x14ac:dyDescent="0.2">
      <c r="D1549" s="848"/>
    </row>
    <row r="1550" spans="4:4" ht="15" customHeight="1" x14ac:dyDescent="0.2">
      <c r="D1550" s="848"/>
    </row>
    <row r="1551" spans="4:4" ht="15" customHeight="1" x14ac:dyDescent="0.2">
      <c r="D1551" s="848"/>
    </row>
    <row r="1552" spans="4:4" ht="15" customHeight="1" x14ac:dyDescent="0.2">
      <c r="D1552" s="848"/>
    </row>
    <row r="1553" spans="4:4" ht="15" customHeight="1" x14ac:dyDescent="0.2">
      <c r="D1553" s="848"/>
    </row>
    <row r="1554" spans="4:4" ht="15" customHeight="1" x14ac:dyDescent="0.2">
      <c r="D1554" s="848"/>
    </row>
    <row r="1555" spans="4:4" ht="15" customHeight="1" x14ac:dyDescent="0.2">
      <c r="D1555" s="848"/>
    </row>
    <row r="1556" spans="4:4" ht="15" customHeight="1" x14ac:dyDescent="0.2">
      <c r="D1556" s="848"/>
    </row>
    <row r="1557" spans="4:4" ht="15" customHeight="1" x14ac:dyDescent="0.2">
      <c r="D1557" s="848"/>
    </row>
    <row r="1558" spans="4:4" ht="15" customHeight="1" x14ac:dyDescent="0.2">
      <c r="D1558" s="848"/>
    </row>
    <row r="1559" spans="4:4" ht="15" customHeight="1" x14ac:dyDescent="0.2">
      <c r="D1559" s="848"/>
    </row>
    <row r="1560" spans="4:4" ht="15" customHeight="1" x14ac:dyDescent="0.2">
      <c r="D1560" s="848"/>
    </row>
    <row r="1561" spans="4:4" ht="15" customHeight="1" x14ac:dyDescent="0.2">
      <c r="D1561" s="848"/>
    </row>
    <row r="1562" spans="4:4" ht="15" customHeight="1" x14ac:dyDescent="0.2">
      <c r="D1562" s="848"/>
    </row>
    <row r="1563" spans="4:4" ht="15" customHeight="1" x14ac:dyDescent="0.2">
      <c r="D1563" s="848"/>
    </row>
    <row r="1564" spans="4:4" ht="15" customHeight="1" x14ac:dyDescent="0.2">
      <c r="D1564" s="848"/>
    </row>
    <row r="1565" spans="4:4" ht="15" customHeight="1" x14ac:dyDescent="0.2">
      <c r="D1565" s="848"/>
    </row>
    <row r="1566" spans="4:4" ht="15" customHeight="1" x14ac:dyDescent="0.2">
      <c r="D1566" s="848"/>
    </row>
    <row r="1567" spans="4:4" ht="15" customHeight="1" x14ac:dyDescent="0.2">
      <c r="D1567" s="848"/>
    </row>
    <row r="1568" spans="4:4" ht="15" customHeight="1" x14ac:dyDescent="0.2">
      <c r="D1568" s="848"/>
    </row>
    <row r="1569" spans="4:4" ht="15" customHeight="1" x14ac:dyDescent="0.2">
      <c r="D1569" s="848"/>
    </row>
    <row r="1570" spans="4:4" ht="15" customHeight="1" x14ac:dyDescent="0.2">
      <c r="D1570" s="848"/>
    </row>
    <row r="1571" spans="4:4" ht="15" customHeight="1" x14ac:dyDescent="0.2">
      <c r="D1571" s="848"/>
    </row>
    <row r="1572" spans="4:4" ht="15" customHeight="1" x14ac:dyDescent="0.2">
      <c r="D1572" s="848"/>
    </row>
    <row r="1573" spans="4:4" ht="15" customHeight="1" x14ac:dyDescent="0.2">
      <c r="D1573" s="848"/>
    </row>
    <row r="1574" spans="4:4" ht="15" customHeight="1" x14ac:dyDescent="0.2">
      <c r="D1574" s="848"/>
    </row>
    <row r="1575" spans="4:4" ht="15" customHeight="1" x14ac:dyDescent="0.2">
      <c r="D1575" s="848"/>
    </row>
    <row r="1576" spans="4:4" ht="15" customHeight="1" x14ac:dyDescent="0.2">
      <c r="D1576" s="848"/>
    </row>
    <row r="1577" spans="4:4" ht="15" customHeight="1" x14ac:dyDescent="0.2">
      <c r="D1577" s="848"/>
    </row>
    <row r="1578" spans="4:4" ht="15" customHeight="1" x14ac:dyDescent="0.2">
      <c r="D1578" s="848"/>
    </row>
    <row r="1579" spans="4:4" ht="15" customHeight="1" x14ac:dyDescent="0.2">
      <c r="D1579" s="848"/>
    </row>
    <row r="1580" spans="4:4" ht="15" customHeight="1" x14ac:dyDescent="0.2">
      <c r="D1580" s="848"/>
    </row>
    <row r="1581" spans="4:4" ht="15" customHeight="1" x14ac:dyDescent="0.2">
      <c r="D1581" s="848"/>
    </row>
    <row r="1582" spans="4:4" ht="15" customHeight="1" x14ac:dyDescent="0.2">
      <c r="D1582" s="848"/>
    </row>
    <row r="1583" spans="4:4" ht="15" customHeight="1" x14ac:dyDescent="0.2">
      <c r="D1583" s="848"/>
    </row>
    <row r="1584" spans="4:4" ht="15" customHeight="1" x14ac:dyDescent="0.2">
      <c r="D1584" s="848"/>
    </row>
    <row r="1585" spans="4:4" ht="15" customHeight="1" x14ac:dyDescent="0.2">
      <c r="D1585" s="848"/>
    </row>
    <row r="1586" spans="4:4" ht="15" customHeight="1" x14ac:dyDescent="0.2">
      <c r="D1586" s="848"/>
    </row>
    <row r="1587" spans="4:4" ht="15" customHeight="1" x14ac:dyDescent="0.2">
      <c r="D1587" s="848"/>
    </row>
    <row r="1588" spans="4:4" ht="15" customHeight="1" x14ac:dyDescent="0.2">
      <c r="D1588" s="848"/>
    </row>
    <row r="1589" spans="4:4" ht="15" customHeight="1" x14ac:dyDescent="0.2">
      <c r="D1589" s="848"/>
    </row>
    <row r="1590" spans="4:4" ht="15" customHeight="1" x14ac:dyDescent="0.2">
      <c r="D1590" s="848"/>
    </row>
    <row r="1591" spans="4:4" ht="15" customHeight="1" x14ac:dyDescent="0.2">
      <c r="D1591" s="848"/>
    </row>
    <row r="1592" spans="4:4" ht="15" customHeight="1" x14ac:dyDescent="0.2">
      <c r="D1592" s="848"/>
    </row>
    <row r="1593" spans="4:4" ht="15" customHeight="1" x14ac:dyDescent="0.2">
      <c r="D1593" s="848"/>
    </row>
    <row r="1594" spans="4:4" ht="15" customHeight="1" x14ac:dyDescent="0.2">
      <c r="D1594" s="848"/>
    </row>
    <row r="1595" spans="4:4" ht="15" customHeight="1" x14ac:dyDescent="0.2">
      <c r="D1595" s="848"/>
    </row>
    <row r="1596" spans="4:4" ht="15" customHeight="1" x14ac:dyDescent="0.2">
      <c r="D1596" s="848"/>
    </row>
    <row r="1597" spans="4:4" ht="15" customHeight="1" x14ac:dyDescent="0.2">
      <c r="D1597" s="848"/>
    </row>
    <row r="1598" spans="4:4" ht="15" customHeight="1" x14ac:dyDescent="0.2">
      <c r="D1598" s="848"/>
    </row>
    <row r="1599" spans="4:4" ht="15" customHeight="1" x14ac:dyDescent="0.2">
      <c r="D1599" s="848"/>
    </row>
    <row r="1600" spans="4:4" ht="15" customHeight="1" x14ac:dyDescent="0.2">
      <c r="D1600" s="848"/>
    </row>
    <row r="1601" spans="4:4" ht="15" customHeight="1" x14ac:dyDescent="0.2">
      <c r="D1601" s="848"/>
    </row>
    <row r="1602" spans="4:4" ht="15" customHeight="1" x14ac:dyDescent="0.2">
      <c r="D1602" s="848"/>
    </row>
    <row r="1603" spans="4:4" ht="15" customHeight="1" x14ac:dyDescent="0.2">
      <c r="D1603" s="848"/>
    </row>
    <row r="1604" spans="4:4" ht="15" customHeight="1" x14ac:dyDescent="0.2">
      <c r="D1604" s="848"/>
    </row>
    <row r="1605" spans="4:4" ht="15" customHeight="1" x14ac:dyDescent="0.2">
      <c r="D1605" s="848"/>
    </row>
    <row r="1606" spans="4:4" ht="15" customHeight="1" x14ac:dyDescent="0.2">
      <c r="D1606" s="848"/>
    </row>
    <row r="1607" spans="4:4" ht="15" customHeight="1" x14ac:dyDescent="0.2">
      <c r="D1607" s="848"/>
    </row>
    <row r="1608" spans="4:4" ht="15" customHeight="1" x14ac:dyDescent="0.2">
      <c r="D1608" s="848"/>
    </row>
    <row r="1609" spans="4:4" ht="15" customHeight="1" x14ac:dyDescent="0.2">
      <c r="D1609" s="848"/>
    </row>
    <row r="1610" spans="4:4" ht="15" customHeight="1" x14ac:dyDescent="0.2">
      <c r="D1610" s="848"/>
    </row>
    <row r="1611" spans="4:4" ht="15" customHeight="1" x14ac:dyDescent="0.2">
      <c r="D1611" s="848"/>
    </row>
    <row r="1612" spans="4:4" ht="15" customHeight="1" x14ac:dyDescent="0.2">
      <c r="D1612" s="848"/>
    </row>
    <row r="1613" spans="4:4" ht="15" customHeight="1" x14ac:dyDescent="0.2">
      <c r="D1613" s="848"/>
    </row>
    <row r="1614" spans="4:4" ht="15" customHeight="1" x14ac:dyDescent="0.2">
      <c r="D1614" s="848"/>
    </row>
    <row r="1615" spans="4:4" ht="15" customHeight="1" x14ac:dyDescent="0.2">
      <c r="D1615" s="848"/>
    </row>
    <row r="1616" spans="4:4" ht="15" customHeight="1" x14ac:dyDescent="0.2">
      <c r="D1616" s="848"/>
    </row>
    <row r="1617" spans="4:4" ht="15" customHeight="1" x14ac:dyDescent="0.2">
      <c r="D1617" s="848"/>
    </row>
    <row r="1618" spans="4:4" ht="15" customHeight="1" x14ac:dyDescent="0.2">
      <c r="D1618" s="848"/>
    </row>
    <row r="1619" spans="4:4" ht="15" customHeight="1" x14ac:dyDescent="0.2">
      <c r="D1619" s="848"/>
    </row>
    <row r="1620" spans="4:4" ht="15" customHeight="1" x14ac:dyDescent="0.2">
      <c r="D1620" s="848"/>
    </row>
    <row r="1621" spans="4:4" ht="15" customHeight="1" x14ac:dyDescent="0.2">
      <c r="D1621" s="848"/>
    </row>
    <row r="1622" spans="4:4" ht="15" customHeight="1" x14ac:dyDescent="0.2">
      <c r="D1622" s="848"/>
    </row>
    <row r="1623" spans="4:4" ht="15" customHeight="1" x14ac:dyDescent="0.2">
      <c r="D1623" s="848"/>
    </row>
    <row r="1624" spans="4:4" ht="15" customHeight="1" x14ac:dyDescent="0.2">
      <c r="D1624" s="848"/>
    </row>
    <row r="1625" spans="4:4" ht="15" customHeight="1" x14ac:dyDescent="0.2">
      <c r="D1625" s="848"/>
    </row>
    <row r="1626" spans="4:4" ht="15" customHeight="1" x14ac:dyDescent="0.2">
      <c r="D1626" s="848"/>
    </row>
    <row r="1627" spans="4:4" ht="15" customHeight="1" x14ac:dyDescent="0.2">
      <c r="D1627" s="848"/>
    </row>
    <row r="1628" spans="4:4" ht="15" customHeight="1" x14ac:dyDescent="0.2">
      <c r="D1628" s="848"/>
    </row>
    <row r="1629" spans="4:4" ht="15" customHeight="1" x14ac:dyDescent="0.2">
      <c r="D1629" s="848"/>
    </row>
    <row r="1630" spans="4:4" ht="15" customHeight="1" x14ac:dyDescent="0.2">
      <c r="D1630" s="848"/>
    </row>
    <row r="1631" spans="4:4" ht="15" customHeight="1" x14ac:dyDescent="0.2">
      <c r="D1631" s="848"/>
    </row>
    <row r="1632" spans="4:4" ht="15" customHeight="1" x14ac:dyDescent="0.2">
      <c r="D1632" s="848"/>
    </row>
    <row r="1633" spans="4:4" ht="15" customHeight="1" x14ac:dyDescent="0.2">
      <c r="D1633" s="848"/>
    </row>
    <row r="1634" spans="4:4" ht="15" customHeight="1" x14ac:dyDescent="0.2">
      <c r="D1634" s="848"/>
    </row>
    <row r="1635" spans="4:4" ht="15" customHeight="1" x14ac:dyDescent="0.2">
      <c r="D1635" s="848"/>
    </row>
    <row r="1636" spans="4:4" ht="15" customHeight="1" x14ac:dyDescent="0.2">
      <c r="D1636" s="848"/>
    </row>
    <row r="1637" spans="4:4" ht="15" customHeight="1" x14ac:dyDescent="0.2">
      <c r="D1637" s="848"/>
    </row>
    <row r="1638" spans="4:4" ht="15" customHeight="1" x14ac:dyDescent="0.2">
      <c r="D1638" s="848"/>
    </row>
    <row r="1639" spans="4:4" ht="15" customHeight="1" x14ac:dyDescent="0.2">
      <c r="D1639" s="848"/>
    </row>
    <row r="1640" spans="4:4" ht="15" customHeight="1" x14ac:dyDescent="0.2">
      <c r="D1640" s="848"/>
    </row>
    <row r="1641" spans="4:4" ht="15" customHeight="1" x14ac:dyDescent="0.2">
      <c r="D1641" s="848"/>
    </row>
    <row r="1642" spans="4:4" ht="15" customHeight="1" x14ac:dyDescent="0.2">
      <c r="D1642" s="848"/>
    </row>
    <row r="1643" spans="4:4" ht="15" customHeight="1" x14ac:dyDescent="0.2">
      <c r="D1643" s="848"/>
    </row>
    <row r="1644" spans="4:4" ht="15" customHeight="1" x14ac:dyDescent="0.2">
      <c r="D1644" s="848"/>
    </row>
    <row r="1645" spans="4:4" ht="15" customHeight="1" x14ac:dyDescent="0.2">
      <c r="D1645" s="848"/>
    </row>
    <row r="1646" spans="4:4" ht="15" customHeight="1" x14ac:dyDescent="0.2">
      <c r="D1646" s="848"/>
    </row>
    <row r="1647" spans="4:4" ht="15" customHeight="1" x14ac:dyDescent="0.2">
      <c r="D1647" s="848"/>
    </row>
    <row r="1648" spans="4:4" ht="15" customHeight="1" x14ac:dyDescent="0.2">
      <c r="D1648" s="848"/>
    </row>
    <row r="1649" spans="4:4" ht="15" customHeight="1" x14ac:dyDescent="0.2">
      <c r="D1649" s="848"/>
    </row>
    <row r="1650" spans="4:4" ht="15" customHeight="1" x14ac:dyDescent="0.2">
      <c r="D1650" s="848"/>
    </row>
    <row r="1651" spans="4:4" ht="15" customHeight="1" x14ac:dyDescent="0.2">
      <c r="D1651" s="848"/>
    </row>
    <row r="1652" spans="4:4" ht="15" customHeight="1" x14ac:dyDescent="0.2">
      <c r="D1652" s="848"/>
    </row>
    <row r="1653" spans="4:4" ht="15" customHeight="1" x14ac:dyDescent="0.2">
      <c r="D1653" s="848"/>
    </row>
    <row r="1654" spans="4:4" ht="15" customHeight="1" x14ac:dyDescent="0.2">
      <c r="D1654" s="848"/>
    </row>
    <row r="1655" spans="4:4" ht="15" customHeight="1" x14ac:dyDescent="0.2">
      <c r="D1655" s="848"/>
    </row>
    <row r="1656" spans="4:4" ht="15" customHeight="1" x14ac:dyDescent="0.2">
      <c r="D1656" s="848"/>
    </row>
    <row r="1657" spans="4:4" ht="15" customHeight="1" x14ac:dyDescent="0.2">
      <c r="D1657" s="848"/>
    </row>
    <row r="1658" spans="4:4" ht="15" customHeight="1" x14ac:dyDescent="0.2">
      <c r="D1658" s="848"/>
    </row>
    <row r="1659" spans="4:4" ht="15" customHeight="1" x14ac:dyDescent="0.2">
      <c r="D1659" s="848"/>
    </row>
    <row r="1660" spans="4:4" ht="15" customHeight="1" x14ac:dyDescent="0.2">
      <c r="D1660" s="848"/>
    </row>
    <row r="1661" spans="4:4" ht="15" customHeight="1" x14ac:dyDescent="0.2">
      <c r="D1661" s="848"/>
    </row>
    <row r="1662" spans="4:4" ht="15" customHeight="1" x14ac:dyDescent="0.2">
      <c r="D1662" s="848"/>
    </row>
    <row r="1663" spans="4:4" ht="15" customHeight="1" x14ac:dyDescent="0.2">
      <c r="D1663" s="848"/>
    </row>
    <row r="1664" spans="4:4" ht="15" customHeight="1" x14ac:dyDescent="0.2">
      <c r="D1664" s="848"/>
    </row>
    <row r="1665" spans="4:4" ht="15" customHeight="1" x14ac:dyDescent="0.2">
      <c r="D1665" s="848"/>
    </row>
    <row r="1666" spans="4:4" ht="15" customHeight="1" x14ac:dyDescent="0.2">
      <c r="D1666" s="848"/>
    </row>
    <row r="1667" spans="4:4" ht="15" customHeight="1" x14ac:dyDescent="0.2">
      <c r="D1667" s="848"/>
    </row>
    <row r="1668" spans="4:4" ht="15" customHeight="1" x14ac:dyDescent="0.2">
      <c r="D1668" s="848"/>
    </row>
    <row r="1669" spans="4:4" ht="15" customHeight="1" x14ac:dyDescent="0.2">
      <c r="D1669" s="848"/>
    </row>
    <row r="1670" spans="4:4" ht="15" customHeight="1" x14ac:dyDescent="0.2">
      <c r="D1670" s="848"/>
    </row>
    <row r="1671" spans="4:4" ht="15" customHeight="1" x14ac:dyDescent="0.2">
      <c r="D1671" s="848"/>
    </row>
    <row r="1672" spans="4:4" ht="15" customHeight="1" x14ac:dyDescent="0.2">
      <c r="D1672" s="848"/>
    </row>
    <row r="1673" spans="4:4" ht="15" customHeight="1" x14ac:dyDescent="0.2">
      <c r="D1673" s="848"/>
    </row>
    <row r="1674" spans="4:4" ht="15" customHeight="1" x14ac:dyDescent="0.2">
      <c r="D1674" s="848"/>
    </row>
    <row r="1675" spans="4:4" ht="15" customHeight="1" x14ac:dyDescent="0.2">
      <c r="D1675" s="848"/>
    </row>
    <row r="1676" spans="4:4" ht="15" customHeight="1" x14ac:dyDescent="0.2">
      <c r="D1676" s="848"/>
    </row>
    <row r="1677" spans="4:4" ht="15" customHeight="1" x14ac:dyDescent="0.2">
      <c r="D1677" s="848"/>
    </row>
    <row r="1678" spans="4:4" ht="15" customHeight="1" x14ac:dyDescent="0.2">
      <c r="D1678" s="848"/>
    </row>
    <row r="1679" spans="4:4" ht="15" customHeight="1" x14ac:dyDescent="0.2">
      <c r="D1679" s="848"/>
    </row>
    <row r="1680" spans="4:4" ht="15" customHeight="1" x14ac:dyDescent="0.2">
      <c r="D1680" s="848"/>
    </row>
    <row r="1681" spans="4:4" ht="15" customHeight="1" x14ac:dyDescent="0.2">
      <c r="D1681" s="848"/>
    </row>
    <row r="1682" spans="4:4" ht="15" customHeight="1" x14ac:dyDescent="0.2">
      <c r="D1682" s="848"/>
    </row>
    <row r="1683" spans="4:4" ht="15" customHeight="1" x14ac:dyDescent="0.2">
      <c r="D1683" s="848"/>
    </row>
    <row r="1684" spans="4:4" ht="15" customHeight="1" x14ac:dyDescent="0.2">
      <c r="D1684" s="848"/>
    </row>
    <row r="1685" spans="4:4" ht="15" customHeight="1" x14ac:dyDescent="0.2">
      <c r="D1685" s="848"/>
    </row>
    <row r="1686" spans="4:4" ht="15" customHeight="1" x14ac:dyDescent="0.2">
      <c r="D1686" s="848"/>
    </row>
    <row r="1687" spans="4:4" ht="15" customHeight="1" x14ac:dyDescent="0.2">
      <c r="D1687" s="848"/>
    </row>
    <row r="1688" spans="4:4" ht="15" customHeight="1" x14ac:dyDescent="0.2">
      <c r="D1688" s="848"/>
    </row>
    <row r="1689" spans="4:4" ht="15" customHeight="1" x14ac:dyDescent="0.2">
      <c r="D1689" s="848"/>
    </row>
    <row r="1690" spans="4:4" ht="15" customHeight="1" x14ac:dyDescent="0.2">
      <c r="D1690" s="848"/>
    </row>
    <row r="1691" spans="4:4" ht="15" customHeight="1" x14ac:dyDescent="0.2">
      <c r="D1691" s="848"/>
    </row>
    <row r="1692" spans="4:4" ht="15" customHeight="1" x14ac:dyDescent="0.2">
      <c r="D1692" s="848"/>
    </row>
    <row r="1693" spans="4:4" ht="15" customHeight="1" x14ac:dyDescent="0.2">
      <c r="D1693" s="848"/>
    </row>
    <row r="1694" spans="4:4" ht="15" customHeight="1" x14ac:dyDescent="0.2">
      <c r="D1694" s="848"/>
    </row>
    <row r="1695" spans="4:4" ht="15" customHeight="1" x14ac:dyDescent="0.2">
      <c r="D1695" s="848"/>
    </row>
    <row r="1696" spans="4:4" ht="15" customHeight="1" x14ac:dyDescent="0.2">
      <c r="D1696" s="848"/>
    </row>
    <row r="1697" spans="4:4" ht="15" customHeight="1" x14ac:dyDescent="0.2">
      <c r="D1697" s="848"/>
    </row>
    <row r="1698" spans="4:4" ht="15" customHeight="1" x14ac:dyDescent="0.2">
      <c r="D1698" s="848"/>
    </row>
    <row r="1699" spans="4:4" ht="15" customHeight="1" x14ac:dyDescent="0.2">
      <c r="D1699" s="848"/>
    </row>
    <row r="1700" spans="4:4" ht="15" customHeight="1" x14ac:dyDescent="0.2">
      <c r="D1700" s="848"/>
    </row>
    <row r="1701" spans="4:4" ht="15" customHeight="1" x14ac:dyDescent="0.2">
      <c r="D1701" s="848"/>
    </row>
    <row r="1702" spans="4:4" ht="15" customHeight="1" x14ac:dyDescent="0.2">
      <c r="D1702" s="848"/>
    </row>
    <row r="1703" spans="4:4" ht="15" customHeight="1" x14ac:dyDescent="0.2">
      <c r="D1703" s="848"/>
    </row>
    <row r="1704" spans="4:4" ht="15" customHeight="1" x14ac:dyDescent="0.2">
      <c r="D1704" s="848"/>
    </row>
    <row r="1705" spans="4:4" ht="15" customHeight="1" x14ac:dyDescent="0.2">
      <c r="D1705" s="848"/>
    </row>
    <row r="1706" spans="4:4" ht="15" customHeight="1" x14ac:dyDescent="0.2">
      <c r="D1706" s="848"/>
    </row>
    <row r="1707" spans="4:4" ht="15" customHeight="1" x14ac:dyDescent="0.2">
      <c r="D1707" s="848"/>
    </row>
    <row r="1708" spans="4:4" ht="15" customHeight="1" x14ac:dyDescent="0.2">
      <c r="D1708" s="848"/>
    </row>
    <row r="1709" spans="4:4" ht="15" customHeight="1" x14ac:dyDescent="0.2">
      <c r="D1709" s="848"/>
    </row>
    <row r="1710" spans="4:4" ht="15" customHeight="1" x14ac:dyDescent="0.2">
      <c r="D1710" s="848"/>
    </row>
    <row r="1711" spans="4:4" ht="15" customHeight="1" x14ac:dyDescent="0.2">
      <c r="D1711" s="848"/>
    </row>
    <row r="1712" spans="4:4" ht="15" customHeight="1" x14ac:dyDescent="0.2">
      <c r="D1712" s="848"/>
    </row>
    <row r="1713" spans="4:4" ht="15" customHeight="1" x14ac:dyDescent="0.2">
      <c r="D1713" s="848"/>
    </row>
    <row r="1714" spans="4:4" ht="15" customHeight="1" x14ac:dyDescent="0.2">
      <c r="D1714" s="848"/>
    </row>
    <row r="1715" spans="4:4" ht="15" customHeight="1" x14ac:dyDescent="0.2">
      <c r="D1715" s="848"/>
    </row>
    <row r="1716" spans="4:4" ht="15" customHeight="1" x14ac:dyDescent="0.2">
      <c r="D1716" s="848"/>
    </row>
    <row r="1717" spans="4:4" ht="15" customHeight="1" x14ac:dyDescent="0.2">
      <c r="D1717" s="848"/>
    </row>
    <row r="1718" spans="4:4" ht="15" customHeight="1" x14ac:dyDescent="0.2">
      <c r="D1718" s="848"/>
    </row>
    <row r="1719" spans="4:4" ht="15" customHeight="1" x14ac:dyDescent="0.2">
      <c r="D1719" s="848"/>
    </row>
    <row r="1720" spans="4:4" ht="15" customHeight="1" x14ac:dyDescent="0.2">
      <c r="D1720" s="848"/>
    </row>
    <row r="1721" spans="4:4" ht="15" customHeight="1" x14ac:dyDescent="0.2">
      <c r="D1721" s="848"/>
    </row>
    <row r="1722" spans="4:4" ht="15" customHeight="1" x14ac:dyDescent="0.2">
      <c r="D1722" s="848"/>
    </row>
    <row r="1723" spans="4:4" ht="15" customHeight="1" x14ac:dyDescent="0.2">
      <c r="D1723" s="848"/>
    </row>
    <row r="1724" spans="4:4" ht="15" customHeight="1" x14ac:dyDescent="0.2">
      <c r="D1724" s="848"/>
    </row>
    <row r="1725" spans="4:4" ht="15" customHeight="1" x14ac:dyDescent="0.2">
      <c r="D1725" s="848"/>
    </row>
    <row r="1726" spans="4:4" ht="15" customHeight="1" x14ac:dyDescent="0.2">
      <c r="D1726" s="848"/>
    </row>
    <row r="1727" spans="4:4" ht="15" customHeight="1" x14ac:dyDescent="0.2">
      <c r="D1727" s="848"/>
    </row>
    <row r="1728" spans="4:4" ht="15" customHeight="1" x14ac:dyDescent="0.2">
      <c r="D1728" s="848"/>
    </row>
    <row r="1729" spans="4:4" ht="15" customHeight="1" x14ac:dyDescent="0.2">
      <c r="D1729" s="848"/>
    </row>
    <row r="1730" spans="4:4" ht="15" customHeight="1" x14ac:dyDescent="0.2">
      <c r="D1730" s="848"/>
    </row>
    <row r="1731" spans="4:4" ht="15" customHeight="1" x14ac:dyDescent="0.2">
      <c r="D1731" s="848"/>
    </row>
    <row r="1732" spans="4:4" ht="15" customHeight="1" x14ac:dyDescent="0.2">
      <c r="D1732" s="848"/>
    </row>
    <row r="1733" spans="4:4" ht="15" customHeight="1" x14ac:dyDescent="0.2">
      <c r="D1733" s="848"/>
    </row>
    <row r="1734" spans="4:4" ht="15" customHeight="1" x14ac:dyDescent="0.2">
      <c r="D1734" s="848"/>
    </row>
    <row r="1735" spans="4:4" ht="15" customHeight="1" x14ac:dyDescent="0.2">
      <c r="D1735" s="848"/>
    </row>
    <row r="1736" spans="4:4" ht="15" customHeight="1" x14ac:dyDescent="0.2">
      <c r="D1736" s="848"/>
    </row>
    <row r="1737" spans="4:4" ht="15" customHeight="1" x14ac:dyDescent="0.2">
      <c r="D1737" s="848"/>
    </row>
    <row r="1738" spans="4:4" ht="15" customHeight="1" x14ac:dyDescent="0.2">
      <c r="D1738" s="848"/>
    </row>
    <row r="1739" spans="4:4" ht="15" customHeight="1" x14ac:dyDescent="0.2">
      <c r="D1739" s="848"/>
    </row>
    <row r="1740" spans="4:4" ht="15" customHeight="1" x14ac:dyDescent="0.2">
      <c r="D1740" s="848"/>
    </row>
    <row r="1741" spans="4:4" ht="15" customHeight="1" x14ac:dyDescent="0.2">
      <c r="D1741" s="848"/>
    </row>
    <row r="1742" spans="4:4" ht="15" customHeight="1" x14ac:dyDescent="0.2">
      <c r="D1742" s="848"/>
    </row>
    <row r="1743" spans="4:4" ht="15" customHeight="1" x14ac:dyDescent="0.2">
      <c r="D1743" s="848"/>
    </row>
    <row r="1744" spans="4:4" ht="15" customHeight="1" x14ac:dyDescent="0.2">
      <c r="D1744" s="848"/>
    </row>
    <row r="1745" spans="4:4" ht="15" customHeight="1" x14ac:dyDescent="0.2">
      <c r="D1745" s="848"/>
    </row>
    <row r="1746" spans="4:4" ht="15" customHeight="1" x14ac:dyDescent="0.2">
      <c r="D1746" s="848"/>
    </row>
    <row r="1747" spans="4:4" ht="15" customHeight="1" x14ac:dyDescent="0.2">
      <c r="D1747" s="848"/>
    </row>
    <row r="1748" spans="4:4" ht="15" customHeight="1" x14ac:dyDescent="0.2">
      <c r="D1748" s="848"/>
    </row>
    <row r="1749" spans="4:4" ht="15" customHeight="1" x14ac:dyDescent="0.2">
      <c r="D1749" s="848"/>
    </row>
    <row r="1750" spans="4:4" ht="15" customHeight="1" x14ac:dyDescent="0.2">
      <c r="D1750" s="848"/>
    </row>
    <row r="1751" spans="4:4" ht="15" customHeight="1" x14ac:dyDescent="0.2">
      <c r="D1751" s="848"/>
    </row>
    <row r="1752" spans="4:4" ht="15" customHeight="1" x14ac:dyDescent="0.2">
      <c r="D1752" s="848"/>
    </row>
    <row r="1753" spans="4:4" ht="15" customHeight="1" x14ac:dyDescent="0.2">
      <c r="D1753" s="848"/>
    </row>
    <row r="1754" spans="4:4" ht="15" customHeight="1" x14ac:dyDescent="0.2">
      <c r="D1754" s="848"/>
    </row>
    <row r="1755" spans="4:4" ht="15" customHeight="1" x14ac:dyDescent="0.2">
      <c r="D1755" s="848"/>
    </row>
    <row r="1756" spans="4:4" ht="15" customHeight="1" x14ac:dyDescent="0.2">
      <c r="D1756" s="848"/>
    </row>
    <row r="1757" spans="4:4" ht="15" customHeight="1" x14ac:dyDescent="0.2">
      <c r="D1757" s="848"/>
    </row>
    <row r="1758" spans="4:4" ht="15" customHeight="1" x14ac:dyDescent="0.2">
      <c r="D1758" s="848"/>
    </row>
    <row r="1759" spans="4:4" ht="15" customHeight="1" x14ac:dyDescent="0.2">
      <c r="D1759" s="848"/>
    </row>
    <row r="1760" spans="4:4" ht="15" customHeight="1" x14ac:dyDescent="0.2">
      <c r="D1760" s="848"/>
    </row>
    <row r="1761" spans="4:4" ht="15" customHeight="1" x14ac:dyDescent="0.2">
      <c r="D1761" s="848"/>
    </row>
    <row r="1762" spans="4:4" ht="15" customHeight="1" x14ac:dyDescent="0.2">
      <c r="D1762" s="848"/>
    </row>
    <row r="1763" spans="4:4" ht="15" customHeight="1" x14ac:dyDescent="0.2">
      <c r="D1763" s="848"/>
    </row>
    <row r="1764" spans="4:4" ht="15" customHeight="1" x14ac:dyDescent="0.2">
      <c r="D1764" s="848"/>
    </row>
    <row r="1765" spans="4:4" ht="15" customHeight="1" x14ac:dyDescent="0.2">
      <c r="D1765" s="848"/>
    </row>
    <row r="1766" spans="4:4" ht="15" customHeight="1" x14ac:dyDescent="0.2">
      <c r="D1766" s="848"/>
    </row>
    <row r="1767" spans="4:4" ht="15" customHeight="1" x14ac:dyDescent="0.2">
      <c r="D1767" s="848"/>
    </row>
    <row r="1768" spans="4:4" ht="15" customHeight="1" x14ac:dyDescent="0.2">
      <c r="D1768" s="848"/>
    </row>
    <row r="1769" spans="4:4" ht="15" customHeight="1" x14ac:dyDescent="0.2">
      <c r="D1769" s="848"/>
    </row>
    <row r="1770" spans="4:4" ht="15" customHeight="1" x14ac:dyDescent="0.2">
      <c r="D1770" s="848"/>
    </row>
    <row r="1771" spans="4:4" ht="15" customHeight="1" x14ac:dyDescent="0.2">
      <c r="D1771" s="848"/>
    </row>
    <row r="1772" spans="4:4" ht="15" customHeight="1" x14ac:dyDescent="0.2">
      <c r="D1772" s="848"/>
    </row>
    <row r="1773" spans="4:4" ht="15" customHeight="1" x14ac:dyDescent="0.2">
      <c r="D1773" s="848"/>
    </row>
    <row r="1774" spans="4:4" ht="15" customHeight="1" x14ac:dyDescent="0.2">
      <c r="D1774" s="848"/>
    </row>
    <row r="1775" spans="4:4" ht="15" customHeight="1" x14ac:dyDescent="0.2">
      <c r="D1775" s="848"/>
    </row>
    <row r="1776" spans="4:4" ht="15" customHeight="1" x14ac:dyDescent="0.2">
      <c r="D1776" s="848"/>
    </row>
    <row r="1777" spans="4:4" ht="15" customHeight="1" x14ac:dyDescent="0.2">
      <c r="D1777" s="848"/>
    </row>
    <row r="1778" spans="4:4" ht="15" customHeight="1" x14ac:dyDescent="0.2">
      <c r="D1778" s="848"/>
    </row>
    <row r="1779" spans="4:4" ht="15" customHeight="1" x14ac:dyDescent="0.2">
      <c r="D1779" s="848"/>
    </row>
    <row r="1780" spans="4:4" ht="15" customHeight="1" x14ac:dyDescent="0.2">
      <c r="D1780" s="848"/>
    </row>
    <row r="1781" spans="4:4" ht="15" customHeight="1" x14ac:dyDescent="0.2">
      <c r="D1781" s="848"/>
    </row>
    <row r="1782" spans="4:4" ht="15" customHeight="1" x14ac:dyDescent="0.2">
      <c r="D1782" s="848"/>
    </row>
    <row r="1783" spans="4:4" ht="15" customHeight="1" x14ac:dyDescent="0.2">
      <c r="D1783" s="848"/>
    </row>
    <row r="1784" spans="4:4" ht="15" customHeight="1" x14ac:dyDescent="0.2">
      <c r="D1784" s="848"/>
    </row>
    <row r="1785" spans="4:4" ht="15" customHeight="1" x14ac:dyDescent="0.2">
      <c r="D1785" s="848"/>
    </row>
    <row r="1786" spans="4:4" ht="15" customHeight="1" x14ac:dyDescent="0.2">
      <c r="D1786" s="848"/>
    </row>
    <row r="1787" spans="4:4" ht="15" customHeight="1" x14ac:dyDescent="0.2">
      <c r="D1787" s="848"/>
    </row>
    <row r="1788" spans="4:4" ht="15" customHeight="1" x14ac:dyDescent="0.2">
      <c r="D1788" s="848"/>
    </row>
    <row r="1789" spans="4:4" ht="15" customHeight="1" x14ac:dyDescent="0.2">
      <c r="D1789" s="848"/>
    </row>
    <row r="1790" spans="4:4" ht="15" customHeight="1" x14ac:dyDescent="0.2">
      <c r="D1790" s="848"/>
    </row>
    <row r="1791" spans="4:4" ht="15" customHeight="1" x14ac:dyDescent="0.2">
      <c r="D1791" s="848"/>
    </row>
    <row r="1792" spans="4:4" ht="15" customHeight="1" x14ac:dyDescent="0.2">
      <c r="D1792" s="848"/>
    </row>
    <row r="1793" spans="4:4" ht="15" customHeight="1" x14ac:dyDescent="0.2">
      <c r="D1793" s="848"/>
    </row>
    <row r="1794" spans="4:4" ht="15" customHeight="1" x14ac:dyDescent="0.2">
      <c r="D1794" s="848"/>
    </row>
    <row r="1795" spans="4:4" ht="15" customHeight="1" x14ac:dyDescent="0.2">
      <c r="D1795" s="848"/>
    </row>
    <row r="1796" spans="4:4" ht="15" customHeight="1" x14ac:dyDescent="0.2">
      <c r="D1796" s="848"/>
    </row>
    <row r="1797" spans="4:4" ht="15" customHeight="1" x14ac:dyDescent="0.2">
      <c r="D1797" s="848"/>
    </row>
    <row r="1798" spans="4:4" ht="15" customHeight="1" x14ac:dyDescent="0.2">
      <c r="D1798" s="848"/>
    </row>
    <row r="1799" spans="4:4" ht="15" customHeight="1" x14ac:dyDescent="0.2">
      <c r="D1799" s="848"/>
    </row>
    <row r="1800" spans="4:4" ht="15" customHeight="1" x14ac:dyDescent="0.2">
      <c r="D1800" s="848"/>
    </row>
    <row r="1801" spans="4:4" ht="15" customHeight="1" x14ac:dyDescent="0.2">
      <c r="D1801" s="848"/>
    </row>
    <row r="1802" spans="4:4" ht="15" customHeight="1" x14ac:dyDescent="0.2">
      <c r="D1802" s="848"/>
    </row>
    <row r="1803" spans="4:4" ht="15" customHeight="1" x14ac:dyDescent="0.2">
      <c r="D1803" s="848"/>
    </row>
    <row r="1804" spans="4:4" ht="15" customHeight="1" x14ac:dyDescent="0.2">
      <c r="D1804" s="848"/>
    </row>
    <row r="1805" spans="4:4" ht="15" customHeight="1" x14ac:dyDescent="0.2">
      <c r="D1805" s="848"/>
    </row>
    <row r="1806" spans="4:4" ht="15" customHeight="1" x14ac:dyDescent="0.2">
      <c r="D1806" s="848"/>
    </row>
    <row r="1807" spans="4:4" ht="15" customHeight="1" x14ac:dyDescent="0.2">
      <c r="D1807" s="848"/>
    </row>
    <row r="1808" spans="4:4" ht="15" customHeight="1" x14ac:dyDescent="0.2">
      <c r="D1808" s="848"/>
    </row>
    <row r="1809" spans="4:4" ht="15" customHeight="1" x14ac:dyDescent="0.2">
      <c r="D1809" s="848"/>
    </row>
    <row r="1810" spans="4:4" ht="15" customHeight="1" x14ac:dyDescent="0.2">
      <c r="D1810" s="848"/>
    </row>
    <row r="1811" spans="4:4" ht="15" customHeight="1" x14ac:dyDescent="0.2">
      <c r="D1811" s="848"/>
    </row>
    <row r="1812" spans="4:4" ht="15" customHeight="1" x14ac:dyDescent="0.2">
      <c r="D1812" s="848"/>
    </row>
    <row r="1813" spans="4:4" ht="15" customHeight="1" x14ac:dyDescent="0.2">
      <c r="D1813" s="848"/>
    </row>
    <row r="1814" spans="4:4" ht="15" customHeight="1" x14ac:dyDescent="0.2">
      <c r="D1814" s="848"/>
    </row>
    <row r="1815" spans="4:4" ht="15" customHeight="1" x14ac:dyDescent="0.2">
      <c r="D1815" s="848"/>
    </row>
    <row r="1816" spans="4:4" ht="15" customHeight="1" x14ac:dyDescent="0.2">
      <c r="D1816" s="848"/>
    </row>
    <row r="1817" spans="4:4" ht="15" customHeight="1" x14ac:dyDescent="0.2">
      <c r="D1817" s="848"/>
    </row>
    <row r="1818" spans="4:4" ht="15" customHeight="1" x14ac:dyDescent="0.2">
      <c r="D1818" s="848"/>
    </row>
    <row r="1819" spans="4:4" ht="15" customHeight="1" x14ac:dyDescent="0.2">
      <c r="D1819" s="848"/>
    </row>
    <row r="1820" spans="4:4" ht="15" customHeight="1" x14ac:dyDescent="0.2">
      <c r="D1820" s="848"/>
    </row>
    <row r="1821" spans="4:4" ht="15" customHeight="1" x14ac:dyDescent="0.2">
      <c r="D1821" s="848"/>
    </row>
    <row r="1822" spans="4:4" ht="15" customHeight="1" x14ac:dyDescent="0.2">
      <c r="D1822" s="848"/>
    </row>
    <row r="1823" spans="4:4" ht="15" customHeight="1" x14ac:dyDescent="0.2">
      <c r="D1823" s="848"/>
    </row>
    <row r="1824" spans="4:4" ht="15" customHeight="1" x14ac:dyDescent="0.2">
      <c r="D1824" s="848"/>
    </row>
    <row r="1825" spans="4:4" ht="15" customHeight="1" x14ac:dyDescent="0.2">
      <c r="D1825" s="848"/>
    </row>
    <row r="1826" spans="4:4" ht="15" customHeight="1" x14ac:dyDescent="0.2">
      <c r="D1826" s="848"/>
    </row>
    <row r="1827" spans="4:4" ht="15" customHeight="1" x14ac:dyDescent="0.2">
      <c r="D1827" s="848"/>
    </row>
    <row r="1828" spans="4:4" ht="15" customHeight="1" x14ac:dyDescent="0.2">
      <c r="D1828" s="848"/>
    </row>
    <row r="1829" spans="4:4" ht="15" customHeight="1" x14ac:dyDescent="0.2">
      <c r="D1829" s="848"/>
    </row>
    <row r="1830" spans="4:4" ht="15" customHeight="1" x14ac:dyDescent="0.2">
      <c r="D1830" s="848"/>
    </row>
    <row r="1831" spans="4:4" ht="15" customHeight="1" x14ac:dyDescent="0.2">
      <c r="D1831" s="848"/>
    </row>
    <row r="1832" spans="4:4" ht="15" customHeight="1" x14ac:dyDescent="0.2">
      <c r="D1832" s="848"/>
    </row>
    <row r="1833" spans="4:4" ht="15" customHeight="1" x14ac:dyDescent="0.2">
      <c r="D1833" s="848"/>
    </row>
    <row r="1834" spans="4:4" ht="15" customHeight="1" x14ac:dyDescent="0.2">
      <c r="D1834" s="848"/>
    </row>
    <row r="1835" spans="4:4" ht="15" customHeight="1" x14ac:dyDescent="0.2">
      <c r="D1835" s="848"/>
    </row>
    <row r="1836" spans="4:4" ht="15" customHeight="1" x14ac:dyDescent="0.2">
      <c r="D1836" s="848"/>
    </row>
    <row r="1837" spans="4:4" ht="15" customHeight="1" x14ac:dyDescent="0.2">
      <c r="D1837" s="848"/>
    </row>
    <row r="1838" spans="4:4" ht="15" customHeight="1" x14ac:dyDescent="0.2">
      <c r="D1838" s="848"/>
    </row>
    <row r="1839" spans="4:4" ht="15" customHeight="1" x14ac:dyDescent="0.2">
      <c r="D1839" s="848"/>
    </row>
    <row r="1840" spans="4:4" ht="15" customHeight="1" x14ac:dyDescent="0.2">
      <c r="D1840" s="848"/>
    </row>
    <row r="1841" spans="4:4" ht="15" customHeight="1" x14ac:dyDescent="0.2">
      <c r="D1841" s="848"/>
    </row>
    <row r="1842" spans="4:4" ht="15" customHeight="1" x14ac:dyDescent="0.2">
      <c r="D1842" s="848"/>
    </row>
    <row r="1843" spans="4:4" ht="15" customHeight="1" x14ac:dyDescent="0.2">
      <c r="D1843" s="848"/>
    </row>
    <row r="1844" spans="4:4" ht="15" customHeight="1" x14ac:dyDescent="0.2">
      <c r="D1844" s="848"/>
    </row>
    <row r="1845" spans="4:4" ht="15" customHeight="1" x14ac:dyDescent="0.2">
      <c r="D1845" s="848"/>
    </row>
    <row r="1846" spans="4:4" ht="15" customHeight="1" x14ac:dyDescent="0.2">
      <c r="D1846" s="848"/>
    </row>
    <row r="1847" spans="4:4" ht="15" customHeight="1" x14ac:dyDescent="0.2">
      <c r="D1847" s="848"/>
    </row>
    <row r="1848" spans="4:4" ht="15" customHeight="1" x14ac:dyDescent="0.2">
      <c r="D1848" s="848"/>
    </row>
    <row r="1849" spans="4:4" ht="15" customHeight="1" x14ac:dyDescent="0.2">
      <c r="D1849" s="848"/>
    </row>
    <row r="1850" spans="4:4" ht="15" customHeight="1" x14ac:dyDescent="0.2">
      <c r="D1850" s="848"/>
    </row>
    <row r="1851" spans="4:4" ht="15" customHeight="1" x14ac:dyDescent="0.2">
      <c r="D1851" s="848"/>
    </row>
    <row r="1852" spans="4:4" ht="15" customHeight="1" x14ac:dyDescent="0.2">
      <c r="D1852" s="848"/>
    </row>
    <row r="1853" spans="4:4" ht="15" customHeight="1" x14ac:dyDescent="0.2">
      <c r="D1853" s="848"/>
    </row>
    <row r="1854" spans="4:4" ht="15" customHeight="1" x14ac:dyDescent="0.2">
      <c r="D1854" s="848"/>
    </row>
    <row r="1855" spans="4:4" ht="15" customHeight="1" x14ac:dyDescent="0.2">
      <c r="D1855" s="848"/>
    </row>
    <row r="1856" spans="4:4" ht="15" customHeight="1" x14ac:dyDescent="0.2">
      <c r="D1856" s="848"/>
    </row>
    <row r="1857" spans="4:4" ht="15" customHeight="1" x14ac:dyDescent="0.2">
      <c r="D1857" s="848"/>
    </row>
    <row r="1858" spans="4:4" ht="15" customHeight="1" x14ac:dyDescent="0.2">
      <c r="D1858" s="848"/>
    </row>
    <row r="1859" spans="4:4" ht="15" customHeight="1" x14ac:dyDescent="0.2">
      <c r="D1859" s="848"/>
    </row>
    <row r="1860" spans="4:4" ht="15" customHeight="1" x14ac:dyDescent="0.2">
      <c r="D1860" s="848"/>
    </row>
    <row r="1861" spans="4:4" ht="15" customHeight="1" x14ac:dyDescent="0.2">
      <c r="D1861" s="848"/>
    </row>
    <row r="1862" spans="4:4" ht="15" customHeight="1" x14ac:dyDescent="0.2">
      <c r="D1862" s="848"/>
    </row>
    <row r="1863" spans="4:4" ht="15" customHeight="1" x14ac:dyDescent="0.2">
      <c r="D1863" s="848"/>
    </row>
    <row r="1864" spans="4:4" ht="15" customHeight="1" x14ac:dyDescent="0.2">
      <c r="D1864" s="848"/>
    </row>
    <row r="1865" spans="4:4" ht="15" customHeight="1" x14ac:dyDescent="0.2">
      <c r="D1865" s="848"/>
    </row>
    <row r="1866" spans="4:4" ht="15" customHeight="1" x14ac:dyDescent="0.2">
      <c r="D1866" s="848"/>
    </row>
    <row r="1867" spans="4:4" ht="15" customHeight="1" x14ac:dyDescent="0.2">
      <c r="D1867" s="848"/>
    </row>
    <row r="1868" spans="4:4" ht="15" customHeight="1" x14ac:dyDescent="0.2">
      <c r="D1868" s="848"/>
    </row>
    <row r="1869" spans="4:4" ht="15" customHeight="1" x14ac:dyDescent="0.2">
      <c r="D1869" s="848"/>
    </row>
    <row r="1870" spans="4:4" ht="15" customHeight="1" x14ac:dyDescent="0.2">
      <c r="D1870" s="848"/>
    </row>
    <row r="1871" spans="4:4" ht="15" customHeight="1" x14ac:dyDescent="0.2">
      <c r="D1871" s="848"/>
    </row>
    <row r="1872" spans="4:4" ht="15" customHeight="1" x14ac:dyDescent="0.2">
      <c r="D1872" s="848"/>
    </row>
    <row r="1873" spans="4:4" ht="15" customHeight="1" x14ac:dyDescent="0.2">
      <c r="D1873" s="848"/>
    </row>
    <row r="1874" spans="4:4" ht="15" customHeight="1" x14ac:dyDescent="0.2">
      <c r="D1874" s="848"/>
    </row>
    <row r="1875" spans="4:4" ht="15" customHeight="1" x14ac:dyDescent="0.2">
      <c r="D1875" s="848"/>
    </row>
    <row r="1876" spans="4:4" ht="15" customHeight="1" x14ac:dyDescent="0.2">
      <c r="D1876" s="848"/>
    </row>
    <row r="1877" spans="4:4" ht="15" customHeight="1" x14ac:dyDescent="0.2">
      <c r="D1877" s="848"/>
    </row>
    <row r="1878" spans="4:4" ht="15" customHeight="1" x14ac:dyDescent="0.2">
      <c r="D1878" s="848"/>
    </row>
    <row r="1879" spans="4:4" ht="15" customHeight="1" x14ac:dyDescent="0.2">
      <c r="D1879" s="848"/>
    </row>
    <row r="1880" spans="4:4" ht="15" customHeight="1" x14ac:dyDescent="0.2">
      <c r="D1880" s="848"/>
    </row>
    <row r="1881" spans="4:4" ht="15" customHeight="1" x14ac:dyDescent="0.2">
      <c r="D1881" s="848"/>
    </row>
    <row r="1882" spans="4:4" ht="15" customHeight="1" x14ac:dyDescent="0.2">
      <c r="D1882" s="848"/>
    </row>
    <row r="1883" spans="4:4" ht="15" customHeight="1" x14ac:dyDescent="0.2">
      <c r="D1883" s="848"/>
    </row>
    <row r="1884" spans="4:4" ht="15" customHeight="1" x14ac:dyDescent="0.2">
      <c r="D1884" s="848"/>
    </row>
    <row r="1885" spans="4:4" ht="15" customHeight="1" x14ac:dyDescent="0.2">
      <c r="D1885" s="848"/>
    </row>
    <row r="1886" spans="4:4" ht="15" customHeight="1" x14ac:dyDescent="0.2">
      <c r="D1886" s="848"/>
    </row>
    <row r="1887" spans="4:4" ht="15" customHeight="1" x14ac:dyDescent="0.2">
      <c r="D1887" s="848"/>
    </row>
    <row r="1888" spans="4:4" ht="15" customHeight="1" x14ac:dyDescent="0.2">
      <c r="D1888" s="848"/>
    </row>
    <row r="1889" spans="4:4" ht="15" customHeight="1" x14ac:dyDescent="0.2">
      <c r="D1889" s="848"/>
    </row>
    <row r="1890" spans="4:4" ht="15" customHeight="1" x14ac:dyDescent="0.2">
      <c r="D1890" s="848"/>
    </row>
    <row r="1891" spans="4:4" ht="15" customHeight="1" x14ac:dyDescent="0.2">
      <c r="D1891" s="848"/>
    </row>
    <row r="1892" spans="4:4" ht="15" customHeight="1" x14ac:dyDescent="0.2">
      <c r="D1892" s="848"/>
    </row>
    <row r="1893" spans="4:4" ht="15" customHeight="1" x14ac:dyDescent="0.2">
      <c r="D1893" s="848"/>
    </row>
    <row r="1894" spans="4:4" ht="15" customHeight="1" x14ac:dyDescent="0.2">
      <c r="D1894" s="848"/>
    </row>
    <row r="1895" spans="4:4" ht="15" customHeight="1" x14ac:dyDescent="0.2">
      <c r="D1895" s="848"/>
    </row>
    <row r="1896" spans="4:4" ht="15" customHeight="1" x14ac:dyDescent="0.2">
      <c r="D1896" s="848"/>
    </row>
    <row r="1897" spans="4:4" ht="15" customHeight="1" x14ac:dyDescent="0.2">
      <c r="D1897" s="848"/>
    </row>
    <row r="1898" spans="4:4" ht="15" customHeight="1" x14ac:dyDescent="0.2">
      <c r="D1898" s="848"/>
    </row>
    <row r="1899" spans="4:4" ht="15" customHeight="1" x14ac:dyDescent="0.2">
      <c r="D1899" s="848"/>
    </row>
    <row r="1900" spans="4:4" ht="15" customHeight="1" x14ac:dyDescent="0.2">
      <c r="D1900" s="848"/>
    </row>
    <row r="1901" spans="4:4" ht="15" customHeight="1" x14ac:dyDescent="0.2">
      <c r="D1901" s="848"/>
    </row>
    <row r="1902" spans="4:4" ht="15" customHeight="1" x14ac:dyDescent="0.2">
      <c r="D1902" s="848"/>
    </row>
    <row r="1903" spans="4:4" ht="15" customHeight="1" x14ac:dyDescent="0.2">
      <c r="D1903" s="848"/>
    </row>
    <row r="1904" spans="4:4" ht="15" customHeight="1" x14ac:dyDescent="0.2">
      <c r="D1904" s="848"/>
    </row>
    <row r="1905" spans="4:4" ht="15" customHeight="1" x14ac:dyDescent="0.2">
      <c r="D1905" s="848"/>
    </row>
    <row r="1906" spans="4:4" ht="15" customHeight="1" x14ac:dyDescent="0.2">
      <c r="D1906" s="848"/>
    </row>
    <row r="1907" spans="4:4" ht="15" customHeight="1" x14ac:dyDescent="0.2">
      <c r="D1907" s="848"/>
    </row>
    <row r="1908" spans="4:4" ht="15" customHeight="1" x14ac:dyDescent="0.2">
      <c r="D1908" s="848"/>
    </row>
    <row r="1909" spans="4:4" ht="15" customHeight="1" x14ac:dyDescent="0.2">
      <c r="D1909" s="848"/>
    </row>
    <row r="1910" spans="4:4" ht="15" customHeight="1" x14ac:dyDescent="0.2">
      <c r="D1910" s="848"/>
    </row>
    <row r="1911" spans="4:4" ht="15" customHeight="1" x14ac:dyDescent="0.2">
      <c r="D1911" s="848"/>
    </row>
    <row r="1912" spans="4:4" ht="15" customHeight="1" x14ac:dyDescent="0.2">
      <c r="D1912" s="848"/>
    </row>
    <row r="1913" spans="4:4" ht="15" customHeight="1" x14ac:dyDescent="0.2">
      <c r="D1913" s="848"/>
    </row>
    <row r="1914" spans="4:4" ht="15" customHeight="1" x14ac:dyDescent="0.2">
      <c r="D1914" s="848"/>
    </row>
    <row r="1915" spans="4:4" ht="15" customHeight="1" x14ac:dyDescent="0.2">
      <c r="D1915" s="848"/>
    </row>
    <row r="1916" spans="4:4" ht="15" customHeight="1" x14ac:dyDescent="0.2">
      <c r="D1916" s="848"/>
    </row>
    <row r="1917" spans="4:4" ht="15" customHeight="1" x14ac:dyDescent="0.2">
      <c r="D1917" s="848"/>
    </row>
    <row r="1918" spans="4:4" ht="15" customHeight="1" x14ac:dyDescent="0.2">
      <c r="D1918" s="848"/>
    </row>
    <row r="1919" spans="4:4" ht="15" customHeight="1" x14ac:dyDescent="0.2">
      <c r="D1919" s="848"/>
    </row>
    <row r="1920" spans="4:4" ht="15" customHeight="1" x14ac:dyDescent="0.2">
      <c r="D1920" s="848"/>
    </row>
    <row r="1921" spans="4:4" ht="15" customHeight="1" x14ac:dyDescent="0.2">
      <c r="D1921" s="848"/>
    </row>
    <row r="1922" spans="4:4" ht="15" customHeight="1" x14ac:dyDescent="0.2">
      <c r="D1922" s="848"/>
    </row>
    <row r="1923" spans="4:4" ht="15" customHeight="1" x14ac:dyDescent="0.2">
      <c r="D1923" s="848"/>
    </row>
    <row r="1924" spans="4:4" ht="15" customHeight="1" x14ac:dyDescent="0.2">
      <c r="D1924" s="848"/>
    </row>
    <row r="1925" spans="4:4" ht="15" customHeight="1" x14ac:dyDescent="0.2">
      <c r="D1925" s="848"/>
    </row>
    <row r="1926" spans="4:4" ht="15" customHeight="1" x14ac:dyDescent="0.2">
      <c r="D1926" s="848"/>
    </row>
    <row r="1927" spans="4:4" ht="15" customHeight="1" x14ac:dyDescent="0.2">
      <c r="D1927" s="848"/>
    </row>
    <row r="1928" spans="4:4" ht="15" customHeight="1" x14ac:dyDescent="0.2">
      <c r="D1928" s="848"/>
    </row>
    <row r="1929" spans="4:4" ht="15" customHeight="1" x14ac:dyDescent="0.2">
      <c r="D1929" s="848"/>
    </row>
    <row r="1930" spans="4:4" ht="15" customHeight="1" x14ac:dyDescent="0.2">
      <c r="D1930" s="848"/>
    </row>
    <row r="1931" spans="4:4" ht="15" customHeight="1" x14ac:dyDescent="0.2">
      <c r="D1931" s="848"/>
    </row>
    <row r="1932" spans="4:4" ht="15" customHeight="1" x14ac:dyDescent="0.2">
      <c r="D1932" s="848"/>
    </row>
    <row r="1933" spans="4:4" ht="15" customHeight="1" x14ac:dyDescent="0.2">
      <c r="D1933" s="848"/>
    </row>
    <row r="1934" spans="4:4" ht="15" customHeight="1" x14ac:dyDescent="0.2">
      <c r="D1934" s="848"/>
    </row>
    <row r="1935" spans="4:4" ht="15" customHeight="1" x14ac:dyDescent="0.2">
      <c r="D1935" s="848"/>
    </row>
    <row r="1936" spans="4:4" ht="15" customHeight="1" x14ac:dyDescent="0.2">
      <c r="D1936" s="848"/>
    </row>
    <row r="1937" spans="4:4" ht="15" customHeight="1" x14ac:dyDescent="0.2">
      <c r="D1937" s="848"/>
    </row>
    <row r="1938" spans="4:4" ht="15" customHeight="1" x14ac:dyDescent="0.2">
      <c r="D1938" s="848"/>
    </row>
    <row r="1939" spans="4:4" ht="15" customHeight="1" x14ac:dyDescent="0.2">
      <c r="D1939" s="848"/>
    </row>
    <row r="1940" spans="4:4" ht="15" customHeight="1" x14ac:dyDescent="0.2">
      <c r="D1940" s="848"/>
    </row>
    <row r="1941" spans="4:4" ht="15" customHeight="1" x14ac:dyDescent="0.2">
      <c r="D1941" s="848"/>
    </row>
    <row r="1942" spans="4:4" ht="15" customHeight="1" x14ac:dyDescent="0.2">
      <c r="D1942" s="848"/>
    </row>
    <row r="1943" spans="4:4" ht="15" customHeight="1" x14ac:dyDescent="0.2">
      <c r="D1943" s="848"/>
    </row>
    <row r="1944" spans="4:4" ht="15" customHeight="1" x14ac:dyDescent="0.2">
      <c r="D1944" s="848"/>
    </row>
    <row r="1945" spans="4:4" ht="15" customHeight="1" x14ac:dyDescent="0.2">
      <c r="D1945" s="848"/>
    </row>
    <row r="1946" spans="4:4" ht="15" customHeight="1" x14ac:dyDescent="0.2">
      <c r="D1946" s="848"/>
    </row>
    <row r="1947" spans="4:4" ht="15" customHeight="1" x14ac:dyDescent="0.2">
      <c r="D1947" s="848"/>
    </row>
    <row r="1948" spans="4:4" ht="15" customHeight="1" x14ac:dyDescent="0.2">
      <c r="D1948" s="848"/>
    </row>
    <row r="1949" spans="4:4" ht="15" customHeight="1" x14ac:dyDescent="0.2">
      <c r="D1949" s="848"/>
    </row>
    <row r="1950" spans="4:4" ht="15" customHeight="1" x14ac:dyDescent="0.2">
      <c r="D1950" s="848"/>
    </row>
    <row r="1951" spans="4:4" ht="15" customHeight="1" x14ac:dyDescent="0.2">
      <c r="D1951" s="848"/>
    </row>
    <row r="1952" spans="4:4" ht="15" customHeight="1" x14ac:dyDescent="0.2">
      <c r="D1952" s="848"/>
    </row>
    <row r="1953" spans="4:4" ht="15" customHeight="1" x14ac:dyDescent="0.2">
      <c r="D1953" s="848"/>
    </row>
    <row r="1954" spans="4:4" ht="15" customHeight="1" x14ac:dyDescent="0.2">
      <c r="D1954" s="848"/>
    </row>
    <row r="1955" spans="4:4" ht="15" customHeight="1" x14ac:dyDescent="0.2">
      <c r="D1955" s="848"/>
    </row>
    <row r="1956" spans="4:4" ht="15" customHeight="1" x14ac:dyDescent="0.2">
      <c r="D1956" s="848"/>
    </row>
    <row r="1957" spans="4:4" ht="15" customHeight="1" x14ac:dyDescent="0.2">
      <c r="D1957" s="848"/>
    </row>
    <row r="1958" spans="4:4" ht="15" customHeight="1" x14ac:dyDescent="0.2">
      <c r="D1958" s="848"/>
    </row>
    <row r="1959" spans="4:4" ht="15" customHeight="1" x14ac:dyDescent="0.2">
      <c r="D1959" s="848"/>
    </row>
    <row r="1960" spans="4:4" ht="15" customHeight="1" x14ac:dyDescent="0.2">
      <c r="D1960" s="848"/>
    </row>
    <row r="1961" spans="4:4" ht="15" customHeight="1" x14ac:dyDescent="0.2">
      <c r="D1961" s="848"/>
    </row>
    <row r="1962" spans="4:4" ht="15" customHeight="1" x14ac:dyDescent="0.2">
      <c r="D1962" s="848"/>
    </row>
    <row r="1963" spans="4:4" ht="15" customHeight="1" x14ac:dyDescent="0.2">
      <c r="D1963" s="848"/>
    </row>
    <row r="1964" spans="4:4" ht="15" customHeight="1" x14ac:dyDescent="0.2">
      <c r="D1964" s="848"/>
    </row>
    <row r="1965" spans="4:4" ht="15" customHeight="1" x14ac:dyDescent="0.2">
      <c r="D1965" s="848"/>
    </row>
    <row r="1966" spans="4:4" ht="15" customHeight="1" x14ac:dyDescent="0.2">
      <c r="D1966" s="848"/>
    </row>
    <row r="1967" spans="4:4" ht="15" customHeight="1" x14ac:dyDescent="0.2">
      <c r="D1967" s="848"/>
    </row>
    <row r="1968" spans="4:4" ht="15" customHeight="1" x14ac:dyDescent="0.2">
      <c r="D1968" s="848"/>
    </row>
    <row r="1969" spans="4:4" ht="15" customHeight="1" x14ac:dyDescent="0.2">
      <c r="D1969" s="848"/>
    </row>
    <row r="1970" spans="4:4" ht="15" customHeight="1" x14ac:dyDescent="0.2">
      <c r="D1970" s="848"/>
    </row>
    <row r="1971" spans="4:4" ht="15" customHeight="1" x14ac:dyDescent="0.2">
      <c r="D1971" s="848"/>
    </row>
    <row r="1972" spans="4:4" ht="15" customHeight="1" x14ac:dyDescent="0.2">
      <c r="D1972" s="848"/>
    </row>
    <row r="1973" spans="4:4" ht="15" customHeight="1" x14ac:dyDescent="0.2">
      <c r="D1973" s="848"/>
    </row>
    <row r="1974" spans="4:4" ht="15" customHeight="1" x14ac:dyDescent="0.2">
      <c r="D1974" s="848"/>
    </row>
    <row r="1975" spans="4:4" ht="15" customHeight="1" x14ac:dyDescent="0.2">
      <c r="D1975" s="848"/>
    </row>
    <row r="1976" spans="4:4" ht="15" customHeight="1" x14ac:dyDescent="0.2">
      <c r="D1976" s="848"/>
    </row>
    <row r="1977" spans="4:4" ht="15" customHeight="1" x14ac:dyDescent="0.2">
      <c r="D1977" s="848"/>
    </row>
    <row r="1978" spans="4:4" ht="15" customHeight="1" x14ac:dyDescent="0.2">
      <c r="D1978" s="848"/>
    </row>
    <row r="1979" spans="4:4" ht="15" customHeight="1" x14ac:dyDescent="0.2">
      <c r="D1979" s="848"/>
    </row>
    <row r="1980" spans="4:4" ht="15" customHeight="1" x14ac:dyDescent="0.2">
      <c r="D1980" s="848"/>
    </row>
    <row r="1981" spans="4:4" ht="15" customHeight="1" x14ac:dyDescent="0.2">
      <c r="D1981" s="848"/>
    </row>
    <row r="1982" spans="4:4" ht="15" customHeight="1" x14ac:dyDescent="0.2">
      <c r="D1982" s="848"/>
    </row>
    <row r="1983" spans="4:4" ht="15" customHeight="1" x14ac:dyDescent="0.2">
      <c r="D1983" s="848"/>
    </row>
    <row r="1984" spans="4:4" ht="15" customHeight="1" x14ac:dyDescent="0.2">
      <c r="D1984" s="848"/>
    </row>
    <row r="1985" spans="4:4" ht="15" customHeight="1" x14ac:dyDescent="0.2">
      <c r="D1985" s="848"/>
    </row>
    <row r="1986" spans="4:4" ht="15" customHeight="1" x14ac:dyDescent="0.2">
      <c r="D1986" s="848"/>
    </row>
    <row r="1987" spans="4:4" ht="15" customHeight="1" x14ac:dyDescent="0.2">
      <c r="D1987" s="848"/>
    </row>
    <row r="1988" spans="4:4" ht="15" customHeight="1" x14ac:dyDescent="0.2">
      <c r="D1988" s="848"/>
    </row>
    <row r="1989" spans="4:4" ht="15" customHeight="1" x14ac:dyDescent="0.2">
      <c r="D1989" s="848"/>
    </row>
    <row r="1990" spans="4:4" ht="15" customHeight="1" x14ac:dyDescent="0.2">
      <c r="D1990" s="848"/>
    </row>
    <row r="1991" spans="4:4" ht="15" customHeight="1" x14ac:dyDescent="0.2">
      <c r="D1991" s="848"/>
    </row>
    <row r="1992" spans="4:4" ht="15" customHeight="1" x14ac:dyDescent="0.2">
      <c r="D1992" s="848"/>
    </row>
    <row r="1993" spans="4:4" ht="15" customHeight="1" x14ac:dyDescent="0.2">
      <c r="D1993" s="848"/>
    </row>
    <row r="1994" spans="4:4" ht="15" customHeight="1" x14ac:dyDescent="0.2">
      <c r="D1994" s="848"/>
    </row>
    <row r="1995" spans="4:4" ht="15" customHeight="1" x14ac:dyDescent="0.2">
      <c r="D1995" s="848"/>
    </row>
    <row r="1996" spans="4:4" ht="15" customHeight="1" x14ac:dyDescent="0.2">
      <c r="D1996" s="848"/>
    </row>
    <row r="1997" spans="4:4" ht="15" customHeight="1" x14ac:dyDescent="0.2">
      <c r="D1997" s="848"/>
    </row>
    <row r="1998" spans="4:4" ht="15" customHeight="1" x14ac:dyDescent="0.2">
      <c r="D1998" s="848"/>
    </row>
    <row r="1999" spans="4:4" ht="15" customHeight="1" x14ac:dyDescent="0.2">
      <c r="D1999" s="848"/>
    </row>
    <row r="2000" spans="4:4" ht="15" customHeight="1" x14ac:dyDescent="0.2">
      <c r="D2000" s="848"/>
    </row>
    <row r="2001" spans="4:4" ht="15" customHeight="1" x14ac:dyDescent="0.2">
      <c r="D2001" s="848"/>
    </row>
    <row r="2002" spans="4:4" ht="15" customHeight="1" x14ac:dyDescent="0.2">
      <c r="D2002" s="848"/>
    </row>
    <row r="2003" spans="4:4" ht="15" customHeight="1" x14ac:dyDescent="0.2">
      <c r="D2003" s="848"/>
    </row>
    <row r="2004" spans="4:4" ht="15" customHeight="1" x14ac:dyDescent="0.2">
      <c r="D2004" s="848"/>
    </row>
    <row r="2005" spans="4:4" ht="15" customHeight="1" x14ac:dyDescent="0.2">
      <c r="D2005" s="848"/>
    </row>
    <row r="2006" spans="4:4" ht="15" customHeight="1" x14ac:dyDescent="0.2">
      <c r="D2006" s="848"/>
    </row>
    <row r="2007" spans="4:4" ht="15" customHeight="1" x14ac:dyDescent="0.2">
      <c r="D2007" s="848"/>
    </row>
    <row r="2008" spans="4:4" ht="15" customHeight="1" x14ac:dyDescent="0.2">
      <c r="D2008" s="848"/>
    </row>
    <row r="2009" spans="4:4" ht="15" customHeight="1" x14ac:dyDescent="0.2">
      <c r="D2009" s="848"/>
    </row>
    <row r="2010" spans="4:4" ht="15" customHeight="1" x14ac:dyDescent="0.2">
      <c r="D2010" s="848"/>
    </row>
    <row r="2011" spans="4:4" ht="15" customHeight="1" x14ac:dyDescent="0.2">
      <c r="D2011" s="848"/>
    </row>
    <row r="2012" spans="4:4" ht="15" customHeight="1" x14ac:dyDescent="0.2">
      <c r="D2012" s="848"/>
    </row>
    <row r="2013" spans="4:4" ht="15" customHeight="1" x14ac:dyDescent="0.2">
      <c r="D2013" s="848"/>
    </row>
    <row r="2014" spans="4:4" ht="15" customHeight="1" x14ac:dyDescent="0.2">
      <c r="D2014" s="848"/>
    </row>
    <row r="2015" spans="4:4" ht="15" customHeight="1" x14ac:dyDescent="0.2">
      <c r="D2015" s="848"/>
    </row>
    <row r="2016" spans="4:4" ht="15" customHeight="1" x14ac:dyDescent="0.2">
      <c r="D2016" s="848"/>
    </row>
    <row r="2017" spans="4:4" ht="15" customHeight="1" x14ac:dyDescent="0.2">
      <c r="D2017" s="848"/>
    </row>
    <row r="2018" spans="4:4" ht="15" customHeight="1" x14ac:dyDescent="0.2">
      <c r="D2018" s="848"/>
    </row>
    <row r="2019" spans="4:4" ht="15" customHeight="1" x14ac:dyDescent="0.2">
      <c r="D2019" s="848"/>
    </row>
    <row r="2020" spans="4:4" ht="15" customHeight="1" x14ac:dyDescent="0.2">
      <c r="D2020" s="848"/>
    </row>
    <row r="2021" spans="4:4" ht="15" customHeight="1" x14ac:dyDescent="0.2">
      <c r="D2021" s="848"/>
    </row>
    <row r="2022" spans="4:4" ht="15" customHeight="1" x14ac:dyDescent="0.2">
      <c r="D2022" s="848"/>
    </row>
    <row r="2023" spans="4:4" ht="15" customHeight="1" x14ac:dyDescent="0.2">
      <c r="D2023" s="848"/>
    </row>
    <row r="2024" spans="4:4" ht="15" customHeight="1" x14ac:dyDescent="0.2">
      <c r="D2024" s="848"/>
    </row>
    <row r="2025" spans="4:4" ht="15" customHeight="1" x14ac:dyDescent="0.2">
      <c r="D2025" s="848"/>
    </row>
    <row r="2026" spans="4:4" ht="15" customHeight="1" x14ac:dyDescent="0.2">
      <c r="D2026" s="848"/>
    </row>
    <row r="2027" spans="4:4" ht="15" customHeight="1" x14ac:dyDescent="0.2">
      <c r="D2027" s="848"/>
    </row>
    <row r="2028" spans="4:4" ht="15" customHeight="1" x14ac:dyDescent="0.2">
      <c r="D2028" s="848"/>
    </row>
    <row r="2029" spans="4:4" ht="15" customHeight="1" x14ac:dyDescent="0.2">
      <c r="D2029" s="848"/>
    </row>
    <row r="2030" spans="4:4" ht="15" customHeight="1" x14ac:dyDescent="0.2">
      <c r="D2030" s="848"/>
    </row>
    <row r="2031" spans="4:4" ht="15" customHeight="1" x14ac:dyDescent="0.2">
      <c r="D2031" s="848"/>
    </row>
    <row r="2032" spans="4:4" ht="15" customHeight="1" x14ac:dyDescent="0.2">
      <c r="D2032" s="848"/>
    </row>
    <row r="2033" spans="4:4" ht="15" customHeight="1" x14ac:dyDescent="0.2">
      <c r="D2033" s="848"/>
    </row>
    <row r="2034" spans="4:4" ht="15" customHeight="1" x14ac:dyDescent="0.2">
      <c r="D2034" s="848"/>
    </row>
    <row r="2035" spans="4:4" ht="15" customHeight="1" x14ac:dyDescent="0.2">
      <c r="D2035" s="848"/>
    </row>
    <row r="2036" spans="4:4" ht="15" customHeight="1" x14ac:dyDescent="0.2">
      <c r="D2036" s="848"/>
    </row>
    <row r="2037" spans="4:4" ht="15" customHeight="1" x14ac:dyDescent="0.2">
      <c r="D2037" s="848"/>
    </row>
    <row r="2038" spans="4:4" ht="15" customHeight="1" x14ac:dyDescent="0.2">
      <c r="D2038" s="848"/>
    </row>
    <row r="2039" spans="4:4" ht="15" customHeight="1" x14ac:dyDescent="0.2">
      <c r="D2039" s="848"/>
    </row>
    <row r="2040" spans="4:4" ht="15" customHeight="1" x14ac:dyDescent="0.2">
      <c r="D2040" s="848"/>
    </row>
    <row r="2041" spans="4:4" ht="15" customHeight="1" x14ac:dyDescent="0.2">
      <c r="D2041" s="848"/>
    </row>
    <row r="2042" spans="4:4" ht="15" customHeight="1" x14ac:dyDescent="0.2">
      <c r="D2042" s="848"/>
    </row>
    <row r="2043" spans="4:4" ht="15" customHeight="1" x14ac:dyDescent="0.2">
      <c r="D2043" s="848"/>
    </row>
    <row r="2044" spans="4:4" ht="15" customHeight="1" x14ac:dyDescent="0.2">
      <c r="D2044" s="848"/>
    </row>
    <row r="2045" spans="4:4" ht="15" customHeight="1" x14ac:dyDescent="0.2">
      <c r="D2045" s="848"/>
    </row>
    <row r="2046" spans="4:4" ht="15" customHeight="1" x14ac:dyDescent="0.2">
      <c r="D2046" s="848"/>
    </row>
    <row r="2047" spans="4:4" ht="15" customHeight="1" x14ac:dyDescent="0.2">
      <c r="D2047" s="848"/>
    </row>
    <row r="2048" spans="4:4" ht="15" customHeight="1" x14ac:dyDescent="0.2">
      <c r="D2048" s="848"/>
    </row>
    <row r="2049" spans="4:4" ht="15" customHeight="1" x14ac:dyDescent="0.2">
      <c r="D2049" s="848"/>
    </row>
    <row r="2050" spans="4:4" ht="15" customHeight="1" x14ac:dyDescent="0.2">
      <c r="D2050" s="848"/>
    </row>
    <row r="2051" spans="4:4" ht="15" customHeight="1" x14ac:dyDescent="0.2">
      <c r="D2051" s="848"/>
    </row>
    <row r="2052" spans="4:4" ht="15" customHeight="1" x14ac:dyDescent="0.2">
      <c r="D2052" s="848"/>
    </row>
    <row r="2053" spans="4:4" ht="15" customHeight="1" x14ac:dyDescent="0.2">
      <c r="D2053" s="848"/>
    </row>
    <row r="2054" spans="4:4" ht="15" customHeight="1" x14ac:dyDescent="0.2">
      <c r="D2054" s="848"/>
    </row>
    <row r="2055" spans="4:4" ht="15" customHeight="1" x14ac:dyDescent="0.2">
      <c r="D2055" s="848"/>
    </row>
    <row r="2056" spans="4:4" ht="15" customHeight="1" x14ac:dyDescent="0.2">
      <c r="D2056" s="848"/>
    </row>
    <row r="2057" spans="4:4" ht="15" customHeight="1" x14ac:dyDescent="0.2">
      <c r="D2057" s="848"/>
    </row>
    <row r="2058" spans="4:4" ht="15" customHeight="1" x14ac:dyDescent="0.2">
      <c r="D2058" s="848"/>
    </row>
    <row r="2059" spans="4:4" ht="15" customHeight="1" x14ac:dyDescent="0.2">
      <c r="D2059" s="848"/>
    </row>
    <row r="2060" spans="4:4" ht="15" customHeight="1" x14ac:dyDescent="0.2">
      <c r="D2060" s="848"/>
    </row>
    <row r="2061" spans="4:4" ht="15" customHeight="1" x14ac:dyDescent="0.2">
      <c r="D2061" s="848"/>
    </row>
    <row r="2062" spans="4:4" ht="15" customHeight="1" x14ac:dyDescent="0.2">
      <c r="D2062" s="848"/>
    </row>
    <row r="2063" spans="4:4" ht="15" customHeight="1" x14ac:dyDescent="0.2">
      <c r="D2063" s="848"/>
    </row>
    <row r="2064" spans="4:4" ht="15" customHeight="1" x14ac:dyDescent="0.2">
      <c r="D2064" s="848"/>
    </row>
    <row r="2065" spans="4:4" ht="15" customHeight="1" x14ac:dyDescent="0.2">
      <c r="D2065" s="848"/>
    </row>
    <row r="2066" spans="4:4" ht="15" customHeight="1" x14ac:dyDescent="0.2">
      <c r="D2066" s="848"/>
    </row>
    <row r="2067" spans="4:4" ht="15" customHeight="1" x14ac:dyDescent="0.2">
      <c r="D2067" s="848"/>
    </row>
    <row r="2068" spans="4:4" ht="15" customHeight="1" x14ac:dyDescent="0.2">
      <c r="D2068" s="848"/>
    </row>
    <row r="2069" spans="4:4" ht="15" customHeight="1" x14ac:dyDescent="0.2">
      <c r="D2069" s="848"/>
    </row>
    <row r="2070" spans="4:4" ht="15" customHeight="1" x14ac:dyDescent="0.2">
      <c r="D2070" s="848"/>
    </row>
    <row r="2071" spans="4:4" ht="15" customHeight="1" x14ac:dyDescent="0.2">
      <c r="D2071" s="848"/>
    </row>
    <row r="2072" spans="4:4" ht="15" customHeight="1" x14ac:dyDescent="0.2">
      <c r="D2072" s="848"/>
    </row>
    <row r="2073" spans="4:4" ht="15" customHeight="1" x14ac:dyDescent="0.2">
      <c r="D2073" s="848"/>
    </row>
    <row r="2074" spans="4:4" ht="15" customHeight="1" x14ac:dyDescent="0.2">
      <c r="D2074" s="848"/>
    </row>
    <row r="2075" spans="4:4" ht="15" customHeight="1" x14ac:dyDescent="0.2">
      <c r="D2075" s="848"/>
    </row>
    <row r="2076" spans="4:4" ht="15" customHeight="1" x14ac:dyDescent="0.2">
      <c r="D2076" s="848"/>
    </row>
    <row r="2077" spans="4:4" ht="15" customHeight="1" x14ac:dyDescent="0.2">
      <c r="D2077" s="848"/>
    </row>
    <row r="2078" spans="4:4" ht="15" customHeight="1" x14ac:dyDescent="0.2">
      <c r="D2078" s="848"/>
    </row>
    <row r="2079" spans="4:4" ht="15" customHeight="1" x14ac:dyDescent="0.2">
      <c r="D2079" s="848"/>
    </row>
    <row r="2080" spans="4:4" ht="15" customHeight="1" x14ac:dyDescent="0.2">
      <c r="D2080" s="848"/>
    </row>
    <row r="2081" spans="4:4" ht="15" customHeight="1" x14ac:dyDescent="0.2">
      <c r="D2081" s="848"/>
    </row>
    <row r="2082" spans="4:4" ht="15" customHeight="1" x14ac:dyDescent="0.2">
      <c r="D2082" s="848"/>
    </row>
    <row r="2083" spans="4:4" ht="15" customHeight="1" x14ac:dyDescent="0.2">
      <c r="D2083" s="848"/>
    </row>
    <row r="2084" spans="4:4" ht="15" customHeight="1" x14ac:dyDescent="0.2">
      <c r="D2084" s="848"/>
    </row>
    <row r="2085" spans="4:4" ht="15" customHeight="1" x14ac:dyDescent="0.2">
      <c r="D2085" s="848"/>
    </row>
    <row r="2086" spans="4:4" ht="15" customHeight="1" x14ac:dyDescent="0.2">
      <c r="D2086" s="848"/>
    </row>
    <row r="2087" spans="4:4" ht="15" customHeight="1" x14ac:dyDescent="0.2">
      <c r="D2087" s="848"/>
    </row>
    <row r="2088" spans="4:4" ht="15" customHeight="1" x14ac:dyDescent="0.2">
      <c r="D2088" s="848"/>
    </row>
    <row r="2089" spans="4:4" ht="15" customHeight="1" x14ac:dyDescent="0.2">
      <c r="D2089" s="848"/>
    </row>
    <row r="2090" spans="4:4" ht="15" customHeight="1" x14ac:dyDescent="0.2">
      <c r="D2090" s="848"/>
    </row>
    <row r="2091" spans="4:4" ht="15" customHeight="1" x14ac:dyDescent="0.2">
      <c r="D2091" s="848"/>
    </row>
    <row r="2092" spans="4:4" ht="15" customHeight="1" x14ac:dyDescent="0.2">
      <c r="D2092" s="848"/>
    </row>
    <row r="2093" spans="4:4" ht="15" customHeight="1" x14ac:dyDescent="0.2">
      <c r="D2093" s="848"/>
    </row>
    <row r="2094" spans="4:4" ht="15" customHeight="1" x14ac:dyDescent="0.2">
      <c r="D2094" s="848"/>
    </row>
    <row r="2095" spans="4:4" ht="15" customHeight="1" x14ac:dyDescent="0.2">
      <c r="D2095" s="848"/>
    </row>
    <row r="2096" spans="4:4" ht="15" customHeight="1" x14ac:dyDescent="0.2">
      <c r="D2096" s="848"/>
    </row>
    <row r="2097" spans="4:4" ht="15" customHeight="1" x14ac:dyDescent="0.2">
      <c r="D2097" s="848"/>
    </row>
    <row r="2098" spans="4:4" ht="15" customHeight="1" x14ac:dyDescent="0.2">
      <c r="D2098" s="848"/>
    </row>
    <row r="2099" spans="4:4" ht="15" customHeight="1" x14ac:dyDescent="0.2">
      <c r="D2099" s="848"/>
    </row>
    <row r="2100" spans="4:4" ht="15" customHeight="1" x14ac:dyDescent="0.2">
      <c r="D2100" s="848"/>
    </row>
    <row r="2101" spans="4:4" ht="15" customHeight="1" x14ac:dyDescent="0.2">
      <c r="D2101" s="848"/>
    </row>
    <row r="2102" spans="4:4" ht="15" customHeight="1" x14ac:dyDescent="0.2">
      <c r="D2102" s="848"/>
    </row>
    <row r="2103" spans="4:4" ht="15" customHeight="1" x14ac:dyDescent="0.2">
      <c r="D2103" s="848"/>
    </row>
    <row r="2104" spans="4:4" ht="15" customHeight="1" x14ac:dyDescent="0.2">
      <c r="D2104" s="848"/>
    </row>
    <row r="2105" spans="4:4" ht="15" customHeight="1" x14ac:dyDescent="0.2">
      <c r="D2105" s="848"/>
    </row>
    <row r="2106" spans="4:4" ht="15" customHeight="1" x14ac:dyDescent="0.2">
      <c r="D2106" s="848"/>
    </row>
    <row r="2107" spans="4:4" ht="15" customHeight="1" x14ac:dyDescent="0.2">
      <c r="D2107" s="848"/>
    </row>
    <row r="2108" spans="4:4" ht="15" customHeight="1" x14ac:dyDescent="0.2">
      <c r="D2108" s="848"/>
    </row>
    <row r="2109" spans="4:4" ht="15" customHeight="1" x14ac:dyDescent="0.2">
      <c r="D2109" s="848"/>
    </row>
    <row r="2110" spans="4:4" ht="15" customHeight="1" x14ac:dyDescent="0.2">
      <c r="D2110" s="848"/>
    </row>
    <row r="2111" spans="4:4" ht="15" customHeight="1" x14ac:dyDescent="0.2">
      <c r="D2111" s="848"/>
    </row>
    <row r="2112" spans="4:4" ht="15" customHeight="1" x14ac:dyDescent="0.2">
      <c r="D2112" s="848"/>
    </row>
    <row r="2113" spans="4:4" ht="15" customHeight="1" x14ac:dyDescent="0.2">
      <c r="D2113" s="848"/>
    </row>
    <row r="2114" spans="4:4" ht="15" customHeight="1" x14ac:dyDescent="0.2">
      <c r="D2114" s="848"/>
    </row>
    <row r="2115" spans="4:4" ht="15" customHeight="1" x14ac:dyDescent="0.2">
      <c r="D2115" s="848"/>
    </row>
    <row r="2116" spans="4:4" ht="15" customHeight="1" x14ac:dyDescent="0.2">
      <c r="D2116" s="848"/>
    </row>
    <row r="2117" spans="4:4" ht="15" customHeight="1" x14ac:dyDescent="0.2">
      <c r="D2117" s="848"/>
    </row>
    <row r="2118" spans="4:4" ht="15" customHeight="1" x14ac:dyDescent="0.2">
      <c r="D2118" s="848"/>
    </row>
    <row r="2119" spans="4:4" ht="15" customHeight="1" x14ac:dyDescent="0.2">
      <c r="D2119" s="848"/>
    </row>
    <row r="2120" spans="4:4" ht="15" customHeight="1" x14ac:dyDescent="0.2">
      <c r="D2120" s="848"/>
    </row>
    <row r="2121" spans="4:4" ht="15" customHeight="1" x14ac:dyDescent="0.2">
      <c r="D2121" s="848"/>
    </row>
    <row r="2122" spans="4:4" ht="15" customHeight="1" x14ac:dyDescent="0.2">
      <c r="D2122" s="848"/>
    </row>
    <row r="2123" spans="4:4" ht="15" customHeight="1" x14ac:dyDescent="0.2">
      <c r="D2123" s="848"/>
    </row>
    <row r="2124" spans="4:4" ht="15" customHeight="1" x14ac:dyDescent="0.2">
      <c r="D2124" s="848"/>
    </row>
    <row r="2125" spans="4:4" ht="15" customHeight="1" x14ac:dyDescent="0.2">
      <c r="D2125" s="848"/>
    </row>
    <row r="2126" spans="4:4" ht="15" customHeight="1" x14ac:dyDescent="0.2">
      <c r="D2126" s="848"/>
    </row>
    <row r="2127" spans="4:4" ht="15" customHeight="1" x14ac:dyDescent="0.2">
      <c r="D2127" s="848"/>
    </row>
    <row r="2128" spans="4:4" ht="15" customHeight="1" x14ac:dyDescent="0.2">
      <c r="D2128" s="848"/>
    </row>
    <row r="2129" spans="4:4" ht="15" customHeight="1" x14ac:dyDescent="0.2">
      <c r="D2129" s="848"/>
    </row>
    <row r="2130" spans="4:4" ht="15" customHeight="1" x14ac:dyDescent="0.2">
      <c r="D2130" s="848"/>
    </row>
    <row r="2131" spans="4:4" ht="15" customHeight="1" x14ac:dyDescent="0.2">
      <c r="D2131" s="848"/>
    </row>
    <row r="2132" spans="4:4" ht="15" customHeight="1" x14ac:dyDescent="0.2">
      <c r="D2132" s="848"/>
    </row>
    <row r="2133" spans="4:4" ht="15" customHeight="1" x14ac:dyDescent="0.2">
      <c r="D2133" s="848"/>
    </row>
    <row r="2134" spans="4:4" ht="15" customHeight="1" x14ac:dyDescent="0.2">
      <c r="D2134" s="848"/>
    </row>
    <row r="2135" spans="4:4" ht="15" customHeight="1" x14ac:dyDescent="0.2">
      <c r="D2135" s="848"/>
    </row>
    <row r="2136" spans="4:4" ht="15" customHeight="1" x14ac:dyDescent="0.2">
      <c r="D2136" s="848"/>
    </row>
    <row r="2137" spans="4:4" ht="15" customHeight="1" x14ac:dyDescent="0.2">
      <c r="D2137" s="848"/>
    </row>
    <row r="2138" spans="4:4" ht="15" customHeight="1" x14ac:dyDescent="0.2">
      <c r="D2138" s="848"/>
    </row>
    <row r="2139" spans="4:4" ht="15" customHeight="1" x14ac:dyDescent="0.2">
      <c r="D2139" s="848"/>
    </row>
    <row r="2140" spans="4:4" ht="15" customHeight="1" x14ac:dyDescent="0.2">
      <c r="D2140" s="848"/>
    </row>
    <row r="2141" spans="4:4" ht="15" customHeight="1" x14ac:dyDescent="0.2">
      <c r="D2141" s="848"/>
    </row>
    <row r="2142" spans="4:4" ht="15" customHeight="1" x14ac:dyDescent="0.2">
      <c r="D2142" s="848"/>
    </row>
    <row r="2143" spans="4:4" ht="15" customHeight="1" x14ac:dyDescent="0.2">
      <c r="D2143" s="848"/>
    </row>
    <row r="2144" spans="4:4" ht="15" customHeight="1" x14ac:dyDescent="0.2">
      <c r="D2144" s="848"/>
    </row>
    <row r="2145" spans="4:4" ht="15" customHeight="1" x14ac:dyDescent="0.2">
      <c r="D2145" s="848"/>
    </row>
    <row r="2146" spans="4:4" ht="15" customHeight="1" x14ac:dyDescent="0.2">
      <c r="D2146" s="848"/>
    </row>
    <row r="2147" spans="4:4" ht="15" customHeight="1" x14ac:dyDescent="0.2">
      <c r="D2147" s="848"/>
    </row>
    <row r="2148" spans="4:4" ht="15" customHeight="1" x14ac:dyDescent="0.2">
      <c r="D2148" s="848"/>
    </row>
    <row r="2149" spans="4:4" ht="15" customHeight="1" x14ac:dyDescent="0.2">
      <c r="D2149" s="848"/>
    </row>
    <row r="2150" spans="4:4" ht="15" customHeight="1" x14ac:dyDescent="0.2">
      <c r="D2150" s="848"/>
    </row>
    <row r="2151" spans="4:4" ht="15" customHeight="1" x14ac:dyDescent="0.2">
      <c r="D2151" s="848"/>
    </row>
    <row r="2152" spans="4:4" ht="15" customHeight="1" x14ac:dyDescent="0.2">
      <c r="D2152" s="848"/>
    </row>
    <row r="2153" spans="4:4" ht="15" customHeight="1" x14ac:dyDescent="0.2">
      <c r="D2153" s="848"/>
    </row>
    <row r="2154" spans="4:4" ht="15" customHeight="1" x14ac:dyDescent="0.2">
      <c r="D2154" s="848"/>
    </row>
    <row r="2155" spans="4:4" ht="15" customHeight="1" x14ac:dyDescent="0.2">
      <c r="D2155" s="848"/>
    </row>
    <row r="2156" spans="4:4" ht="15" customHeight="1" x14ac:dyDescent="0.2">
      <c r="D2156" s="848"/>
    </row>
    <row r="2157" spans="4:4" ht="15" customHeight="1" x14ac:dyDescent="0.2">
      <c r="D2157" s="848"/>
    </row>
    <row r="2158" spans="4:4" ht="15" customHeight="1" x14ac:dyDescent="0.2">
      <c r="D2158" s="848"/>
    </row>
    <row r="2159" spans="4:4" ht="15" customHeight="1" x14ac:dyDescent="0.2">
      <c r="D2159" s="848"/>
    </row>
    <row r="2160" spans="4:4" ht="15" customHeight="1" x14ac:dyDescent="0.2">
      <c r="D2160" s="848"/>
    </row>
    <row r="2161" spans="4:4" ht="15" customHeight="1" x14ac:dyDescent="0.2">
      <c r="D2161" s="848"/>
    </row>
    <row r="2162" spans="4:4" ht="15" customHeight="1" x14ac:dyDescent="0.2">
      <c r="D2162" s="848"/>
    </row>
    <row r="2163" spans="4:4" ht="15" customHeight="1" x14ac:dyDescent="0.2">
      <c r="D2163" s="848"/>
    </row>
    <row r="2164" spans="4:4" ht="15" customHeight="1" x14ac:dyDescent="0.2">
      <c r="D2164" s="848"/>
    </row>
    <row r="2165" spans="4:4" ht="15" customHeight="1" x14ac:dyDescent="0.2">
      <c r="D2165" s="848"/>
    </row>
    <row r="2166" spans="4:4" ht="15" customHeight="1" x14ac:dyDescent="0.2">
      <c r="D2166" s="848"/>
    </row>
    <row r="2167" spans="4:4" ht="15" customHeight="1" x14ac:dyDescent="0.2">
      <c r="D2167" s="848"/>
    </row>
    <row r="2168" spans="4:4" ht="15" customHeight="1" x14ac:dyDescent="0.2">
      <c r="D2168" s="848"/>
    </row>
    <row r="2169" spans="4:4" ht="15" customHeight="1" x14ac:dyDescent="0.2">
      <c r="D2169" s="848"/>
    </row>
    <row r="2170" spans="4:4" ht="15" customHeight="1" x14ac:dyDescent="0.2">
      <c r="D2170" s="848"/>
    </row>
    <row r="2171" spans="4:4" ht="15" customHeight="1" x14ac:dyDescent="0.2">
      <c r="D2171" s="848"/>
    </row>
    <row r="2172" spans="4:4" ht="15" customHeight="1" x14ac:dyDescent="0.2">
      <c r="D2172" s="848"/>
    </row>
    <row r="2173" spans="4:4" ht="15" customHeight="1" x14ac:dyDescent="0.2">
      <c r="D2173" s="848"/>
    </row>
    <row r="2174" spans="4:4" ht="15" customHeight="1" x14ac:dyDescent="0.2">
      <c r="D2174" s="848"/>
    </row>
    <row r="2175" spans="4:4" ht="15" customHeight="1" x14ac:dyDescent="0.2">
      <c r="D2175" s="848"/>
    </row>
    <row r="2176" spans="4:4" ht="15" customHeight="1" x14ac:dyDescent="0.2">
      <c r="D2176" s="848"/>
    </row>
    <row r="2177" spans="4:4" ht="15" customHeight="1" x14ac:dyDescent="0.2">
      <c r="D2177" s="848"/>
    </row>
    <row r="2178" spans="4:4" ht="15" customHeight="1" x14ac:dyDescent="0.2">
      <c r="D2178" s="848"/>
    </row>
    <row r="2179" spans="4:4" ht="15" customHeight="1" x14ac:dyDescent="0.2">
      <c r="D2179" s="848"/>
    </row>
    <row r="2180" spans="4:4" ht="15" customHeight="1" x14ac:dyDescent="0.2">
      <c r="D2180" s="848"/>
    </row>
    <row r="2181" spans="4:4" ht="15" customHeight="1" x14ac:dyDescent="0.2">
      <c r="D2181" s="848"/>
    </row>
    <row r="2182" spans="4:4" ht="15" customHeight="1" x14ac:dyDescent="0.2">
      <c r="D2182" s="848"/>
    </row>
    <row r="2183" spans="4:4" ht="15" customHeight="1" x14ac:dyDescent="0.2">
      <c r="D2183" s="848"/>
    </row>
    <row r="2184" spans="4:4" ht="15" customHeight="1" x14ac:dyDescent="0.2">
      <c r="D2184" s="848"/>
    </row>
    <row r="2185" spans="4:4" ht="15" customHeight="1" x14ac:dyDescent="0.2">
      <c r="D2185" s="848"/>
    </row>
    <row r="2186" spans="4:4" ht="15" customHeight="1" x14ac:dyDescent="0.2">
      <c r="D2186" s="848"/>
    </row>
    <row r="2187" spans="4:4" ht="15" customHeight="1" x14ac:dyDescent="0.2">
      <c r="D2187" s="848"/>
    </row>
    <row r="2188" spans="4:4" ht="15" customHeight="1" x14ac:dyDescent="0.2">
      <c r="D2188" s="848"/>
    </row>
    <row r="2189" spans="4:4" ht="15" customHeight="1" x14ac:dyDescent="0.2">
      <c r="D2189" s="848"/>
    </row>
    <row r="2190" spans="4:4" ht="15" customHeight="1" x14ac:dyDescent="0.2">
      <c r="D2190" s="848"/>
    </row>
  </sheetData>
  <sheetProtection algorithmName="SHA-512" hashValue="y+Ta/6+YMHfOAh8UHJVWHpkX28m1+0K0U/xFQdHMhiL0nRHO0mT1oFjPtBN5p/WsrD6qiW8ZZXgxeOCAHjcRcQ==" saltValue="ru/WPKyqtkB53wiZMrRDyg==" spinCount="100000" sheet="1" formatCells="0" formatColumns="0" formatRows="0" insertColumns="0" insertRows="0"/>
  <sortState xmlns:xlrd2="http://schemas.microsoft.com/office/spreadsheetml/2017/richdata2" columnSort="1" ref="E2:DS2719">
    <sortCondition ref="E2:DS2"/>
  </sortState>
  <customSheetViews>
    <customSheetView guid="{B8E02330-2419-4DE6-AD01-7ACC7A5D18DD}" scale="90" topLeftCell="A96">
      <selection activeCell="C101" sqref="C101:C102"/>
      <rowBreaks count="16" manualBreakCount="16">
        <brk id="9" max="4" man="1"/>
        <brk id="26" max="4" man="1"/>
        <brk id="45" max="4" man="1"/>
        <brk id="82" max="4" man="1"/>
        <brk id="100" max="4" man="1"/>
        <brk id="124" max="4" man="1"/>
        <brk id="148" max="4" man="1"/>
        <brk id="166" max="4" man="1"/>
        <brk id="196" max="4" man="1"/>
        <brk id="220" max="4" man="1"/>
        <brk id="236" max="4" man="1"/>
        <brk id="267" max="4" man="1"/>
        <brk id="287" max="4" man="1"/>
        <brk id="306" max="4" man="1"/>
        <brk id="333" max="4" man="1"/>
        <brk id="363" max="4" man="1"/>
      </rowBreaks>
      <pageMargins left="0.25" right="0.25" top="0.75" bottom="0.75" header="0.3" footer="0.3"/>
      <printOptions headings="1"/>
      <pageSetup scale="85" orientation="landscape" r:id="rId1"/>
      <headerFooter alignWithMargins="0">
        <oddFooter>&amp;LWESPUS betaV1, by Dr. Paul Adamus</oddFooter>
      </headerFooter>
    </customSheetView>
  </customSheetViews>
  <mergeCells count="171">
    <mergeCell ref="A2:E2"/>
    <mergeCell ref="D1:E1"/>
    <mergeCell ref="F1:F2"/>
    <mergeCell ref="G1:G2"/>
    <mergeCell ref="A246:C246"/>
    <mergeCell ref="A24:C24"/>
    <mergeCell ref="A1:B1"/>
    <mergeCell ref="E303:E306"/>
    <mergeCell ref="E256:E260"/>
    <mergeCell ref="E262:E268"/>
    <mergeCell ref="E269:E273"/>
    <mergeCell ref="E274:E277"/>
    <mergeCell ref="E278:E281"/>
    <mergeCell ref="E282:E288"/>
    <mergeCell ref="E289:E293"/>
    <mergeCell ref="E296:E302"/>
    <mergeCell ref="E212:E215"/>
    <mergeCell ref="E218:E223"/>
    <mergeCell ref="E224:E227"/>
    <mergeCell ref="E228:E232"/>
    <mergeCell ref="E233:E236"/>
    <mergeCell ref="E237:E240"/>
    <mergeCell ref="E241:E245"/>
    <mergeCell ref="E247:E252"/>
    <mergeCell ref="E134:E139"/>
    <mergeCell ref="E140:E145"/>
    <mergeCell ref="E146:E151"/>
    <mergeCell ref="E153:E158"/>
    <mergeCell ref="E253:E255"/>
    <mergeCell ref="E159:E162"/>
    <mergeCell ref="E163:E168"/>
    <mergeCell ref="E170:E176"/>
    <mergeCell ref="E177:E183"/>
    <mergeCell ref="E184:E189"/>
    <mergeCell ref="E190:E194"/>
    <mergeCell ref="E195:E198"/>
    <mergeCell ref="E200:E203"/>
    <mergeCell ref="E206:E211"/>
    <mergeCell ref="A11:C11"/>
    <mergeCell ref="A12:A16"/>
    <mergeCell ref="A4:A10"/>
    <mergeCell ref="B4:B10"/>
    <mergeCell ref="E105:E107"/>
    <mergeCell ref="E108:E113"/>
    <mergeCell ref="E114:E118"/>
    <mergeCell ref="E121:E127"/>
    <mergeCell ref="E128:E133"/>
    <mergeCell ref="E57:E62"/>
    <mergeCell ref="E63:E68"/>
    <mergeCell ref="E69:E72"/>
    <mergeCell ref="E73:E76"/>
    <mergeCell ref="E77:E82"/>
    <mergeCell ref="E83:E87"/>
    <mergeCell ref="E88:E93"/>
    <mergeCell ref="E94:E99"/>
    <mergeCell ref="E100:E104"/>
    <mergeCell ref="E4:E10"/>
    <mergeCell ref="E12:E16"/>
    <mergeCell ref="E17:E23"/>
    <mergeCell ref="E28:E36"/>
    <mergeCell ref="E37:E43"/>
    <mergeCell ref="E44:E47"/>
    <mergeCell ref="E48:E50"/>
    <mergeCell ref="E25:E27"/>
    <mergeCell ref="E51:E56"/>
    <mergeCell ref="A159:A162"/>
    <mergeCell ref="B159:B162"/>
    <mergeCell ref="A170:A176"/>
    <mergeCell ref="B170:B176"/>
    <mergeCell ref="A177:A183"/>
    <mergeCell ref="B108:B113"/>
    <mergeCell ref="B177:B183"/>
    <mergeCell ref="A105:A107"/>
    <mergeCell ref="A108:A113"/>
    <mergeCell ref="A153:A158"/>
    <mergeCell ref="B153:B158"/>
    <mergeCell ref="B140:B145"/>
    <mergeCell ref="A146:A151"/>
    <mergeCell ref="B146:B151"/>
    <mergeCell ref="A114:A118"/>
    <mergeCell ref="A121:A127"/>
    <mergeCell ref="B100:B104"/>
    <mergeCell ref="B105:B107"/>
    <mergeCell ref="B114:B118"/>
    <mergeCell ref="B44:B47"/>
    <mergeCell ref="B48:B50"/>
    <mergeCell ref="A296:A302"/>
    <mergeCell ref="B296:B302"/>
    <mergeCell ref="A303:A306"/>
    <mergeCell ref="B303:B306"/>
    <mergeCell ref="A274:A277"/>
    <mergeCell ref="B274:B277"/>
    <mergeCell ref="A278:A281"/>
    <mergeCell ref="B278:B281"/>
    <mergeCell ref="A282:A288"/>
    <mergeCell ref="B282:B288"/>
    <mergeCell ref="A289:A293"/>
    <mergeCell ref="B289:B293"/>
    <mergeCell ref="A247:A252"/>
    <mergeCell ref="B247:B252"/>
    <mergeCell ref="B237:B240"/>
    <mergeCell ref="B253:B255"/>
    <mergeCell ref="B256:B260"/>
    <mergeCell ref="B262:B268"/>
    <mergeCell ref="A163:A168"/>
    <mergeCell ref="A241:A245"/>
    <mergeCell ref="B241:B245"/>
    <mergeCell ref="A237:A240"/>
    <mergeCell ref="A195:A198"/>
    <mergeCell ref="B195:B198"/>
    <mergeCell ref="A200:A203"/>
    <mergeCell ref="B200:B203"/>
    <mergeCell ref="B206:B211"/>
    <mergeCell ref="B184:B189"/>
    <mergeCell ref="B233:B236"/>
    <mergeCell ref="A233:A236"/>
    <mergeCell ref="A190:A194"/>
    <mergeCell ref="B190:B194"/>
    <mergeCell ref="A269:A273"/>
    <mergeCell ref="B269:B273"/>
    <mergeCell ref="B212:B215"/>
    <mergeCell ref="B218:B223"/>
    <mergeCell ref="A224:A227"/>
    <mergeCell ref="B224:B227"/>
    <mergeCell ref="A228:A232"/>
    <mergeCell ref="B228:B232"/>
    <mergeCell ref="B25:B27"/>
    <mergeCell ref="B51:B56"/>
    <mergeCell ref="B57:B62"/>
    <mergeCell ref="B63:B68"/>
    <mergeCell ref="B69:B72"/>
    <mergeCell ref="B73:B76"/>
    <mergeCell ref="A63:A68"/>
    <mergeCell ref="A69:A72"/>
    <mergeCell ref="B163:B168"/>
    <mergeCell ref="A184:A189"/>
    <mergeCell ref="A256:A260"/>
    <mergeCell ref="A253:A255"/>
    <mergeCell ref="A262:A268"/>
    <mergeCell ref="A206:A211"/>
    <mergeCell ref="A212:A215"/>
    <mergeCell ref="A218:A223"/>
    <mergeCell ref="A152:C152"/>
    <mergeCell ref="B121:B127"/>
    <mergeCell ref="A128:A133"/>
    <mergeCell ref="B128:B133"/>
    <mergeCell ref="B134:B139"/>
    <mergeCell ref="A73:A76"/>
    <mergeCell ref="B37:B43"/>
    <mergeCell ref="B94:B99"/>
    <mergeCell ref="A134:A139"/>
    <mergeCell ref="A140:A145"/>
    <mergeCell ref="B88:B93"/>
    <mergeCell ref="B77:B82"/>
    <mergeCell ref="B83:B87"/>
    <mergeCell ref="B12:B16"/>
    <mergeCell ref="A17:A23"/>
    <mergeCell ref="B17:B23"/>
    <mergeCell ref="A100:A104"/>
    <mergeCell ref="A83:A87"/>
    <mergeCell ref="A44:A47"/>
    <mergeCell ref="A48:A50"/>
    <mergeCell ref="A88:A93"/>
    <mergeCell ref="A77:A82"/>
    <mergeCell ref="A28:A36"/>
    <mergeCell ref="A57:A62"/>
    <mergeCell ref="A25:A27"/>
    <mergeCell ref="B28:B36"/>
    <mergeCell ref="A94:A99"/>
    <mergeCell ref="A51:A56"/>
    <mergeCell ref="A37:A43"/>
  </mergeCells>
  <phoneticPr fontId="3" type="noConversion"/>
  <conditionalFormatting sqref="F192:DP194 F196:DP196 F195 H195:DP195 F228:DP235">
    <cfRule type="cellIs" dxfId="6" priority="44" operator="greaterThan">
      <formula>1</formula>
    </cfRule>
  </conditionalFormatting>
  <conditionalFormatting sqref="D435:D1048576">
    <cfRule type="cellIs" dxfId="5" priority="8" operator="greaterThan">
      <formula>0</formula>
    </cfRule>
  </conditionalFormatting>
  <conditionalFormatting sqref="D4:D10 D12:D23 D247:D434 D25:D245">
    <cfRule type="cellIs" dxfId="4" priority="6" operator="greaterThan">
      <formula>0</formula>
    </cfRule>
  </conditionalFormatting>
  <conditionalFormatting sqref="E152">
    <cfRule type="cellIs" dxfId="3" priority="3" operator="greaterThan">
      <formula>0</formula>
    </cfRule>
  </conditionalFormatting>
  <conditionalFormatting sqref="D4:D10 D12:D23 D247:D307 D25:D245">
    <cfRule type="cellIs" dxfId="2" priority="1" operator="greaterThan">
      <formula>0</formula>
    </cfRule>
  </conditionalFormatting>
  <dataValidations count="1">
    <dataValidation type="whole" allowBlank="1" showInputMessage="1" showErrorMessage="1" sqref="D9:D10 D152:E152 D128:D151 D6:D7 D12:D17 D153:D163 D231:D245 D247:D307 D25:D126 D169:D224 D226:D228" xr:uid="{00000000-0002-0000-0300-000000000000}">
      <formula1>0</formula1>
      <formula2>1</formula2>
    </dataValidation>
  </dataValidations>
  <pageMargins left="0.25" right="0.25" top="0.75" bottom="0.75" header="0.3" footer="0.3"/>
  <pageSetup scale="90" orientation="landscape" horizontalDpi="4294967293" r:id="rId2"/>
  <headerFooter alignWithMargins="0">
    <oddFooter>&amp;LFieldF form - Non-tidal&amp;CPage &amp;P of &amp;N</oddFooter>
  </headerFooter>
  <rowBreaks count="12" manualBreakCount="12">
    <brk id="16" max="3" man="1"/>
    <brk id="43" max="3" man="1"/>
    <brk id="68" max="3" man="1"/>
    <brk id="93" max="3" man="1"/>
    <brk id="120" max="3" man="1"/>
    <brk id="145" max="3" man="1"/>
    <brk id="169" max="3" man="1"/>
    <brk id="198" max="3" man="1"/>
    <brk id="217" max="3" man="1"/>
    <brk id="240" max="3" man="1"/>
    <brk id="268" max="3" man="1"/>
    <brk id="293" max="3"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1">
    <tabColor rgb="FFE6B9B8"/>
  </sheetPr>
  <dimension ref="A1:XFB92"/>
  <sheetViews>
    <sheetView topLeftCell="C1" zoomScale="80" zoomScaleNormal="80" workbookViewId="0">
      <selection activeCell="E1" sqref="E1:F1"/>
    </sheetView>
  </sheetViews>
  <sheetFormatPr defaultColWidth="9.33203125" defaultRowHeight="12.75" x14ac:dyDescent="0.2"/>
  <cols>
    <col min="1" max="1" width="5.83203125" style="28" customWidth="1"/>
    <col min="2" max="2" width="50.83203125" style="889" customWidth="1"/>
    <col min="3" max="5" width="46.83203125" style="889" customWidth="1"/>
    <col min="6" max="6" width="9.83203125" style="31" customWidth="1"/>
    <col min="7" max="16384" width="9.33203125" style="31"/>
  </cols>
  <sheetData>
    <row r="1" spans="1:55" s="1145" customFormat="1" ht="27" customHeight="1" thickBot="1" x14ac:dyDescent="0.25">
      <c r="A1" s="2467" t="s">
        <v>2944</v>
      </c>
      <c r="B1" s="2468"/>
      <c r="C1" s="2469" t="s">
        <v>2945</v>
      </c>
      <c r="D1" s="2464"/>
      <c r="E1" s="2463">
        <v>43669</v>
      </c>
      <c r="F1" s="2464"/>
    </row>
    <row r="2" spans="1:55" s="853" customFormat="1" ht="25.9" customHeight="1" thickBot="1" x14ac:dyDescent="0.3">
      <c r="A2" s="2465" t="s">
        <v>2913</v>
      </c>
      <c r="B2" s="2466"/>
      <c r="C2" s="2466"/>
      <c r="D2" s="2466"/>
      <c r="E2" s="2466"/>
      <c r="F2" s="1593" t="s">
        <v>45</v>
      </c>
    </row>
    <row r="3" spans="1:55" s="342" customFormat="1" ht="24" customHeight="1" thickBot="1" x14ac:dyDescent="0.25">
      <c r="A3" s="2444" t="s">
        <v>278</v>
      </c>
      <c r="B3" s="2459" t="s">
        <v>2330</v>
      </c>
      <c r="C3" s="2459"/>
      <c r="D3" s="2459"/>
      <c r="E3" s="2459"/>
      <c r="F3" s="2256"/>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c r="AF3" s="343"/>
      <c r="AG3" s="343"/>
      <c r="AH3" s="343"/>
      <c r="AI3" s="343"/>
      <c r="AJ3" s="343"/>
      <c r="AK3" s="343"/>
      <c r="AL3" s="343"/>
      <c r="AM3" s="343"/>
      <c r="AN3" s="343"/>
      <c r="AO3" s="343"/>
      <c r="AP3" s="343"/>
      <c r="AQ3" s="343"/>
      <c r="AR3" s="343"/>
      <c r="AS3" s="343"/>
      <c r="AT3" s="343"/>
      <c r="AU3" s="343"/>
      <c r="AV3" s="343"/>
      <c r="AW3" s="343"/>
      <c r="AX3" s="343"/>
      <c r="AY3" s="343"/>
      <c r="AZ3" s="343"/>
      <c r="BA3" s="343"/>
      <c r="BB3" s="343"/>
      <c r="BC3" s="343"/>
    </row>
    <row r="4" spans="1:55" s="343" customFormat="1" ht="30" customHeight="1" thickBot="1" x14ac:dyDescent="0.25">
      <c r="A4" s="2445"/>
      <c r="B4" s="2431" t="s">
        <v>1438</v>
      </c>
      <c r="C4" s="2460"/>
      <c r="D4" s="2460"/>
      <c r="E4" s="2460"/>
      <c r="F4" s="2256"/>
    </row>
    <row r="5" spans="1:55" s="343" customFormat="1" ht="18" customHeight="1" x14ac:dyDescent="0.2">
      <c r="A5" s="2445"/>
      <c r="B5" s="2461" t="s">
        <v>2759</v>
      </c>
      <c r="C5" s="2461"/>
      <c r="D5" s="2461"/>
      <c r="E5" s="2462"/>
      <c r="F5" s="2257"/>
    </row>
    <row r="6" spans="1:55" s="343" customFormat="1" ht="18" customHeight="1" x14ac:dyDescent="0.2">
      <c r="A6" s="2445"/>
      <c r="B6" s="2433" t="s">
        <v>2760</v>
      </c>
      <c r="C6" s="2434"/>
      <c r="D6" s="2434"/>
      <c r="E6" s="2435"/>
      <c r="F6" s="2257"/>
    </row>
    <row r="7" spans="1:55" s="343" customFormat="1" ht="18" customHeight="1" x14ac:dyDescent="0.2">
      <c r="A7" s="2445"/>
      <c r="B7" s="2461" t="s">
        <v>2761</v>
      </c>
      <c r="C7" s="2461"/>
      <c r="D7" s="2461"/>
      <c r="E7" s="2462"/>
      <c r="F7" s="2257"/>
    </row>
    <row r="8" spans="1:55" s="343" customFormat="1" ht="18" customHeight="1" x14ac:dyDescent="0.2">
      <c r="A8" s="2445"/>
      <c r="B8" s="2433" t="s">
        <v>2762</v>
      </c>
      <c r="C8" s="2434"/>
      <c r="D8" s="2434"/>
      <c r="E8" s="2435"/>
      <c r="F8" s="2257">
        <v>1</v>
      </c>
    </row>
    <row r="9" spans="1:55" s="343" customFormat="1" ht="18" customHeight="1" x14ac:dyDescent="0.2">
      <c r="A9" s="2445"/>
      <c r="B9" s="2433" t="s">
        <v>2763</v>
      </c>
      <c r="C9" s="2433"/>
      <c r="D9" s="2433"/>
      <c r="E9" s="2470"/>
      <c r="F9" s="2257"/>
    </row>
    <row r="10" spans="1:55" s="343" customFormat="1" ht="18" customHeight="1" x14ac:dyDescent="0.2">
      <c r="A10" s="2445"/>
      <c r="B10" s="2433" t="s">
        <v>2764</v>
      </c>
      <c r="C10" s="2434"/>
      <c r="D10" s="2434"/>
      <c r="E10" s="2435"/>
      <c r="F10" s="2257"/>
    </row>
    <row r="11" spans="1:55" s="343" customFormat="1" ht="18" customHeight="1" x14ac:dyDescent="0.2">
      <c r="A11" s="2445"/>
      <c r="B11" s="2433" t="s">
        <v>2765</v>
      </c>
      <c r="C11" s="2434"/>
      <c r="D11" s="2434"/>
      <c r="E11" s="2435"/>
      <c r="F11" s="2257"/>
    </row>
    <row r="12" spans="1:55" s="343" customFormat="1" ht="18" customHeight="1" x14ac:dyDescent="0.2">
      <c r="A12" s="2445"/>
      <c r="B12" s="2461" t="s">
        <v>2766</v>
      </c>
      <c r="C12" s="2461"/>
      <c r="D12" s="2461"/>
      <c r="E12" s="2462"/>
      <c r="F12" s="2257"/>
    </row>
    <row r="13" spans="1:55" s="343" customFormat="1" ht="18" customHeight="1" x14ac:dyDescent="0.2">
      <c r="A13" s="2445"/>
      <c r="B13" s="2433" t="s">
        <v>2767</v>
      </c>
      <c r="C13" s="2434"/>
      <c r="D13" s="2434"/>
      <c r="E13" s="2435"/>
      <c r="F13" s="2257"/>
    </row>
    <row r="14" spans="1:55" s="343" customFormat="1" ht="18" customHeight="1" x14ac:dyDescent="0.2">
      <c r="A14" s="2445"/>
      <c r="B14" s="2433" t="s">
        <v>2768</v>
      </c>
      <c r="C14" s="2434"/>
      <c r="D14" s="2434"/>
      <c r="E14" s="2435"/>
      <c r="F14" s="2257"/>
    </row>
    <row r="15" spans="1:55" s="343" customFormat="1" ht="18" customHeight="1" thickBot="1" x14ac:dyDescent="0.25">
      <c r="A15" s="2445"/>
      <c r="B15" s="2433" t="s">
        <v>2769</v>
      </c>
      <c r="C15" s="2434"/>
      <c r="D15" s="2434"/>
      <c r="E15" s="2435"/>
      <c r="F15" s="2257"/>
    </row>
    <row r="16" spans="1:55" s="343" customFormat="1" ht="30" customHeight="1" thickBot="1" x14ac:dyDescent="0.25">
      <c r="A16" s="2445"/>
      <c r="B16" s="2431" t="s">
        <v>1439</v>
      </c>
      <c r="C16" s="2432"/>
      <c r="D16" s="2432"/>
      <c r="E16" s="2432"/>
      <c r="F16" s="2256"/>
    </row>
    <row r="17" spans="1:56" s="343" customFormat="1" ht="18" customHeight="1" thickBot="1" x14ac:dyDescent="0.25">
      <c r="A17" s="2445"/>
      <c r="B17" s="1155"/>
      <c r="C17" s="1150" t="s">
        <v>12</v>
      </c>
      <c r="D17" s="1151" t="s">
        <v>13</v>
      </c>
      <c r="E17" s="1152" t="s">
        <v>14</v>
      </c>
      <c r="F17" s="2256"/>
    </row>
    <row r="18" spans="1:56" s="343" customFormat="1" ht="18" customHeight="1" x14ac:dyDescent="0.2">
      <c r="A18" s="2445"/>
      <c r="B18" s="1156" t="s">
        <v>2770</v>
      </c>
      <c r="C18" s="882" t="s">
        <v>2810</v>
      </c>
      <c r="D18" s="882" t="s">
        <v>2814</v>
      </c>
      <c r="E18" s="887" t="s">
        <v>2817</v>
      </c>
      <c r="F18" s="2258">
        <v>2</v>
      </c>
    </row>
    <row r="19" spans="1:56" s="343" customFormat="1" ht="18" customHeight="1" x14ac:dyDescent="0.2">
      <c r="A19" s="2445"/>
      <c r="B19" s="1153" t="s">
        <v>2771</v>
      </c>
      <c r="C19" s="884" t="s">
        <v>2811</v>
      </c>
      <c r="D19" s="884" t="s">
        <v>2815</v>
      </c>
      <c r="E19" s="885" t="s">
        <v>2818</v>
      </c>
      <c r="F19" s="2258">
        <v>1</v>
      </c>
    </row>
    <row r="20" spans="1:56" s="343" customFormat="1" ht="15" customHeight="1" x14ac:dyDescent="0.2">
      <c r="A20" s="2445"/>
      <c r="B20" s="2436" t="s">
        <v>2755</v>
      </c>
      <c r="C20" s="2436"/>
      <c r="D20" s="2436"/>
      <c r="E20" s="2436"/>
      <c r="F20" s="2259"/>
    </row>
    <row r="21" spans="1:56" s="343" customFormat="1" ht="18" customHeight="1" x14ac:dyDescent="0.2">
      <c r="A21" s="2445"/>
      <c r="B21" s="1153" t="s">
        <v>2772</v>
      </c>
      <c r="C21" s="882" t="s">
        <v>2812</v>
      </c>
      <c r="D21" s="882" t="s">
        <v>2816</v>
      </c>
      <c r="E21" s="883" t="s">
        <v>2819</v>
      </c>
      <c r="F21" s="2217">
        <v>0</v>
      </c>
    </row>
    <row r="22" spans="1:56" s="343" customFormat="1" ht="18" customHeight="1" x14ac:dyDescent="0.2">
      <c r="A22" s="2445"/>
      <c r="B22" s="1153" t="s">
        <v>2773</v>
      </c>
      <c r="C22" s="882" t="s">
        <v>2813</v>
      </c>
      <c r="D22" s="882" t="s">
        <v>1975</v>
      </c>
      <c r="E22" s="883" t="s">
        <v>2820</v>
      </c>
      <c r="F22" s="2217">
        <v>0</v>
      </c>
      <c r="G22" s="1146"/>
      <c r="H22" s="1146"/>
      <c r="I22" s="1146"/>
      <c r="J22" s="1146"/>
      <c r="K22" s="1146"/>
      <c r="L22" s="1146"/>
      <c r="M22" s="1146"/>
      <c r="N22" s="1146"/>
      <c r="O22" s="1146"/>
      <c r="P22" s="1146"/>
      <c r="Q22" s="1146"/>
      <c r="R22" s="1146"/>
      <c r="S22" s="1146"/>
      <c r="T22" s="1146"/>
      <c r="U22" s="1146"/>
      <c r="V22" s="1146"/>
      <c r="W22" s="1146"/>
      <c r="X22" s="1146"/>
      <c r="Y22" s="1146"/>
      <c r="Z22" s="1146"/>
      <c r="AA22" s="1146"/>
    </row>
    <row r="23" spans="1:56" s="343" customFormat="1" ht="18" customHeight="1" thickBot="1" x14ac:dyDescent="0.25">
      <c r="A23" s="2445"/>
      <c r="B23" s="2441" t="s">
        <v>1224</v>
      </c>
      <c r="C23" s="2442"/>
      <c r="D23" s="2442"/>
      <c r="E23" s="2443"/>
      <c r="F23" s="2260">
        <f>SUM(F18:F22)</f>
        <v>3</v>
      </c>
    </row>
    <row r="24" spans="1:56" s="849" customFormat="1" ht="21" customHeight="1" thickBot="1" x14ac:dyDescent="0.25">
      <c r="A24" s="2446"/>
      <c r="B24" s="2437"/>
      <c r="C24" s="2438"/>
      <c r="D24" s="2438"/>
      <c r="E24" s="886" t="s">
        <v>2585</v>
      </c>
      <c r="F24" s="2261">
        <f>F23/12</f>
        <v>0.25</v>
      </c>
      <c r="G24" s="343"/>
      <c r="H24" s="343"/>
      <c r="I24" s="343"/>
      <c r="J24" s="343"/>
      <c r="K24" s="343"/>
      <c r="L24" s="343"/>
      <c r="M24" s="343"/>
      <c r="N24" s="343"/>
      <c r="O24" s="343"/>
      <c r="P24" s="343"/>
      <c r="Q24" s="343"/>
      <c r="R24" s="343"/>
      <c r="S24" s="343"/>
      <c r="T24" s="343"/>
      <c r="U24" s="343"/>
      <c r="V24" s="343"/>
      <c r="W24" s="343"/>
      <c r="X24" s="343"/>
      <c r="Y24" s="343"/>
      <c r="Z24" s="343"/>
      <c r="AA24" s="343"/>
      <c r="AB24" s="1146"/>
      <c r="AC24" s="1146"/>
      <c r="AD24" s="1146"/>
      <c r="AE24" s="1146"/>
      <c r="AF24" s="1146"/>
      <c r="AG24" s="1146"/>
      <c r="AH24" s="1146"/>
      <c r="AI24" s="1146"/>
      <c r="AJ24" s="1146"/>
      <c r="AK24" s="1146"/>
      <c r="AL24" s="1146"/>
      <c r="AM24" s="1146"/>
      <c r="AN24" s="1146"/>
      <c r="AO24" s="1146"/>
      <c r="AP24" s="1146"/>
      <c r="AQ24" s="1146"/>
      <c r="AR24" s="1146"/>
      <c r="AS24" s="1146"/>
      <c r="AT24" s="1146"/>
      <c r="AU24" s="1146"/>
      <c r="AV24" s="1146"/>
      <c r="AW24" s="1146"/>
      <c r="AX24" s="1146"/>
      <c r="AY24" s="1146"/>
      <c r="AZ24" s="1146"/>
      <c r="BA24" s="1146"/>
      <c r="BB24" s="1146"/>
      <c r="BC24" s="1146"/>
      <c r="BD24" s="1146"/>
    </row>
    <row r="25" spans="1:56" s="342" customFormat="1" ht="24" customHeight="1" thickBot="1" x14ac:dyDescent="0.25">
      <c r="A25" s="2456" t="s">
        <v>83</v>
      </c>
      <c r="B25" s="2447" t="s">
        <v>960</v>
      </c>
      <c r="C25" s="2452"/>
      <c r="D25" s="2452"/>
      <c r="E25" s="2452"/>
      <c r="F25" s="2256"/>
      <c r="G25" s="343"/>
      <c r="H25" s="343"/>
      <c r="I25" s="343"/>
      <c r="J25" s="343"/>
      <c r="K25" s="343"/>
      <c r="L25" s="343"/>
      <c r="M25" s="343"/>
      <c r="N25" s="343"/>
      <c r="O25" s="343"/>
      <c r="P25" s="343"/>
      <c r="Q25" s="343"/>
      <c r="R25" s="343"/>
      <c r="S25" s="343"/>
      <c r="T25" s="343"/>
      <c r="U25" s="343"/>
      <c r="V25" s="343"/>
      <c r="W25" s="343"/>
      <c r="X25" s="343"/>
      <c r="Y25" s="343"/>
      <c r="Z25" s="343"/>
      <c r="AA25" s="343"/>
      <c r="AB25" s="343"/>
      <c r="AC25" s="343"/>
      <c r="AD25" s="343"/>
      <c r="AE25" s="343"/>
      <c r="AF25" s="343"/>
      <c r="AG25" s="343"/>
      <c r="AH25" s="343"/>
      <c r="AI25" s="343"/>
      <c r="AJ25" s="343"/>
      <c r="AK25" s="343"/>
      <c r="AL25" s="343"/>
      <c r="AM25" s="343"/>
      <c r="AN25" s="343"/>
      <c r="AO25" s="343"/>
      <c r="AP25" s="343"/>
      <c r="AQ25" s="343"/>
      <c r="AR25" s="343"/>
      <c r="AS25" s="343"/>
      <c r="AT25" s="343"/>
      <c r="AU25" s="343"/>
      <c r="AV25" s="343"/>
      <c r="AW25" s="343"/>
      <c r="AX25" s="343"/>
      <c r="AY25" s="343"/>
      <c r="AZ25" s="343"/>
      <c r="BA25" s="343"/>
      <c r="BB25" s="343"/>
      <c r="BC25" s="343"/>
      <c r="BD25" s="343"/>
    </row>
    <row r="26" spans="1:56" s="343" customFormat="1" ht="21" customHeight="1" thickBot="1" x14ac:dyDescent="0.25">
      <c r="A26" s="2457"/>
      <c r="B26" s="2431" t="s">
        <v>2207</v>
      </c>
      <c r="C26" s="2432"/>
      <c r="D26" s="2432"/>
      <c r="E26" s="2432"/>
      <c r="F26" s="2256"/>
    </row>
    <row r="27" spans="1:56" s="343" customFormat="1" ht="18" customHeight="1" x14ac:dyDescent="0.2">
      <c r="A27" s="2457"/>
      <c r="B27" s="2439" t="s">
        <v>2774</v>
      </c>
      <c r="C27" s="2440"/>
      <c r="D27" s="2440"/>
      <c r="E27" s="2440"/>
      <c r="F27" s="2257">
        <v>1</v>
      </c>
    </row>
    <row r="28" spans="1:56" s="343" customFormat="1" ht="34.9" customHeight="1" x14ac:dyDescent="0.2">
      <c r="A28" s="2457"/>
      <c r="B28" s="2427" t="s">
        <v>2775</v>
      </c>
      <c r="C28" s="2428"/>
      <c r="D28" s="2428"/>
      <c r="E28" s="2428"/>
      <c r="F28" s="2257"/>
    </row>
    <row r="29" spans="1:56" s="343" customFormat="1" ht="18" customHeight="1" x14ac:dyDescent="0.2">
      <c r="A29" s="2457"/>
      <c r="B29" s="2427" t="s">
        <v>2776</v>
      </c>
      <c r="C29" s="2428"/>
      <c r="D29" s="2428"/>
      <c r="E29" s="2428"/>
      <c r="F29" s="2257">
        <v>1</v>
      </c>
    </row>
    <row r="30" spans="1:56" s="343" customFormat="1" ht="18" customHeight="1" thickBot="1" x14ac:dyDescent="0.25">
      <c r="A30" s="2457"/>
      <c r="B30" s="2429" t="s">
        <v>2777</v>
      </c>
      <c r="C30" s="2430"/>
      <c r="D30" s="2430"/>
      <c r="E30" s="2430"/>
      <c r="F30" s="2262">
        <v>1</v>
      </c>
    </row>
    <row r="31" spans="1:56" s="343" customFormat="1" ht="30" customHeight="1" thickBot="1" x14ac:dyDescent="0.25">
      <c r="A31" s="2457"/>
      <c r="B31" s="2431" t="s">
        <v>1440</v>
      </c>
      <c r="C31" s="2432"/>
      <c r="D31" s="2432"/>
      <c r="E31" s="2432"/>
      <c r="F31" s="2263"/>
      <c r="G31" s="344"/>
      <c r="H31" s="344"/>
      <c r="I31" s="344"/>
      <c r="J31" s="344"/>
      <c r="K31" s="344"/>
      <c r="L31" s="344"/>
      <c r="M31" s="344"/>
      <c r="N31" s="344"/>
      <c r="O31" s="344"/>
      <c r="P31" s="344"/>
      <c r="Q31" s="344"/>
      <c r="R31" s="344"/>
      <c r="S31" s="344"/>
      <c r="T31" s="344"/>
      <c r="U31" s="344"/>
      <c r="V31" s="344"/>
      <c r="W31" s="344"/>
      <c r="X31" s="344"/>
      <c r="Y31" s="344"/>
      <c r="Z31" s="344"/>
      <c r="AA31" s="344"/>
    </row>
    <row r="32" spans="1:56" s="343" customFormat="1" ht="18" customHeight="1" thickBot="1" x14ac:dyDescent="0.25">
      <c r="A32" s="2457"/>
      <c r="B32" s="1155"/>
      <c r="C32" s="1150" t="s">
        <v>12</v>
      </c>
      <c r="D32" s="1151" t="s">
        <v>13</v>
      </c>
      <c r="E32" s="1152" t="s">
        <v>14</v>
      </c>
      <c r="F32" s="2256"/>
      <c r="G32" s="344"/>
      <c r="H32" s="344"/>
      <c r="I32" s="344"/>
      <c r="J32" s="344"/>
      <c r="K32" s="344"/>
      <c r="L32" s="344"/>
      <c r="M32" s="344"/>
      <c r="N32" s="344"/>
      <c r="O32" s="344"/>
      <c r="P32" s="344"/>
      <c r="Q32" s="344"/>
      <c r="R32" s="344"/>
      <c r="S32" s="344"/>
      <c r="T32" s="344"/>
      <c r="U32" s="344"/>
      <c r="V32" s="344"/>
      <c r="W32" s="344"/>
      <c r="X32" s="344"/>
      <c r="Y32" s="344"/>
      <c r="Z32" s="344"/>
      <c r="AA32" s="344"/>
    </row>
    <row r="33" spans="1:51" s="344" customFormat="1" ht="24" customHeight="1" x14ac:dyDescent="0.2">
      <c r="A33" s="2457"/>
      <c r="B33" s="1156" t="s">
        <v>2778</v>
      </c>
      <c r="C33" s="882" t="s">
        <v>2821</v>
      </c>
      <c r="D33" s="882" t="s">
        <v>2823</v>
      </c>
      <c r="E33" s="883" t="s">
        <v>2826</v>
      </c>
      <c r="F33" s="2258">
        <v>1</v>
      </c>
    </row>
    <row r="34" spans="1:51" s="344" customFormat="1" ht="18" customHeight="1" x14ac:dyDescent="0.2">
      <c r="A34" s="2457"/>
      <c r="B34" s="1153" t="s">
        <v>2779</v>
      </c>
      <c r="C34" s="882" t="s">
        <v>2822</v>
      </c>
      <c r="D34" s="882" t="s">
        <v>2824</v>
      </c>
      <c r="E34" s="883" t="s">
        <v>2827</v>
      </c>
      <c r="F34" s="2258">
        <v>1</v>
      </c>
    </row>
    <row r="35" spans="1:51" s="344" customFormat="1" ht="18" customHeight="1" x14ac:dyDescent="0.2">
      <c r="A35" s="2457"/>
      <c r="B35" s="1154" t="s">
        <v>2780</v>
      </c>
      <c r="C35" s="1149" t="s">
        <v>2756</v>
      </c>
      <c r="D35" s="1148" t="s">
        <v>2825</v>
      </c>
      <c r="E35" s="1591" t="s">
        <v>2828</v>
      </c>
      <c r="F35" s="2258">
        <v>1</v>
      </c>
      <c r="G35" s="1146"/>
      <c r="H35" s="1146"/>
      <c r="I35" s="1146"/>
      <c r="J35" s="1146"/>
      <c r="K35" s="1146"/>
      <c r="L35" s="1146"/>
      <c r="M35" s="1146"/>
      <c r="N35" s="1146"/>
      <c r="O35" s="1146"/>
      <c r="P35" s="1146"/>
      <c r="Q35" s="1146"/>
      <c r="R35" s="1146"/>
      <c r="S35" s="1146"/>
      <c r="T35" s="1146"/>
      <c r="U35" s="1146"/>
      <c r="V35" s="1146"/>
      <c r="W35" s="1146"/>
      <c r="X35" s="1146"/>
      <c r="Y35" s="1146"/>
      <c r="Z35" s="1146"/>
      <c r="AA35" s="1146"/>
    </row>
    <row r="36" spans="1:51" s="344" customFormat="1" ht="18" customHeight="1" thickBot="1" x14ac:dyDescent="0.25">
      <c r="A36" s="2457"/>
      <c r="B36" s="2441" t="s">
        <v>1224</v>
      </c>
      <c r="C36" s="2442"/>
      <c r="D36" s="2442"/>
      <c r="E36" s="2443"/>
      <c r="F36" s="2260">
        <f>SUM(F33:F35)</f>
        <v>3</v>
      </c>
      <c r="G36" s="343"/>
      <c r="H36" s="343"/>
      <c r="I36" s="343"/>
      <c r="J36" s="343"/>
      <c r="K36" s="343"/>
      <c r="L36" s="343"/>
      <c r="M36" s="343"/>
      <c r="N36" s="343"/>
      <c r="O36" s="343"/>
      <c r="P36" s="343"/>
      <c r="Q36" s="343"/>
      <c r="R36" s="343"/>
      <c r="S36" s="343"/>
      <c r="T36" s="343"/>
      <c r="U36" s="343"/>
      <c r="V36" s="343"/>
      <c r="W36" s="343"/>
      <c r="X36" s="343"/>
      <c r="Y36" s="343"/>
      <c r="Z36" s="343"/>
      <c r="AA36" s="343"/>
    </row>
    <row r="37" spans="1:51" s="849" customFormat="1" ht="21" customHeight="1" thickBot="1" x14ac:dyDescent="0.25">
      <c r="A37" s="2458"/>
      <c r="B37" s="2437"/>
      <c r="C37" s="2438"/>
      <c r="D37" s="2438"/>
      <c r="E37" s="886" t="s">
        <v>2585</v>
      </c>
      <c r="F37" s="2261">
        <f>F36/9</f>
        <v>0.33333333333333331</v>
      </c>
      <c r="G37" s="343"/>
      <c r="H37" s="343"/>
      <c r="I37" s="343"/>
      <c r="J37" s="343"/>
      <c r="K37" s="343"/>
      <c r="L37" s="343"/>
      <c r="M37" s="343"/>
      <c r="N37" s="343"/>
      <c r="O37" s="343"/>
      <c r="P37" s="343"/>
      <c r="Q37" s="343"/>
      <c r="R37" s="343"/>
      <c r="S37" s="343"/>
      <c r="T37" s="343"/>
      <c r="U37" s="343"/>
      <c r="V37" s="343"/>
      <c r="W37" s="343"/>
      <c r="X37" s="343"/>
      <c r="Y37" s="343"/>
      <c r="Z37" s="343"/>
      <c r="AA37" s="343"/>
      <c r="AB37" s="1146"/>
      <c r="AC37" s="1146"/>
      <c r="AD37" s="1146"/>
      <c r="AE37" s="1146"/>
      <c r="AF37" s="1146"/>
      <c r="AG37" s="1146"/>
      <c r="AH37" s="1146"/>
      <c r="AI37" s="1146"/>
      <c r="AJ37" s="1146"/>
      <c r="AK37" s="1146"/>
      <c r="AL37" s="1146"/>
      <c r="AM37" s="1146"/>
      <c r="AN37" s="1146"/>
      <c r="AO37" s="1146"/>
      <c r="AP37" s="1146"/>
      <c r="AQ37" s="1146"/>
      <c r="AR37" s="1146"/>
      <c r="AS37" s="1146"/>
      <c r="AT37" s="1146"/>
      <c r="AU37" s="1146"/>
      <c r="AV37" s="1146"/>
      <c r="AW37" s="1146"/>
      <c r="AX37" s="1146"/>
      <c r="AY37" s="1146"/>
    </row>
    <row r="38" spans="1:51" s="342" customFormat="1" ht="24" customHeight="1" thickBot="1" x14ac:dyDescent="0.25">
      <c r="A38" s="2444" t="s">
        <v>82</v>
      </c>
      <c r="B38" s="2447" t="s">
        <v>961</v>
      </c>
      <c r="C38" s="2452"/>
      <c r="D38" s="2452"/>
      <c r="E38" s="2452"/>
      <c r="F38" s="2264"/>
      <c r="G38" s="343"/>
      <c r="H38" s="343"/>
      <c r="I38" s="343"/>
      <c r="J38" s="343"/>
      <c r="K38" s="343"/>
      <c r="L38" s="343"/>
      <c r="M38" s="343"/>
      <c r="N38" s="343"/>
      <c r="O38" s="343"/>
      <c r="P38" s="343"/>
      <c r="Q38" s="343"/>
      <c r="R38" s="343"/>
      <c r="S38" s="343"/>
      <c r="T38" s="343"/>
      <c r="U38" s="343"/>
      <c r="V38" s="343"/>
      <c r="W38" s="343"/>
      <c r="X38" s="343"/>
      <c r="Y38" s="343"/>
      <c r="Z38" s="343"/>
      <c r="AA38" s="343"/>
      <c r="AB38" s="343"/>
      <c r="AC38" s="343"/>
      <c r="AD38" s="343"/>
      <c r="AE38" s="343"/>
      <c r="AF38" s="343"/>
      <c r="AG38" s="343"/>
      <c r="AH38" s="343"/>
      <c r="AI38" s="343"/>
      <c r="AJ38" s="343"/>
      <c r="AK38" s="343"/>
      <c r="AL38" s="343"/>
      <c r="AM38" s="343"/>
      <c r="AN38" s="343"/>
      <c r="AO38" s="343"/>
      <c r="AP38" s="343"/>
      <c r="AQ38" s="343"/>
      <c r="AR38" s="343"/>
      <c r="AS38" s="343"/>
      <c r="AT38" s="343"/>
      <c r="AU38" s="343"/>
      <c r="AV38" s="343"/>
      <c r="AW38" s="343"/>
      <c r="AX38" s="343"/>
      <c r="AY38" s="343"/>
    </row>
    <row r="39" spans="1:51" s="343" customFormat="1" ht="21" customHeight="1" thickBot="1" x14ac:dyDescent="0.25">
      <c r="A39" s="2445"/>
      <c r="B39" s="2431" t="s">
        <v>2208</v>
      </c>
      <c r="C39" s="2432"/>
      <c r="D39" s="2432"/>
      <c r="E39" s="2432"/>
      <c r="F39" s="2263"/>
    </row>
    <row r="40" spans="1:51" s="343" customFormat="1" ht="18" customHeight="1" x14ac:dyDescent="0.2">
      <c r="A40" s="2445"/>
      <c r="B40" s="2439" t="s">
        <v>2781</v>
      </c>
      <c r="C40" s="2440"/>
      <c r="D40" s="2440"/>
      <c r="E40" s="2440"/>
      <c r="F40" s="2257">
        <v>1</v>
      </c>
    </row>
    <row r="41" spans="1:51" s="343" customFormat="1" ht="18" customHeight="1" x14ac:dyDescent="0.2">
      <c r="A41" s="2445"/>
      <c r="B41" s="2427" t="s">
        <v>2782</v>
      </c>
      <c r="C41" s="2428"/>
      <c r="D41" s="2428"/>
      <c r="E41" s="2428"/>
      <c r="F41" s="2257">
        <v>1</v>
      </c>
    </row>
    <row r="42" spans="1:51" s="343" customFormat="1" ht="18" customHeight="1" x14ac:dyDescent="0.2">
      <c r="A42" s="2445"/>
      <c r="B42" s="2427" t="s">
        <v>2783</v>
      </c>
      <c r="C42" s="2428"/>
      <c r="D42" s="2428"/>
      <c r="E42" s="2428"/>
      <c r="F42" s="2257">
        <v>1</v>
      </c>
    </row>
    <row r="43" spans="1:51" s="343" customFormat="1" ht="18" customHeight="1" thickBot="1" x14ac:dyDescent="0.25">
      <c r="A43" s="2445"/>
      <c r="B43" s="2429" t="s">
        <v>2784</v>
      </c>
      <c r="C43" s="2430"/>
      <c r="D43" s="2430"/>
      <c r="E43" s="2430"/>
      <c r="F43" s="2257">
        <v>1</v>
      </c>
    </row>
    <row r="44" spans="1:51" s="343" customFormat="1" ht="30" customHeight="1" thickBot="1" x14ac:dyDescent="0.25">
      <c r="A44" s="2445"/>
      <c r="B44" s="2431" t="s">
        <v>1441</v>
      </c>
      <c r="C44" s="2432"/>
      <c r="D44" s="2432"/>
      <c r="E44" s="2432"/>
      <c r="F44" s="2256"/>
    </row>
    <row r="45" spans="1:51" s="343" customFormat="1" ht="18" customHeight="1" thickBot="1" x14ac:dyDescent="0.25">
      <c r="A45" s="2445"/>
      <c r="B45" s="1155"/>
      <c r="C45" s="1150" t="s">
        <v>12</v>
      </c>
      <c r="D45" s="1151" t="s">
        <v>13</v>
      </c>
      <c r="E45" s="1152" t="s">
        <v>14</v>
      </c>
      <c r="F45" s="2256"/>
    </row>
    <row r="46" spans="1:51" s="343" customFormat="1" ht="30" customHeight="1" x14ac:dyDescent="0.2">
      <c r="A46" s="2445"/>
      <c r="B46" s="1156" t="s">
        <v>2785</v>
      </c>
      <c r="C46" s="882" t="s">
        <v>2829</v>
      </c>
      <c r="D46" s="882" t="s">
        <v>2830</v>
      </c>
      <c r="E46" s="887" t="s">
        <v>2831</v>
      </c>
      <c r="F46" s="2258">
        <v>1</v>
      </c>
    </row>
    <row r="47" spans="1:51" s="343" customFormat="1" ht="18" customHeight="1" x14ac:dyDescent="0.2">
      <c r="A47" s="2445"/>
      <c r="B47" s="1153" t="s">
        <v>2779</v>
      </c>
      <c r="C47" s="882" t="s">
        <v>2822</v>
      </c>
      <c r="D47" s="882" t="s">
        <v>2824</v>
      </c>
      <c r="E47" s="883" t="s">
        <v>2827</v>
      </c>
      <c r="F47" s="2258">
        <v>1</v>
      </c>
    </row>
    <row r="48" spans="1:51" s="343" customFormat="1" ht="18" customHeight="1" x14ac:dyDescent="0.2">
      <c r="A48" s="2445"/>
      <c r="B48" s="1153" t="s">
        <v>2780</v>
      </c>
      <c r="C48" s="1147" t="s">
        <v>2756</v>
      </c>
      <c r="D48" s="1147" t="s">
        <v>2825</v>
      </c>
      <c r="E48" s="1591" t="s">
        <v>2828</v>
      </c>
      <c r="F48" s="2258">
        <v>1</v>
      </c>
      <c r="G48" s="1146"/>
      <c r="H48" s="1146"/>
      <c r="I48" s="1146"/>
      <c r="J48" s="1146"/>
      <c r="K48" s="1146"/>
      <c r="L48" s="1146"/>
      <c r="M48" s="1146"/>
      <c r="N48" s="1146"/>
      <c r="O48" s="1146"/>
      <c r="P48" s="1146"/>
      <c r="Q48" s="1146"/>
      <c r="R48" s="1146"/>
      <c r="S48" s="1146"/>
      <c r="T48" s="1146"/>
      <c r="U48" s="1146"/>
      <c r="V48" s="1146"/>
      <c r="W48" s="1146"/>
      <c r="X48" s="1146"/>
      <c r="Y48" s="1146"/>
      <c r="Z48" s="1146"/>
      <c r="AA48" s="1146"/>
    </row>
    <row r="49" spans="1:30" s="343" customFormat="1" ht="18" customHeight="1" thickBot="1" x14ac:dyDescent="0.25">
      <c r="A49" s="2445"/>
      <c r="B49" s="2442" t="s">
        <v>1224</v>
      </c>
      <c r="C49" s="2453"/>
      <c r="D49" s="2453"/>
      <c r="E49" s="2454"/>
      <c r="F49" s="2260">
        <f>SUM(F46:F48)</f>
        <v>3</v>
      </c>
    </row>
    <row r="50" spans="1:30" s="849" customFormat="1" ht="21" customHeight="1" thickBot="1" x14ac:dyDescent="0.25">
      <c r="A50" s="2446"/>
      <c r="B50" s="2437"/>
      <c r="C50" s="2438"/>
      <c r="D50" s="2438"/>
      <c r="E50" s="886" t="s">
        <v>2585</v>
      </c>
      <c r="F50" s="2261">
        <f>F49/9</f>
        <v>0.33333333333333331</v>
      </c>
      <c r="G50" s="343"/>
      <c r="H50" s="343"/>
      <c r="I50" s="343"/>
      <c r="J50" s="343"/>
      <c r="K50" s="343"/>
      <c r="L50" s="343"/>
      <c r="M50" s="343"/>
      <c r="N50" s="343"/>
      <c r="O50" s="343"/>
      <c r="P50" s="343"/>
      <c r="Q50" s="343"/>
      <c r="R50" s="343"/>
      <c r="S50" s="343"/>
      <c r="T50" s="343"/>
      <c r="U50" s="343"/>
      <c r="V50" s="343"/>
      <c r="W50" s="343"/>
      <c r="X50" s="343"/>
      <c r="Y50" s="343"/>
      <c r="Z50" s="343"/>
      <c r="AA50" s="343"/>
      <c r="AB50" s="1146"/>
      <c r="AC50" s="1146"/>
      <c r="AD50" s="1146"/>
    </row>
    <row r="51" spans="1:30" s="342" customFormat="1" ht="24" customHeight="1" thickBot="1" x14ac:dyDescent="0.25">
      <c r="A51" s="2444" t="s">
        <v>263</v>
      </c>
      <c r="B51" s="2447" t="s">
        <v>445</v>
      </c>
      <c r="C51" s="2448"/>
      <c r="D51" s="2448"/>
      <c r="E51" s="2448"/>
      <c r="F51" s="2256"/>
      <c r="G51" s="343"/>
      <c r="H51" s="343"/>
      <c r="I51" s="343"/>
      <c r="J51" s="343"/>
      <c r="K51" s="343"/>
      <c r="L51" s="343"/>
      <c r="M51" s="343"/>
      <c r="N51" s="343"/>
      <c r="O51" s="343"/>
      <c r="P51" s="343"/>
      <c r="Q51" s="343"/>
      <c r="R51" s="343"/>
      <c r="S51" s="343"/>
      <c r="T51" s="343"/>
      <c r="U51" s="343"/>
      <c r="V51" s="343"/>
      <c r="W51" s="343"/>
      <c r="X51" s="343"/>
      <c r="Y51" s="343"/>
      <c r="Z51" s="343"/>
      <c r="AA51" s="343"/>
      <c r="AB51" s="343"/>
      <c r="AC51" s="343"/>
      <c r="AD51" s="343"/>
    </row>
    <row r="52" spans="1:30" s="343" customFormat="1" ht="21" customHeight="1" thickBot="1" x14ac:dyDescent="0.25">
      <c r="A52" s="2445"/>
      <c r="B52" s="2431" t="s">
        <v>2209</v>
      </c>
      <c r="C52" s="2432"/>
      <c r="D52" s="2432"/>
      <c r="E52" s="2432"/>
      <c r="F52" s="2256"/>
    </row>
    <row r="53" spans="1:30" s="343" customFormat="1" ht="18" customHeight="1" x14ac:dyDescent="0.2">
      <c r="A53" s="2445"/>
      <c r="B53" s="2439" t="s">
        <v>2786</v>
      </c>
      <c r="C53" s="2440"/>
      <c r="D53" s="2440"/>
      <c r="E53" s="2440"/>
      <c r="F53" s="2257">
        <v>1</v>
      </c>
    </row>
    <row r="54" spans="1:30" s="343" customFormat="1" ht="18" customHeight="1" x14ac:dyDescent="0.2">
      <c r="A54" s="2445"/>
      <c r="B54" s="2427" t="s">
        <v>2787</v>
      </c>
      <c r="C54" s="2428"/>
      <c r="D54" s="2428"/>
      <c r="E54" s="2428"/>
      <c r="F54" s="2257">
        <v>1</v>
      </c>
    </row>
    <row r="55" spans="1:30" s="343" customFormat="1" ht="18" customHeight="1" x14ac:dyDescent="0.2">
      <c r="A55" s="2445"/>
      <c r="B55" s="2427" t="s">
        <v>2788</v>
      </c>
      <c r="C55" s="2428"/>
      <c r="D55" s="2428"/>
      <c r="E55" s="2428"/>
      <c r="F55" s="2257"/>
    </row>
    <row r="56" spans="1:30" s="343" customFormat="1" ht="18" customHeight="1" x14ac:dyDescent="0.2">
      <c r="A56" s="2445"/>
      <c r="B56" s="2427" t="s">
        <v>2789</v>
      </c>
      <c r="C56" s="2428"/>
      <c r="D56" s="2428"/>
      <c r="E56" s="2428"/>
      <c r="F56" s="2257"/>
    </row>
    <row r="57" spans="1:30" s="343" customFormat="1" ht="18" customHeight="1" x14ac:dyDescent="0.2">
      <c r="A57" s="2445"/>
      <c r="B57" s="2427" t="s">
        <v>2790</v>
      </c>
      <c r="C57" s="2428"/>
      <c r="D57" s="2428"/>
      <c r="E57" s="2428"/>
      <c r="F57" s="2257"/>
    </row>
    <row r="58" spans="1:30" s="343" customFormat="1" ht="18" customHeight="1" x14ac:dyDescent="0.2">
      <c r="A58" s="2445"/>
      <c r="B58" s="2427" t="s">
        <v>2791</v>
      </c>
      <c r="C58" s="2428"/>
      <c r="D58" s="2428"/>
      <c r="E58" s="2428"/>
      <c r="F58" s="2257"/>
    </row>
    <row r="59" spans="1:30" s="343" customFormat="1" ht="18" customHeight="1" x14ac:dyDescent="0.2">
      <c r="A59" s="2445"/>
      <c r="B59" s="2427" t="s">
        <v>2792</v>
      </c>
      <c r="C59" s="2428"/>
      <c r="D59" s="2428"/>
      <c r="E59" s="2428"/>
      <c r="F59" s="2257"/>
    </row>
    <row r="60" spans="1:30" s="343" customFormat="1" ht="18" customHeight="1" thickBot="1" x14ac:dyDescent="0.25">
      <c r="A60" s="2445"/>
      <c r="B60" s="2429" t="s">
        <v>2793</v>
      </c>
      <c r="C60" s="2430"/>
      <c r="D60" s="2430"/>
      <c r="E60" s="2430"/>
      <c r="F60" s="2257">
        <v>1</v>
      </c>
    </row>
    <row r="61" spans="1:30" s="343" customFormat="1" ht="30" customHeight="1" thickBot="1" x14ac:dyDescent="0.25">
      <c r="A61" s="2445"/>
      <c r="B61" s="2431" t="s">
        <v>1442</v>
      </c>
      <c r="C61" s="2455"/>
      <c r="D61" s="2455"/>
      <c r="E61" s="2455"/>
      <c r="F61" s="2256"/>
    </row>
    <row r="62" spans="1:30" s="343" customFormat="1" ht="18" customHeight="1" thickBot="1" x14ac:dyDescent="0.25">
      <c r="A62" s="2445"/>
      <c r="B62" s="1155"/>
      <c r="C62" s="1150" t="s">
        <v>12</v>
      </c>
      <c r="D62" s="1151" t="s">
        <v>13</v>
      </c>
      <c r="E62" s="1152" t="s">
        <v>14</v>
      </c>
      <c r="F62" s="2256"/>
    </row>
    <row r="63" spans="1:30" s="343" customFormat="1" ht="30" customHeight="1" x14ac:dyDescent="0.2">
      <c r="A63" s="2445"/>
      <c r="B63" s="1156" t="s">
        <v>2794</v>
      </c>
      <c r="C63" s="882" t="s">
        <v>2833</v>
      </c>
      <c r="D63" s="882" t="s">
        <v>2834</v>
      </c>
      <c r="E63" s="887" t="s">
        <v>2836</v>
      </c>
      <c r="F63" s="2265">
        <v>1</v>
      </c>
    </row>
    <row r="64" spans="1:30" s="343" customFormat="1" ht="18" customHeight="1" x14ac:dyDescent="0.2">
      <c r="A64" s="2445"/>
      <c r="B64" s="1153" t="s">
        <v>2795</v>
      </c>
      <c r="C64" s="882" t="s">
        <v>2832</v>
      </c>
      <c r="D64" s="882" t="s">
        <v>2835</v>
      </c>
      <c r="E64" s="883" t="s">
        <v>2837</v>
      </c>
      <c r="F64" s="2265">
        <v>3</v>
      </c>
    </row>
    <row r="65" spans="1:27" s="343" customFormat="1" ht="18" customHeight="1" x14ac:dyDescent="0.2">
      <c r="A65" s="2445"/>
      <c r="B65" s="1153" t="s">
        <v>2796</v>
      </c>
      <c r="C65" s="882" t="s">
        <v>2822</v>
      </c>
      <c r="D65" s="882" t="s">
        <v>2824</v>
      </c>
      <c r="E65" s="883" t="s">
        <v>2827</v>
      </c>
      <c r="F65" s="2265">
        <v>2</v>
      </c>
    </row>
    <row r="66" spans="1:27" s="343" customFormat="1" ht="18" customHeight="1" thickBot="1" x14ac:dyDescent="0.25">
      <c r="A66" s="2445"/>
      <c r="B66" s="1154" t="s">
        <v>2797</v>
      </c>
      <c r="C66" s="1148" t="s">
        <v>2756</v>
      </c>
      <c r="D66" s="1147" t="s">
        <v>2758</v>
      </c>
      <c r="E66" s="1148" t="s">
        <v>2828</v>
      </c>
      <c r="F66" s="2258">
        <v>1</v>
      </c>
      <c r="G66" s="1146"/>
      <c r="H66" s="1146"/>
      <c r="I66" s="1146"/>
      <c r="J66" s="1146"/>
      <c r="K66" s="1146"/>
      <c r="L66" s="1146"/>
      <c r="M66" s="1146"/>
      <c r="N66" s="1146"/>
      <c r="O66" s="1146"/>
      <c r="P66" s="1146"/>
      <c r="Q66" s="1146"/>
      <c r="R66" s="1146"/>
      <c r="S66" s="1146"/>
      <c r="T66" s="1146"/>
      <c r="U66" s="849"/>
      <c r="V66" s="849"/>
      <c r="W66" s="849"/>
      <c r="X66" s="849"/>
      <c r="Y66" s="849"/>
      <c r="Z66" s="849"/>
      <c r="AA66" s="849"/>
    </row>
    <row r="67" spans="1:27" s="343" customFormat="1" ht="30" customHeight="1" thickBot="1" x14ac:dyDescent="0.25">
      <c r="A67" s="2445"/>
      <c r="B67" s="2427" t="s">
        <v>2757</v>
      </c>
      <c r="C67" s="2428"/>
      <c r="D67" s="2451"/>
      <c r="E67" s="1592" t="s">
        <v>1224</v>
      </c>
      <c r="F67" s="2260">
        <f>SUM(F63:F66)</f>
        <v>7</v>
      </c>
      <c r="U67" s="342"/>
      <c r="V67" s="342"/>
      <c r="W67" s="342"/>
      <c r="X67" s="342"/>
      <c r="Y67" s="342"/>
      <c r="Z67" s="342"/>
      <c r="AA67" s="342"/>
    </row>
    <row r="68" spans="1:27" s="849" customFormat="1" ht="21" customHeight="1" thickBot="1" x14ac:dyDescent="0.25">
      <c r="A68" s="2446"/>
      <c r="B68" s="2449"/>
      <c r="C68" s="2450"/>
      <c r="D68" s="2450"/>
      <c r="E68" s="886" t="s">
        <v>2585</v>
      </c>
      <c r="F68" s="2261">
        <f>F67/12</f>
        <v>0.58333333333333337</v>
      </c>
      <c r="G68" s="343"/>
      <c r="H68" s="343"/>
      <c r="I68" s="343"/>
      <c r="J68" s="343"/>
      <c r="K68" s="343"/>
      <c r="L68" s="343"/>
      <c r="M68" s="343"/>
      <c r="N68" s="343"/>
      <c r="O68" s="343"/>
      <c r="P68" s="343"/>
      <c r="Q68" s="343"/>
      <c r="R68" s="343"/>
      <c r="S68" s="343"/>
      <c r="T68" s="343"/>
      <c r="U68" s="343"/>
      <c r="V68" s="343"/>
      <c r="W68" s="343"/>
      <c r="X68" s="343"/>
      <c r="Y68" s="343"/>
      <c r="Z68" s="343"/>
      <c r="AA68" s="343"/>
    </row>
    <row r="69" spans="1:27" s="342" customFormat="1" ht="24" customHeight="1" thickBot="1" x14ac:dyDescent="0.25">
      <c r="A69" s="2444" t="s">
        <v>3</v>
      </c>
      <c r="B69" s="2447" t="s">
        <v>280</v>
      </c>
      <c r="C69" s="2448"/>
      <c r="D69" s="2448"/>
      <c r="E69" s="2448"/>
      <c r="F69" s="2259"/>
      <c r="G69" s="343"/>
      <c r="H69" s="343"/>
      <c r="I69" s="343"/>
      <c r="J69" s="343"/>
      <c r="K69" s="343"/>
      <c r="L69" s="343"/>
      <c r="M69" s="343"/>
      <c r="N69" s="343"/>
      <c r="O69" s="343"/>
      <c r="P69" s="343"/>
      <c r="Q69" s="343"/>
      <c r="R69" s="343"/>
      <c r="S69" s="343"/>
      <c r="T69" s="343"/>
      <c r="U69" s="343"/>
      <c r="V69" s="343"/>
      <c r="W69" s="343"/>
      <c r="X69" s="343"/>
      <c r="Y69" s="343"/>
      <c r="Z69" s="343"/>
      <c r="AA69" s="343"/>
    </row>
    <row r="70" spans="1:27" s="343" customFormat="1" ht="30" customHeight="1" thickBot="1" x14ac:dyDescent="0.25">
      <c r="A70" s="2445"/>
      <c r="B70" s="2431" t="s">
        <v>2210</v>
      </c>
      <c r="C70" s="2432"/>
      <c r="D70" s="2432"/>
      <c r="E70" s="2432"/>
      <c r="F70" s="2256"/>
    </row>
    <row r="71" spans="1:27" s="343" customFormat="1" ht="18" customHeight="1" x14ac:dyDescent="0.2">
      <c r="A71" s="2445"/>
      <c r="B71" s="2439" t="s">
        <v>2798</v>
      </c>
      <c r="C71" s="2440"/>
      <c r="D71" s="2440"/>
      <c r="E71" s="2440"/>
      <c r="F71" s="2257"/>
    </row>
    <row r="72" spans="1:27" s="343" customFormat="1" ht="18" customHeight="1" x14ac:dyDescent="0.2">
      <c r="A72" s="2445"/>
      <c r="B72" s="2427" t="s">
        <v>2799</v>
      </c>
      <c r="C72" s="2428"/>
      <c r="D72" s="2428"/>
      <c r="E72" s="2428"/>
      <c r="F72" s="2257"/>
    </row>
    <row r="73" spans="1:27" s="343" customFormat="1" ht="18" customHeight="1" x14ac:dyDescent="0.2">
      <c r="A73" s="2445"/>
      <c r="B73" s="2427" t="s">
        <v>2800</v>
      </c>
      <c r="C73" s="2428"/>
      <c r="D73" s="2428"/>
      <c r="E73" s="2428"/>
      <c r="F73" s="2257"/>
    </row>
    <row r="74" spans="1:27" s="343" customFormat="1" ht="18" customHeight="1" x14ac:dyDescent="0.2">
      <c r="A74" s="2445"/>
      <c r="B74" s="2427" t="s">
        <v>2801</v>
      </c>
      <c r="C74" s="2428"/>
      <c r="D74" s="2428"/>
      <c r="E74" s="2428"/>
      <c r="F74" s="2257"/>
    </row>
    <row r="75" spans="1:27" s="343" customFormat="1" ht="18" customHeight="1" x14ac:dyDescent="0.2">
      <c r="A75" s="2445"/>
      <c r="B75" s="2427" t="s">
        <v>2802</v>
      </c>
      <c r="C75" s="2428"/>
      <c r="D75" s="2428"/>
      <c r="E75" s="2428"/>
      <c r="F75" s="2257"/>
    </row>
    <row r="76" spans="1:27" s="343" customFormat="1" ht="18" customHeight="1" x14ac:dyDescent="0.2">
      <c r="A76" s="2445"/>
      <c r="B76" s="2427" t="s">
        <v>2803</v>
      </c>
      <c r="C76" s="2428"/>
      <c r="D76" s="2428"/>
      <c r="E76" s="2428"/>
      <c r="F76" s="2257"/>
    </row>
    <row r="77" spans="1:27" s="343" customFormat="1" ht="18" customHeight="1" x14ac:dyDescent="0.2">
      <c r="A77" s="2445"/>
      <c r="B77" s="2427" t="s">
        <v>2804</v>
      </c>
      <c r="C77" s="2428"/>
      <c r="D77" s="2428"/>
      <c r="E77" s="2428"/>
      <c r="F77" s="2257">
        <v>1</v>
      </c>
    </row>
    <row r="78" spans="1:27" s="343" customFormat="1" ht="18" customHeight="1" thickBot="1" x14ac:dyDescent="0.25">
      <c r="A78" s="2445"/>
      <c r="B78" s="2429" t="s">
        <v>2805</v>
      </c>
      <c r="C78" s="2430"/>
      <c r="D78" s="2430"/>
      <c r="E78" s="2430"/>
      <c r="F78" s="2257"/>
    </row>
    <row r="79" spans="1:27" s="343" customFormat="1" ht="30" customHeight="1" thickBot="1" x14ac:dyDescent="0.25">
      <c r="A79" s="2445"/>
      <c r="B79" s="2431" t="s">
        <v>1443</v>
      </c>
      <c r="C79" s="2432"/>
      <c r="D79" s="2432"/>
      <c r="E79" s="2432"/>
      <c r="F79" s="2256"/>
    </row>
    <row r="80" spans="1:27" s="343" customFormat="1" ht="18" customHeight="1" thickBot="1" x14ac:dyDescent="0.25">
      <c r="A80" s="2445"/>
      <c r="B80" s="1155"/>
      <c r="C80" s="1150" t="s">
        <v>12</v>
      </c>
      <c r="D80" s="1151" t="s">
        <v>13</v>
      </c>
      <c r="E80" s="1152" t="s">
        <v>14</v>
      </c>
      <c r="F80" s="2256"/>
    </row>
    <row r="81" spans="1:16382" s="343" customFormat="1" ht="18" customHeight="1" x14ac:dyDescent="0.2">
      <c r="A81" s="2445"/>
      <c r="B81" s="1156" t="s">
        <v>2806</v>
      </c>
      <c r="C81" s="888" t="s">
        <v>2838</v>
      </c>
      <c r="D81" s="882" t="s">
        <v>2840</v>
      </c>
      <c r="E81" s="887" t="s">
        <v>2842</v>
      </c>
      <c r="F81" s="2258">
        <v>2</v>
      </c>
    </row>
    <row r="82" spans="1:16382" s="343" customFormat="1" ht="18" customHeight="1" x14ac:dyDescent="0.2">
      <c r="A82" s="2445"/>
      <c r="B82" s="1153" t="s">
        <v>2807</v>
      </c>
      <c r="C82" s="888" t="s">
        <v>2832</v>
      </c>
      <c r="D82" s="882" t="s">
        <v>2835</v>
      </c>
      <c r="E82" s="883" t="s">
        <v>2837</v>
      </c>
      <c r="F82" s="2258">
        <v>3</v>
      </c>
    </row>
    <row r="83" spans="1:16382" s="343" customFormat="1" ht="18" customHeight="1" x14ac:dyDescent="0.2">
      <c r="A83" s="2445"/>
      <c r="B83" s="1153" t="s">
        <v>2808</v>
      </c>
      <c r="C83" s="888" t="s">
        <v>2839</v>
      </c>
      <c r="D83" s="882" t="s">
        <v>2841</v>
      </c>
      <c r="E83" s="883" t="s">
        <v>2843</v>
      </c>
      <c r="F83" s="2258">
        <v>3</v>
      </c>
    </row>
    <row r="84" spans="1:16382" s="343" customFormat="1" ht="18" customHeight="1" x14ac:dyDescent="0.2">
      <c r="A84" s="2445"/>
      <c r="B84" s="1153" t="s">
        <v>2809</v>
      </c>
      <c r="C84" s="888" t="s">
        <v>2822</v>
      </c>
      <c r="D84" s="882" t="s">
        <v>2824</v>
      </c>
      <c r="E84" s="883" t="s">
        <v>2844</v>
      </c>
      <c r="F84" s="2258">
        <v>2</v>
      </c>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1"/>
      <c r="CK84" s="31"/>
      <c r="CL84" s="31"/>
      <c r="CM84" s="31"/>
      <c r="CN84" s="31"/>
      <c r="CO84" s="31"/>
      <c r="CP84" s="31"/>
      <c r="CQ84" s="31"/>
      <c r="CR84" s="31"/>
      <c r="CS84" s="31"/>
      <c r="CT84" s="31"/>
      <c r="CU84" s="31"/>
      <c r="CV84" s="31"/>
      <c r="CW84" s="31"/>
      <c r="CX84" s="31"/>
      <c r="CY84" s="31"/>
      <c r="CZ84" s="31"/>
      <c r="DA84" s="31"/>
      <c r="DB84" s="31"/>
      <c r="DC84" s="31"/>
      <c r="DD84" s="31"/>
      <c r="DE84" s="31"/>
      <c r="DF84" s="31"/>
      <c r="DG84" s="31"/>
      <c r="DH84" s="31"/>
      <c r="DI84" s="31"/>
      <c r="DJ84" s="31"/>
      <c r="DK84" s="31"/>
      <c r="DL84" s="31"/>
      <c r="DM84" s="31"/>
      <c r="DN84" s="31"/>
      <c r="DO84" s="31"/>
      <c r="DP84" s="31"/>
      <c r="DQ84" s="31"/>
      <c r="DR84" s="31"/>
      <c r="DS84" s="31"/>
      <c r="DT84" s="31"/>
      <c r="DU84" s="31"/>
      <c r="DV84" s="31"/>
      <c r="DW84" s="31"/>
      <c r="DX84" s="31"/>
      <c r="DY84" s="31"/>
      <c r="DZ84" s="31"/>
      <c r="EA84" s="31"/>
      <c r="EB84" s="31"/>
      <c r="EC84" s="31"/>
      <c r="ED84" s="31"/>
      <c r="EE84" s="31"/>
      <c r="EF84" s="31"/>
      <c r="EG84" s="31"/>
      <c r="EH84" s="31"/>
      <c r="EI84" s="31"/>
      <c r="EJ84" s="31"/>
      <c r="EK84" s="31"/>
      <c r="EL84" s="31"/>
      <c r="EM84" s="31"/>
      <c r="EN84" s="31"/>
      <c r="EO84" s="31"/>
      <c r="EP84" s="31"/>
      <c r="EQ84" s="31"/>
      <c r="ER84" s="31"/>
      <c r="ES84" s="31"/>
      <c r="ET84" s="31"/>
      <c r="EU84" s="31"/>
      <c r="EV84" s="31"/>
      <c r="EW84" s="31"/>
      <c r="EX84" s="31"/>
      <c r="EY84" s="31"/>
      <c r="EZ84" s="31"/>
      <c r="FA84" s="31"/>
      <c r="FB84" s="31"/>
      <c r="FC84" s="31"/>
      <c r="FD84" s="31"/>
      <c r="FE84" s="31"/>
      <c r="FF84" s="31"/>
      <c r="FG84" s="31"/>
      <c r="FH84" s="31"/>
      <c r="FI84" s="31"/>
      <c r="FJ84" s="31"/>
      <c r="FK84" s="31"/>
      <c r="FL84" s="31"/>
      <c r="FM84" s="31"/>
      <c r="FN84" s="31"/>
      <c r="FO84" s="31"/>
      <c r="FP84" s="31"/>
      <c r="FQ84" s="31"/>
      <c r="FR84" s="31"/>
      <c r="FS84" s="31"/>
      <c r="FT84" s="31"/>
      <c r="FU84" s="31"/>
      <c r="FV84" s="31"/>
      <c r="FW84" s="31"/>
      <c r="FX84" s="31"/>
      <c r="FY84" s="31"/>
      <c r="FZ84" s="31"/>
      <c r="GA84" s="31"/>
      <c r="GB84" s="31"/>
      <c r="GC84" s="31"/>
      <c r="GD84" s="31"/>
      <c r="GE84" s="31"/>
      <c r="GF84" s="31"/>
      <c r="GG84" s="31"/>
      <c r="GH84" s="31"/>
      <c r="GI84" s="31"/>
      <c r="GJ84" s="31"/>
      <c r="GK84" s="31"/>
      <c r="GL84" s="31"/>
      <c r="GM84" s="31"/>
      <c r="GN84" s="31"/>
      <c r="GO84" s="31"/>
      <c r="GP84" s="31"/>
      <c r="GQ84" s="31"/>
      <c r="GR84" s="31"/>
      <c r="GS84" s="31"/>
      <c r="GT84" s="31"/>
      <c r="GU84" s="31"/>
      <c r="GV84" s="31"/>
      <c r="GW84" s="31"/>
      <c r="GX84" s="31"/>
      <c r="GY84" s="31"/>
      <c r="GZ84" s="31"/>
      <c r="HA84" s="31"/>
      <c r="HB84" s="31"/>
      <c r="HC84" s="31"/>
      <c r="HD84" s="31"/>
      <c r="HE84" s="31"/>
      <c r="HF84" s="31"/>
      <c r="HG84" s="31"/>
      <c r="HH84" s="31"/>
      <c r="HI84" s="31"/>
      <c r="HJ84" s="31"/>
      <c r="HK84" s="31"/>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31"/>
      <c r="IZ84" s="31"/>
      <c r="JA84" s="31"/>
      <c r="JB84" s="31"/>
      <c r="JC84" s="31"/>
      <c r="JD84" s="31"/>
      <c r="JE84" s="31"/>
      <c r="JF84" s="31"/>
      <c r="JG84" s="31"/>
      <c r="JH84" s="31"/>
      <c r="JI84" s="31"/>
      <c r="JJ84" s="31"/>
      <c r="JK84" s="31"/>
      <c r="JL84" s="31"/>
      <c r="JM84" s="31"/>
      <c r="JN84" s="31"/>
      <c r="JO84" s="31"/>
      <c r="JP84" s="31"/>
      <c r="JQ84" s="31"/>
      <c r="JR84" s="31"/>
      <c r="JS84" s="31"/>
      <c r="JT84" s="31"/>
      <c r="JU84" s="31"/>
      <c r="JV84" s="31"/>
      <c r="JW84" s="31"/>
      <c r="JX84" s="31"/>
      <c r="JY84" s="31"/>
      <c r="JZ84" s="31"/>
      <c r="KA84" s="31"/>
      <c r="KB84" s="31"/>
      <c r="KC84" s="31"/>
      <c r="KD84" s="31"/>
      <c r="KE84" s="31"/>
      <c r="KF84" s="31"/>
      <c r="KG84" s="31"/>
      <c r="KH84" s="31"/>
      <c r="KI84" s="31"/>
      <c r="KJ84" s="31"/>
      <c r="KK84" s="31"/>
      <c r="KL84" s="31"/>
      <c r="KM84" s="31"/>
      <c r="KN84" s="31"/>
      <c r="KO84" s="31"/>
      <c r="KP84" s="31"/>
      <c r="KQ84" s="31"/>
      <c r="KR84" s="31"/>
      <c r="KS84" s="31"/>
      <c r="KT84" s="31"/>
      <c r="KU84" s="31"/>
      <c r="KV84" s="31"/>
      <c r="KW84" s="31"/>
      <c r="KX84" s="31"/>
      <c r="KY84" s="31"/>
      <c r="KZ84" s="31"/>
      <c r="LA84" s="31"/>
      <c r="LB84" s="31"/>
      <c r="LC84" s="31"/>
      <c r="LD84" s="31"/>
      <c r="LE84" s="31"/>
      <c r="LF84" s="31"/>
      <c r="LG84" s="31"/>
      <c r="LH84" s="31"/>
      <c r="LI84" s="31"/>
      <c r="LJ84" s="31"/>
      <c r="LK84" s="31"/>
      <c r="LL84" s="31"/>
      <c r="LM84" s="31"/>
      <c r="LN84" s="31"/>
      <c r="LO84" s="31"/>
      <c r="LP84" s="31"/>
      <c r="LQ84" s="31"/>
      <c r="LR84" s="31"/>
      <c r="LS84" s="31"/>
      <c r="LT84" s="31"/>
      <c r="LU84" s="31"/>
      <c r="LV84" s="31"/>
      <c r="LW84" s="31"/>
      <c r="LX84" s="31"/>
      <c r="LY84" s="31"/>
      <c r="LZ84" s="31"/>
      <c r="MA84" s="31"/>
      <c r="MB84" s="31"/>
      <c r="MC84" s="31"/>
      <c r="MD84" s="31"/>
      <c r="ME84" s="31"/>
      <c r="MF84" s="31"/>
      <c r="MG84" s="31"/>
      <c r="MH84" s="31"/>
      <c r="MI84" s="31"/>
      <c r="MJ84" s="31"/>
      <c r="MK84" s="31"/>
      <c r="ML84" s="31"/>
      <c r="MM84" s="31"/>
      <c r="MN84" s="31"/>
      <c r="MO84" s="31"/>
      <c r="MP84" s="31"/>
      <c r="MQ84" s="31"/>
      <c r="MR84" s="31"/>
      <c r="MS84" s="31"/>
      <c r="MT84" s="31"/>
      <c r="MU84" s="31"/>
      <c r="MV84" s="31"/>
      <c r="MW84" s="31"/>
      <c r="MX84" s="31"/>
      <c r="MY84" s="31"/>
      <c r="MZ84" s="31"/>
      <c r="NA84" s="31"/>
      <c r="NB84" s="31"/>
      <c r="NC84" s="31"/>
      <c r="ND84" s="31"/>
      <c r="NE84" s="31"/>
      <c r="NF84" s="31"/>
      <c r="NG84" s="31"/>
      <c r="NH84" s="31"/>
      <c r="NI84" s="31"/>
      <c r="NJ84" s="31"/>
      <c r="NK84" s="31"/>
      <c r="NL84" s="31"/>
      <c r="NM84" s="31"/>
      <c r="NN84" s="31"/>
      <c r="NO84" s="31"/>
      <c r="NP84" s="31"/>
      <c r="NQ84" s="31"/>
      <c r="NR84" s="31"/>
      <c r="NS84" s="31"/>
      <c r="NT84" s="31"/>
      <c r="NU84" s="31"/>
      <c r="NV84" s="31"/>
      <c r="NW84" s="31"/>
      <c r="NX84" s="31"/>
      <c r="NY84" s="31"/>
      <c r="NZ84" s="31"/>
      <c r="OA84" s="31"/>
      <c r="OB84" s="31"/>
      <c r="OC84" s="31"/>
      <c r="OD84" s="31"/>
      <c r="OE84" s="31"/>
      <c r="OF84" s="31"/>
      <c r="OG84" s="31"/>
      <c r="OH84" s="31"/>
      <c r="OI84" s="31"/>
      <c r="OJ84" s="31"/>
      <c r="OK84" s="31"/>
      <c r="OL84" s="31"/>
      <c r="OM84" s="31"/>
      <c r="ON84" s="31"/>
      <c r="OO84" s="31"/>
      <c r="OP84" s="31"/>
      <c r="OQ84" s="31"/>
      <c r="OR84" s="31"/>
      <c r="OS84" s="31"/>
      <c r="OT84" s="31"/>
      <c r="OU84" s="31"/>
      <c r="OV84" s="31"/>
      <c r="OW84" s="31"/>
      <c r="OX84" s="31"/>
      <c r="OY84" s="31"/>
      <c r="OZ84" s="31"/>
      <c r="PA84" s="31"/>
      <c r="PB84" s="31"/>
      <c r="PC84" s="31"/>
      <c r="PD84" s="31"/>
      <c r="PE84" s="31"/>
      <c r="PF84" s="31"/>
      <c r="PG84" s="31"/>
      <c r="PH84" s="31"/>
      <c r="PI84" s="31"/>
      <c r="PJ84" s="31"/>
      <c r="PK84" s="31"/>
      <c r="PL84" s="31"/>
      <c r="PM84" s="31"/>
      <c r="PN84" s="31"/>
      <c r="PO84" s="31"/>
      <c r="PP84" s="31"/>
      <c r="PQ84" s="31"/>
      <c r="PR84" s="31"/>
      <c r="PS84" s="31"/>
      <c r="PT84" s="31"/>
      <c r="PU84" s="31"/>
      <c r="PV84" s="31"/>
      <c r="PW84" s="31"/>
      <c r="PX84" s="31"/>
      <c r="PY84" s="31"/>
      <c r="PZ84" s="31"/>
      <c r="QA84" s="31"/>
      <c r="QB84" s="31"/>
      <c r="QC84" s="31"/>
      <c r="QD84" s="31"/>
      <c r="QE84" s="31"/>
      <c r="QF84" s="31"/>
      <c r="QG84" s="31"/>
      <c r="QH84" s="31"/>
      <c r="QI84" s="31"/>
      <c r="QJ84" s="31"/>
      <c r="QK84" s="31"/>
      <c r="QL84" s="31"/>
      <c r="QM84" s="31"/>
      <c r="QN84" s="31"/>
      <c r="QO84" s="31"/>
      <c r="QP84" s="31"/>
      <c r="QQ84" s="31"/>
      <c r="QR84" s="31"/>
      <c r="QS84" s="31"/>
      <c r="QT84" s="31"/>
      <c r="QU84" s="31"/>
      <c r="QV84" s="31"/>
      <c r="QW84" s="31"/>
      <c r="QX84" s="31"/>
      <c r="QY84" s="31"/>
      <c r="QZ84" s="31"/>
      <c r="RA84" s="31"/>
      <c r="RB84" s="31"/>
      <c r="RC84" s="31"/>
      <c r="RD84" s="31"/>
      <c r="RE84" s="31"/>
      <c r="RF84" s="31"/>
      <c r="RG84" s="31"/>
      <c r="RH84" s="31"/>
      <c r="RI84" s="31"/>
      <c r="RJ84" s="31"/>
      <c r="RK84" s="31"/>
      <c r="RL84" s="31"/>
      <c r="RM84" s="31"/>
      <c r="RN84" s="31"/>
      <c r="RO84" s="31"/>
      <c r="RP84" s="31"/>
      <c r="RQ84" s="31"/>
      <c r="RR84" s="31"/>
      <c r="RS84" s="31"/>
      <c r="RT84" s="31"/>
      <c r="RU84" s="31"/>
      <c r="RV84" s="31"/>
      <c r="RW84" s="31"/>
      <c r="RX84" s="31"/>
      <c r="RY84" s="31"/>
      <c r="RZ84" s="31"/>
      <c r="SA84" s="31"/>
      <c r="SB84" s="31"/>
      <c r="SC84" s="31"/>
      <c r="SD84" s="31"/>
      <c r="SE84" s="31"/>
      <c r="SF84" s="31"/>
      <c r="SG84" s="31"/>
      <c r="SH84" s="31"/>
      <c r="SI84" s="31"/>
      <c r="SJ84" s="31"/>
      <c r="SK84" s="31"/>
      <c r="SL84" s="31"/>
      <c r="SM84" s="31"/>
      <c r="SN84" s="31"/>
      <c r="SO84" s="31"/>
      <c r="SP84" s="31"/>
      <c r="SQ84" s="31"/>
      <c r="SR84" s="31"/>
      <c r="SS84" s="31"/>
      <c r="ST84" s="31"/>
      <c r="SU84" s="31"/>
      <c r="SV84" s="31"/>
      <c r="SW84" s="31"/>
      <c r="SX84" s="31"/>
      <c r="SY84" s="31"/>
      <c r="SZ84" s="31"/>
      <c r="TA84" s="31"/>
      <c r="TB84" s="31"/>
      <c r="TC84" s="31"/>
      <c r="TD84" s="31"/>
      <c r="TE84" s="31"/>
      <c r="TF84" s="31"/>
      <c r="TG84" s="31"/>
      <c r="TH84" s="31"/>
      <c r="TI84" s="31"/>
      <c r="TJ84" s="31"/>
      <c r="TK84" s="31"/>
      <c r="TL84" s="31"/>
      <c r="TM84" s="31"/>
      <c r="TN84" s="31"/>
      <c r="TO84" s="31"/>
      <c r="TP84" s="31"/>
      <c r="TQ84" s="31"/>
      <c r="TR84" s="31"/>
      <c r="TS84" s="31"/>
      <c r="TT84" s="31"/>
      <c r="TU84" s="31"/>
      <c r="TV84" s="31"/>
      <c r="TW84" s="31"/>
      <c r="TX84" s="31"/>
      <c r="TY84" s="31"/>
      <c r="TZ84" s="31"/>
      <c r="UA84" s="31"/>
      <c r="UB84" s="31"/>
      <c r="UC84" s="31"/>
      <c r="UD84" s="31"/>
      <c r="UE84" s="31"/>
      <c r="UF84" s="31"/>
      <c r="UG84" s="31"/>
      <c r="UH84" s="31"/>
      <c r="UI84" s="31"/>
      <c r="UJ84" s="31"/>
      <c r="UK84" s="31"/>
      <c r="UL84" s="31"/>
      <c r="UM84" s="31"/>
      <c r="UN84" s="31"/>
      <c r="UO84" s="31"/>
      <c r="UP84" s="31"/>
      <c r="UQ84" s="31"/>
      <c r="UR84" s="31"/>
      <c r="US84" s="31"/>
      <c r="UT84" s="31"/>
      <c r="UU84" s="31"/>
      <c r="UV84" s="31"/>
      <c r="UW84" s="31"/>
      <c r="UX84" s="31"/>
      <c r="UY84" s="31"/>
      <c r="UZ84" s="31"/>
      <c r="VA84" s="31"/>
      <c r="VB84" s="31"/>
      <c r="VC84" s="31"/>
      <c r="VD84" s="31"/>
      <c r="VE84" s="31"/>
      <c r="VF84" s="31"/>
      <c r="VG84" s="31"/>
      <c r="VH84" s="31"/>
      <c r="VI84" s="31"/>
      <c r="VJ84" s="31"/>
      <c r="VK84" s="31"/>
      <c r="VL84" s="31"/>
      <c r="VM84" s="31"/>
      <c r="VN84" s="31"/>
      <c r="VO84" s="31"/>
      <c r="VP84" s="31"/>
      <c r="VQ84" s="31"/>
      <c r="VR84" s="31"/>
      <c r="VS84" s="31"/>
      <c r="VT84" s="31"/>
      <c r="VU84" s="31"/>
      <c r="VV84" s="31"/>
      <c r="VW84" s="31"/>
      <c r="VX84" s="31"/>
      <c r="VY84" s="31"/>
      <c r="VZ84" s="31"/>
      <c r="WA84" s="31"/>
      <c r="WB84" s="31"/>
      <c r="WC84" s="31"/>
      <c r="WD84" s="31"/>
      <c r="WE84" s="31"/>
      <c r="WF84" s="31"/>
      <c r="WG84" s="31"/>
      <c r="WH84" s="31"/>
      <c r="WI84" s="31"/>
      <c r="WJ84" s="31"/>
      <c r="WK84" s="31"/>
      <c r="WL84" s="31"/>
      <c r="WM84" s="31"/>
      <c r="WN84" s="31"/>
      <c r="WO84" s="31"/>
      <c r="WP84" s="31"/>
      <c r="WQ84" s="31"/>
      <c r="WR84" s="31"/>
      <c r="WS84" s="31"/>
      <c r="WT84" s="31"/>
      <c r="WU84" s="31"/>
      <c r="WV84" s="31"/>
      <c r="WW84" s="31"/>
      <c r="WX84" s="31"/>
      <c r="WY84" s="31"/>
      <c r="WZ84" s="31"/>
      <c r="XA84" s="31"/>
      <c r="XB84" s="31"/>
      <c r="XC84" s="31"/>
      <c r="XD84" s="31"/>
      <c r="XE84" s="31"/>
      <c r="XF84" s="31"/>
      <c r="XG84" s="31"/>
      <c r="XH84" s="31"/>
      <c r="XI84" s="31"/>
      <c r="XJ84" s="31"/>
      <c r="XK84" s="31"/>
      <c r="XL84" s="31"/>
      <c r="XM84" s="31"/>
      <c r="XN84" s="31"/>
      <c r="XO84" s="31"/>
      <c r="XP84" s="31"/>
      <c r="XQ84" s="31"/>
      <c r="XR84" s="31"/>
      <c r="XS84" s="31"/>
      <c r="XT84" s="31"/>
      <c r="XU84" s="31"/>
      <c r="XV84" s="31"/>
      <c r="XW84" s="31"/>
      <c r="XX84" s="31"/>
      <c r="XY84" s="31"/>
      <c r="XZ84" s="31"/>
      <c r="YA84" s="31"/>
      <c r="YB84" s="31"/>
      <c r="YC84" s="31"/>
      <c r="YD84" s="31"/>
      <c r="YE84" s="31"/>
      <c r="YF84" s="31"/>
      <c r="YG84" s="31"/>
      <c r="YH84" s="31"/>
      <c r="YI84" s="31"/>
      <c r="YJ84" s="31"/>
      <c r="YK84" s="31"/>
      <c r="YL84" s="31"/>
      <c r="YM84" s="31"/>
      <c r="YN84" s="31"/>
      <c r="YO84" s="31"/>
      <c r="YP84" s="31"/>
      <c r="YQ84" s="31"/>
      <c r="YR84" s="31"/>
      <c r="YS84" s="31"/>
      <c r="YT84" s="31"/>
      <c r="YU84" s="31"/>
      <c r="YV84" s="31"/>
      <c r="YW84" s="31"/>
      <c r="YX84" s="31"/>
      <c r="YY84" s="31"/>
      <c r="YZ84" s="31"/>
      <c r="ZA84" s="31"/>
      <c r="ZB84" s="31"/>
      <c r="ZC84" s="31"/>
      <c r="ZD84" s="31"/>
      <c r="ZE84" s="31"/>
      <c r="ZF84" s="31"/>
      <c r="ZG84" s="31"/>
      <c r="ZH84" s="31"/>
      <c r="ZI84" s="31"/>
      <c r="ZJ84" s="31"/>
      <c r="ZK84" s="31"/>
      <c r="ZL84" s="31"/>
      <c r="ZM84" s="31"/>
      <c r="ZN84" s="31"/>
      <c r="ZO84" s="31"/>
      <c r="ZP84" s="31"/>
      <c r="ZQ84" s="31"/>
      <c r="ZR84" s="31"/>
      <c r="ZS84" s="31"/>
      <c r="ZT84" s="31"/>
      <c r="ZU84" s="31"/>
      <c r="ZV84" s="31"/>
      <c r="ZW84" s="31"/>
      <c r="ZX84" s="31"/>
      <c r="ZY84" s="31"/>
      <c r="ZZ84" s="31"/>
      <c r="AAA84" s="31"/>
      <c r="AAB84" s="31"/>
      <c r="AAC84" s="31"/>
      <c r="AAD84" s="31"/>
      <c r="AAE84" s="31"/>
      <c r="AAF84" s="31"/>
      <c r="AAG84" s="31"/>
      <c r="AAH84" s="31"/>
      <c r="AAI84" s="31"/>
      <c r="AAJ84" s="31"/>
      <c r="AAK84" s="31"/>
      <c r="AAL84" s="31"/>
      <c r="AAM84" s="31"/>
      <c r="AAN84" s="31"/>
      <c r="AAO84" s="31"/>
      <c r="AAP84" s="31"/>
      <c r="AAQ84" s="31"/>
      <c r="AAR84" s="31"/>
      <c r="AAS84" s="31"/>
      <c r="AAT84" s="31"/>
      <c r="AAU84" s="31"/>
      <c r="AAV84" s="31"/>
      <c r="AAW84" s="31"/>
      <c r="AAX84" s="31"/>
      <c r="AAY84" s="31"/>
      <c r="AAZ84" s="31"/>
      <c r="ABA84" s="31"/>
      <c r="ABB84" s="31"/>
      <c r="ABC84" s="31"/>
      <c r="ABD84" s="31"/>
      <c r="ABE84" s="31"/>
      <c r="ABF84" s="31"/>
      <c r="ABG84" s="31"/>
      <c r="ABH84" s="31"/>
      <c r="ABI84" s="31"/>
      <c r="ABJ84" s="31"/>
      <c r="ABK84" s="31"/>
      <c r="ABL84" s="31"/>
      <c r="ABM84" s="31"/>
      <c r="ABN84" s="31"/>
      <c r="ABO84" s="31"/>
      <c r="ABP84" s="31"/>
      <c r="ABQ84" s="31"/>
      <c r="ABR84" s="31"/>
      <c r="ABS84" s="31"/>
      <c r="ABT84" s="31"/>
      <c r="ABU84" s="31"/>
      <c r="ABV84" s="31"/>
      <c r="ABW84" s="31"/>
      <c r="ABX84" s="31"/>
      <c r="ABY84" s="31"/>
      <c r="ABZ84" s="31"/>
      <c r="ACA84" s="31"/>
      <c r="ACB84" s="31"/>
      <c r="ACC84" s="31"/>
      <c r="ACD84" s="31"/>
      <c r="ACE84" s="31"/>
      <c r="ACF84" s="31"/>
      <c r="ACG84" s="31"/>
      <c r="ACH84" s="31"/>
      <c r="ACI84" s="31"/>
      <c r="ACJ84" s="31"/>
      <c r="ACK84" s="31"/>
      <c r="ACL84" s="31"/>
      <c r="ACM84" s="31"/>
      <c r="ACN84" s="31"/>
      <c r="ACO84" s="31"/>
      <c r="ACP84" s="31"/>
      <c r="ACQ84" s="31"/>
      <c r="ACR84" s="31"/>
      <c r="ACS84" s="31"/>
      <c r="ACT84" s="31"/>
      <c r="ACU84" s="31"/>
      <c r="ACV84" s="31"/>
      <c r="ACW84" s="31"/>
      <c r="ACX84" s="31"/>
      <c r="ACY84" s="31"/>
      <c r="ACZ84" s="31"/>
      <c r="ADA84" s="31"/>
      <c r="ADB84" s="31"/>
      <c r="ADC84" s="31"/>
      <c r="ADD84" s="31"/>
      <c r="ADE84" s="31"/>
      <c r="ADF84" s="31"/>
      <c r="ADG84" s="31"/>
      <c r="ADH84" s="31"/>
      <c r="ADI84" s="31"/>
      <c r="ADJ84" s="31"/>
      <c r="ADK84" s="31"/>
      <c r="ADL84" s="31"/>
      <c r="ADM84" s="31"/>
      <c r="ADN84" s="31"/>
      <c r="ADO84" s="31"/>
      <c r="ADP84" s="31"/>
      <c r="ADQ84" s="31"/>
      <c r="ADR84" s="31"/>
      <c r="ADS84" s="31"/>
      <c r="ADT84" s="31"/>
      <c r="ADU84" s="31"/>
      <c r="ADV84" s="31"/>
      <c r="ADW84" s="31"/>
      <c r="ADX84" s="31"/>
      <c r="ADY84" s="31"/>
      <c r="ADZ84" s="31"/>
      <c r="AEA84" s="31"/>
      <c r="AEB84" s="31"/>
      <c r="AEC84" s="31"/>
      <c r="AED84" s="31"/>
      <c r="AEE84" s="31"/>
      <c r="AEF84" s="31"/>
      <c r="AEG84" s="31"/>
      <c r="AEH84" s="31"/>
      <c r="AEI84" s="31"/>
      <c r="AEJ84" s="31"/>
      <c r="AEK84" s="31"/>
      <c r="AEL84" s="31"/>
      <c r="AEM84" s="31"/>
      <c r="AEN84" s="31"/>
      <c r="AEO84" s="31"/>
      <c r="AEP84" s="31"/>
      <c r="AEQ84" s="31"/>
      <c r="AER84" s="31"/>
      <c r="AES84" s="31"/>
      <c r="AET84" s="31"/>
      <c r="AEU84" s="31"/>
      <c r="AEV84" s="31"/>
      <c r="AEW84" s="31"/>
      <c r="AEX84" s="31"/>
      <c r="AEY84" s="31"/>
      <c r="AEZ84" s="31"/>
      <c r="AFA84" s="31"/>
      <c r="AFB84" s="31"/>
      <c r="AFC84" s="31"/>
      <c r="AFD84" s="31"/>
      <c r="AFE84" s="31"/>
      <c r="AFF84" s="31"/>
      <c r="AFG84" s="31"/>
      <c r="AFH84" s="31"/>
      <c r="AFI84" s="31"/>
      <c r="AFJ84" s="31"/>
      <c r="AFK84" s="31"/>
      <c r="AFL84" s="31"/>
      <c r="AFM84" s="31"/>
      <c r="AFN84" s="31"/>
      <c r="AFO84" s="31"/>
      <c r="AFP84" s="31"/>
      <c r="AFQ84" s="31"/>
      <c r="AFR84" s="31"/>
      <c r="AFS84" s="31"/>
      <c r="AFT84" s="31"/>
      <c r="AFU84" s="31"/>
      <c r="AFV84" s="31"/>
      <c r="AFW84" s="31"/>
      <c r="AFX84" s="31"/>
      <c r="AFY84" s="31"/>
      <c r="AFZ84" s="31"/>
      <c r="AGA84" s="31"/>
      <c r="AGB84" s="31"/>
      <c r="AGC84" s="31"/>
      <c r="AGD84" s="31"/>
      <c r="AGE84" s="31"/>
      <c r="AGF84" s="31"/>
      <c r="AGG84" s="31"/>
      <c r="AGH84" s="31"/>
      <c r="AGI84" s="31"/>
      <c r="AGJ84" s="31"/>
      <c r="AGK84" s="31"/>
      <c r="AGL84" s="31"/>
      <c r="AGM84" s="31"/>
      <c r="AGN84" s="31"/>
      <c r="AGO84" s="31"/>
      <c r="AGP84" s="31"/>
      <c r="AGQ84" s="31"/>
      <c r="AGR84" s="31"/>
      <c r="AGS84" s="31"/>
      <c r="AGT84" s="31"/>
      <c r="AGU84" s="31"/>
      <c r="AGV84" s="31"/>
      <c r="AGW84" s="31"/>
      <c r="AGX84" s="31"/>
      <c r="AGY84" s="31"/>
      <c r="AGZ84" s="31"/>
      <c r="AHA84" s="31"/>
      <c r="AHB84" s="31"/>
      <c r="AHC84" s="31"/>
      <c r="AHD84" s="31"/>
      <c r="AHE84" s="31"/>
      <c r="AHF84" s="31"/>
      <c r="AHG84" s="31"/>
      <c r="AHH84" s="31"/>
      <c r="AHI84" s="31"/>
      <c r="AHJ84" s="31"/>
      <c r="AHK84" s="31"/>
      <c r="AHL84" s="31"/>
      <c r="AHM84" s="31"/>
      <c r="AHN84" s="31"/>
      <c r="AHO84" s="31"/>
      <c r="AHP84" s="31"/>
      <c r="AHQ84" s="31"/>
      <c r="AHR84" s="31"/>
      <c r="AHS84" s="31"/>
      <c r="AHT84" s="31"/>
      <c r="AHU84" s="31"/>
      <c r="AHV84" s="31"/>
      <c r="AHW84" s="31"/>
      <c r="AHX84" s="31"/>
      <c r="AHY84" s="31"/>
      <c r="AHZ84" s="31"/>
      <c r="AIA84" s="31"/>
      <c r="AIB84" s="31"/>
      <c r="AIC84" s="31"/>
      <c r="AID84" s="31"/>
      <c r="AIE84" s="31"/>
      <c r="AIF84" s="31"/>
      <c r="AIG84" s="31"/>
      <c r="AIH84" s="31"/>
      <c r="AII84" s="31"/>
      <c r="AIJ84" s="31"/>
      <c r="AIK84" s="31"/>
      <c r="AIL84" s="31"/>
      <c r="AIM84" s="31"/>
      <c r="AIN84" s="31"/>
      <c r="AIO84" s="31"/>
      <c r="AIP84" s="31"/>
      <c r="AIQ84" s="31"/>
      <c r="AIR84" s="31"/>
      <c r="AIS84" s="31"/>
      <c r="AIT84" s="31"/>
      <c r="AIU84" s="31"/>
      <c r="AIV84" s="31"/>
      <c r="AIW84" s="31"/>
      <c r="AIX84" s="31"/>
      <c r="AIY84" s="31"/>
      <c r="AIZ84" s="31"/>
      <c r="AJA84" s="31"/>
      <c r="AJB84" s="31"/>
      <c r="AJC84" s="31"/>
      <c r="AJD84" s="31"/>
      <c r="AJE84" s="31"/>
      <c r="AJF84" s="31"/>
      <c r="AJG84" s="31"/>
      <c r="AJH84" s="31"/>
      <c r="AJI84" s="31"/>
      <c r="AJJ84" s="31"/>
      <c r="AJK84" s="31"/>
      <c r="AJL84" s="31"/>
      <c r="AJM84" s="31"/>
      <c r="AJN84" s="31"/>
      <c r="AJO84" s="31"/>
      <c r="AJP84" s="31"/>
      <c r="AJQ84" s="31"/>
      <c r="AJR84" s="31"/>
      <c r="AJS84" s="31"/>
      <c r="AJT84" s="31"/>
      <c r="AJU84" s="31"/>
      <c r="AJV84" s="31"/>
      <c r="AJW84" s="31"/>
      <c r="AJX84" s="31"/>
      <c r="AJY84" s="31"/>
      <c r="AJZ84" s="31"/>
      <c r="AKA84" s="31"/>
      <c r="AKB84" s="31"/>
      <c r="AKC84" s="31"/>
      <c r="AKD84" s="31"/>
      <c r="AKE84" s="31"/>
      <c r="AKF84" s="31"/>
      <c r="AKG84" s="31"/>
      <c r="AKH84" s="31"/>
      <c r="AKI84" s="31"/>
      <c r="AKJ84" s="31"/>
      <c r="AKK84" s="31"/>
      <c r="AKL84" s="31"/>
      <c r="AKM84" s="31"/>
      <c r="AKN84" s="31"/>
      <c r="AKO84" s="31"/>
      <c r="AKP84" s="31"/>
      <c r="AKQ84" s="31"/>
      <c r="AKR84" s="31"/>
      <c r="AKS84" s="31"/>
      <c r="AKT84" s="31"/>
      <c r="AKU84" s="31"/>
      <c r="AKV84" s="31"/>
      <c r="AKW84" s="31"/>
      <c r="AKX84" s="31"/>
      <c r="AKY84" s="31"/>
      <c r="AKZ84" s="31"/>
      <c r="ALA84" s="31"/>
      <c r="ALB84" s="31"/>
      <c r="ALC84" s="31"/>
      <c r="ALD84" s="31"/>
      <c r="ALE84" s="31"/>
      <c r="ALF84" s="31"/>
      <c r="ALG84" s="31"/>
      <c r="ALH84" s="31"/>
      <c r="ALI84" s="31"/>
      <c r="ALJ84" s="31"/>
      <c r="ALK84" s="31"/>
      <c r="ALL84" s="31"/>
      <c r="ALM84" s="31"/>
      <c r="ALN84" s="31"/>
      <c r="ALO84" s="31"/>
      <c r="ALP84" s="31"/>
      <c r="ALQ84" s="31"/>
      <c r="ALR84" s="31"/>
      <c r="ALS84" s="31"/>
      <c r="ALT84" s="31"/>
      <c r="ALU84" s="31"/>
      <c r="ALV84" s="31"/>
      <c r="ALW84" s="31"/>
      <c r="ALX84" s="31"/>
      <c r="ALY84" s="31"/>
      <c r="ALZ84" s="31"/>
      <c r="AMA84" s="31"/>
      <c r="AMB84" s="31"/>
      <c r="AMC84" s="31"/>
      <c r="AMD84" s="31"/>
      <c r="AME84" s="31"/>
      <c r="AMF84" s="31"/>
      <c r="AMG84" s="31"/>
      <c r="AMH84" s="31"/>
      <c r="AMI84" s="31"/>
      <c r="AMJ84" s="31"/>
      <c r="AMK84" s="31"/>
      <c r="AML84" s="31"/>
      <c r="AMM84" s="31"/>
      <c r="AMN84" s="31"/>
      <c r="AMO84" s="31"/>
      <c r="AMP84" s="31"/>
      <c r="AMQ84" s="31"/>
      <c r="AMR84" s="31"/>
      <c r="AMS84" s="31"/>
      <c r="AMT84" s="31"/>
      <c r="AMU84" s="31"/>
      <c r="AMV84" s="31"/>
      <c r="AMW84" s="31"/>
      <c r="AMX84" s="31"/>
      <c r="AMY84" s="31"/>
      <c r="AMZ84" s="31"/>
      <c r="ANA84" s="31"/>
      <c r="ANB84" s="31"/>
      <c r="ANC84" s="31"/>
      <c r="AND84" s="31"/>
      <c r="ANE84" s="31"/>
      <c r="ANF84" s="31"/>
      <c r="ANG84" s="31"/>
      <c r="ANH84" s="31"/>
      <c r="ANI84" s="31"/>
      <c r="ANJ84" s="31"/>
      <c r="ANK84" s="31"/>
      <c r="ANL84" s="31"/>
      <c r="ANM84" s="31"/>
      <c r="ANN84" s="31"/>
      <c r="ANO84" s="31"/>
      <c r="ANP84" s="31"/>
      <c r="ANQ84" s="31"/>
      <c r="ANR84" s="31"/>
      <c r="ANS84" s="31"/>
      <c r="ANT84" s="31"/>
      <c r="ANU84" s="31"/>
      <c r="ANV84" s="31"/>
      <c r="ANW84" s="31"/>
      <c r="ANX84" s="31"/>
      <c r="ANY84" s="31"/>
      <c r="ANZ84" s="31"/>
      <c r="AOA84" s="31"/>
      <c r="AOB84" s="31"/>
      <c r="AOC84" s="31"/>
      <c r="AOD84" s="31"/>
      <c r="AOE84" s="31"/>
      <c r="AOF84" s="31"/>
      <c r="AOG84" s="31"/>
      <c r="AOH84" s="31"/>
      <c r="AOI84" s="31"/>
      <c r="AOJ84" s="31"/>
      <c r="AOK84" s="31"/>
      <c r="AOL84" s="31"/>
      <c r="AOM84" s="31"/>
      <c r="AON84" s="31"/>
      <c r="AOO84" s="31"/>
      <c r="AOP84" s="31"/>
      <c r="AOQ84" s="31"/>
      <c r="AOR84" s="31"/>
      <c r="AOS84" s="31"/>
      <c r="AOT84" s="31"/>
      <c r="AOU84" s="31"/>
      <c r="AOV84" s="31"/>
      <c r="AOW84" s="31"/>
      <c r="AOX84" s="31"/>
      <c r="AOY84" s="31"/>
      <c r="AOZ84" s="31"/>
      <c r="APA84" s="31"/>
      <c r="APB84" s="31"/>
      <c r="APC84" s="31"/>
      <c r="APD84" s="31"/>
      <c r="APE84" s="31"/>
      <c r="APF84" s="31"/>
      <c r="APG84" s="31"/>
      <c r="APH84" s="31"/>
      <c r="API84" s="31"/>
      <c r="APJ84" s="31"/>
      <c r="APK84" s="31"/>
      <c r="APL84" s="31"/>
      <c r="APM84" s="31"/>
      <c r="APN84" s="31"/>
      <c r="APO84" s="31"/>
      <c r="APP84" s="31"/>
      <c r="APQ84" s="31"/>
      <c r="APR84" s="31"/>
      <c r="APS84" s="31"/>
      <c r="APT84" s="31"/>
      <c r="APU84" s="31"/>
      <c r="APV84" s="31"/>
      <c r="APW84" s="31"/>
      <c r="APX84" s="31"/>
      <c r="APY84" s="31"/>
      <c r="APZ84" s="31"/>
      <c r="AQA84" s="31"/>
      <c r="AQB84" s="31"/>
      <c r="AQC84" s="31"/>
      <c r="AQD84" s="31"/>
      <c r="AQE84" s="31"/>
      <c r="AQF84" s="31"/>
      <c r="AQG84" s="31"/>
      <c r="AQH84" s="31"/>
      <c r="AQI84" s="31"/>
      <c r="AQJ84" s="31"/>
      <c r="AQK84" s="31"/>
      <c r="AQL84" s="31"/>
      <c r="AQM84" s="31"/>
      <c r="AQN84" s="31"/>
      <c r="AQO84" s="31"/>
      <c r="AQP84" s="31"/>
      <c r="AQQ84" s="31"/>
      <c r="AQR84" s="31"/>
      <c r="AQS84" s="31"/>
      <c r="AQT84" s="31"/>
      <c r="AQU84" s="31"/>
      <c r="AQV84" s="31"/>
      <c r="AQW84" s="31"/>
      <c r="AQX84" s="31"/>
      <c r="AQY84" s="31"/>
      <c r="AQZ84" s="31"/>
      <c r="ARA84" s="31"/>
      <c r="ARB84" s="31"/>
      <c r="ARC84" s="31"/>
      <c r="ARD84" s="31"/>
      <c r="ARE84" s="31"/>
      <c r="ARF84" s="31"/>
      <c r="ARG84" s="31"/>
      <c r="ARH84" s="31"/>
      <c r="ARI84" s="31"/>
      <c r="ARJ84" s="31"/>
      <c r="ARK84" s="31"/>
      <c r="ARL84" s="31"/>
      <c r="ARM84" s="31"/>
      <c r="ARN84" s="31"/>
      <c r="ARO84" s="31"/>
      <c r="ARP84" s="31"/>
      <c r="ARQ84" s="31"/>
      <c r="ARR84" s="31"/>
      <c r="ARS84" s="31"/>
      <c r="ART84" s="31"/>
      <c r="ARU84" s="31"/>
      <c r="ARV84" s="31"/>
      <c r="ARW84" s="31"/>
      <c r="ARX84" s="31"/>
      <c r="ARY84" s="31"/>
      <c r="ARZ84" s="31"/>
      <c r="ASA84" s="31"/>
      <c r="ASB84" s="31"/>
      <c r="ASC84" s="31"/>
      <c r="ASD84" s="31"/>
      <c r="ASE84" s="31"/>
      <c r="ASF84" s="31"/>
      <c r="ASG84" s="31"/>
      <c r="ASH84" s="31"/>
      <c r="ASI84" s="31"/>
      <c r="ASJ84" s="31"/>
      <c r="ASK84" s="31"/>
      <c r="ASL84" s="31"/>
      <c r="ASM84" s="31"/>
      <c r="ASN84" s="31"/>
      <c r="ASO84" s="31"/>
      <c r="ASP84" s="31"/>
      <c r="ASQ84" s="31"/>
      <c r="ASR84" s="31"/>
      <c r="ASS84" s="31"/>
      <c r="AST84" s="31"/>
      <c r="ASU84" s="31"/>
      <c r="ASV84" s="31"/>
      <c r="ASW84" s="31"/>
      <c r="ASX84" s="31"/>
      <c r="ASY84" s="31"/>
      <c r="ASZ84" s="31"/>
      <c r="ATA84" s="31"/>
      <c r="ATB84" s="31"/>
      <c r="ATC84" s="31"/>
      <c r="ATD84" s="31"/>
      <c r="ATE84" s="31"/>
      <c r="ATF84" s="31"/>
      <c r="ATG84" s="31"/>
      <c r="ATH84" s="31"/>
      <c r="ATI84" s="31"/>
      <c r="ATJ84" s="31"/>
      <c r="ATK84" s="31"/>
      <c r="ATL84" s="31"/>
      <c r="ATM84" s="31"/>
      <c r="ATN84" s="31"/>
      <c r="ATO84" s="31"/>
      <c r="ATP84" s="31"/>
      <c r="ATQ84" s="31"/>
      <c r="ATR84" s="31"/>
      <c r="ATS84" s="31"/>
      <c r="ATT84" s="31"/>
      <c r="ATU84" s="31"/>
      <c r="ATV84" s="31"/>
      <c r="ATW84" s="31"/>
      <c r="ATX84" s="31"/>
      <c r="ATY84" s="31"/>
      <c r="ATZ84" s="31"/>
      <c r="AUA84" s="31"/>
      <c r="AUB84" s="31"/>
      <c r="AUC84" s="31"/>
      <c r="AUD84" s="31"/>
      <c r="AUE84" s="31"/>
      <c r="AUF84" s="31"/>
      <c r="AUG84" s="31"/>
      <c r="AUH84" s="31"/>
      <c r="AUI84" s="31"/>
      <c r="AUJ84" s="31"/>
      <c r="AUK84" s="31"/>
      <c r="AUL84" s="31"/>
      <c r="AUM84" s="31"/>
      <c r="AUN84" s="31"/>
      <c r="AUO84" s="31"/>
      <c r="AUP84" s="31"/>
      <c r="AUQ84" s="31"/>
      <c r="AUR84" s="31"/>
      <c r="AUS84" s="31"/>
      <c r="AUT84" s="31"/>
      <c r="AUU84" s="31"/>
      <c r="AUV84" s="31"/>
      <c r="AUW84" s="31"/>
      <c r="AUX84" s="31"/>
      <c r="AUY84" s="31"/>
      <c r="AUZ84" s="31"/>
      <c r="AVA84" s="31"/>
      <c r="AVB84" s="31"/>
      <c r="AVC84" s="31"/>
      <c r="AVD84" s="31"/>
      <c r="AVE84" s="31"/>
      <c r="AVF84" s="31"/>
      <c r="AVG84" s="31"/>
      <c r="AVH84" s="31"/>
      <c r="AVI84" s="31"/>
      <c r="AVJ84" s="31"/>
      <c r="AVK84" s="31"/>
      <c r="AVL84" s="31"/>
      <c r="AVM84" s="31"/>
      <c r="AVN84" s="31"/>
      <c r="AVO84" s="31"/>
      <c r="AVP84" s="31"/>
      <c r="AVQ84" s="31"/>
      <c r="AVR84" s="31"/>
      <c r="AVS84" s="31"/>
      <c r="AVT84" s="31"/>
      <c r="AVU84" s="31"/>
      <c r="AVV84" s="31"/>
      <c r="AVW84" s="31"/>
      <c r="AVX84" s="31"/>
      <c r="AVY84" s="31"/>
      <c r="AVZ84" s="31"/>
      <c r="AWA84" s="31"/>
      <c r="AWB84" s="31"/>
      <c r="AWC84" s="31"/>
      <c r="AWD84" s="31"/>
      <c r="AWE84" s="31"/>
      <c r="AWF84" s="31"/>
      <c r="AWG84" s="31"/>
      <c r="AWH84" s="31"/>
      <c r="AWI84" s="31"/>
      <c r="AWJ84" s="31"/>
      <c r="AWK84" s="31"/>
      <c r="AWL84" s="31"/>
      <c r="AWM84" s="31"/>
      <c r="AWN84" s="31"/>
      <c r="AWO84" s="31"/>
      <c r="AWP84" s="31"/>
      <c r="AWQ84" s="31"/>
      <c r="AWR84" s="31"/>
      <c r="AWS84" s="31"/>
      <c r="AWT84" s="31"/>
      <c r="AWU84" s="31"/>
      <c r="AWV84" s="31"/>
      <c r="AWW84" s="31"/>
      <c r="AWX84" s="31"/>
      <c r="AWY84" s="31"/>
      <c r="AWZ84" s="31"/>
      <c r="AXA84" s="31"/>
      <c r="AXB84" s="31"/>
      <c r="AXC84" s="31"/>
      <c r="AXD84" s="31"/>
      <c r="AXE84" s="31"/>
      <c r="AXF84" s="31"/>
      <c r="AXG84" s="31"/>
      <c r="AXH84" s="31"/>
      <c r="AXI84" s="31"/>
      <c r="AXJ84" s="31"/>
      <c r="AXK84" s="31"/>
      <c r="AXL84" s="31"/>
      <c r="AXM84" s="31"/>
      <c r="AXN84" s="31"/>
      <c r="AXO84" s="31"/>
      <c r="AXP84" s="31"/>
      <c r="AXQ84" s="31"/>
      <c r="AXR84" s="31"/>
      <c r="AXS84" s="31"/>
      <c r="AXT84" s="31"/>
      <c r="AXU84" s="31"/>
      <c r="AXV84" s="31"/>
      <c r="AXW84" s="31"/>
      <c r="AXX84" s="31"/>
      <c r="AXY84" s="31"/>
      <c r="AXZ84" s="31"/>
      <c r="AYA84" s="31"/>
      <c r="AYB84" s="31"/>
      <c r="AYC84" s="31"/>
      <c r="AYD84" s="31"/>
      <c r="AYE84" s="31"/>
      <c r="AYF84" s="31"/>
      <c r="AYG84" s="31"/>
      <c r="AYH84" s="31"/>
      <c r="AYI84" s="31"/>
      <c r="AYJ84" s="31"/>
      <c r="AYK84" s="31"/>
      <c r="AYL84" s="31"/>
      <c r="AYM84" s="31"/>
      <c r="AYN84" s="31"/>
      <c r="AYO84" s="31"/>
      <c r="AYP84" s="31"/>
      <c r="AYQ84" s="31"/>
      <c r="AYR84" s="31"/>
      <c r="AYS84" s="31"/>
      <c r="AYT84" s="31"/>
      <c r="AYU84" s="31"/>
      <c r="AYV84" s="31"/>
      <c r="AYW84" s="31"/>
      <c r="AYX84" s="31"/>
      <c r="AYY84" s="31"/>
      <c r="AYZ84" s="31"/>
      <c r="AZA84" s="31"/>
      <c r="AZB84" s="31"/>
      <c r="AZC84" s="31"/>
      <c r="AZD84" s="31"/>
      <c r="AZE84" s="31"/>
      <c r="AZF84" s="31"/>
      <c r="AZG84" s="31"/>
      <c r="AZH84" s="31"/>
      <c r="AZI84" s="31"/>
      <c r="AZJ84" s="31"/>
      <c r="AZK84" s="31"/>
      <c r="AZL84" s="31"/>
      <c r="AZM84" s="31"/>
      <c r="AZN84" s="31"/>
      <c r="AZO84" s="31"/>
      <c r="AZP84" s="31"/>
      <c r="AZQ84" s="31"/>
      <c r="AZR84" s="31"/>
      <c r="AZS84" s="31"/>
      <c r="AZT84" s="31"/>
      <c r="AZU84" s="31"/>
      <c r="AZV84" s="31"/>
      <c r="AZW84" s="31"/>
      <c r="AZX84" s="31"/>
      <c r="AZY84" s="31"/>
      <c r="AZZ84" s="31"/>
      <c r="BAA84" s="31"/>
      <c r="BAB84" s="31"/>
      <c r="BAC84" s="31"/>
      <c r="BAD84" s="31"/>
      <c r="BAE84" s="31"/>
      <c r="BAF84" s="31"/>
      <c r="BAG84" s="31"/>
      <c r="BAH84" s="31"/>
      <c r="BAI84" s="31"/>
      <c r="BAJ84" s="31"/>
      <c r="BAK84" s="31"/>
      <c r="BAL84" s="31"/>
      <c r="BAM84" s="31"/>
      <c r="BAN84" s="31"/>
      <c r="BAO84" s="31"/>
      <c r="BAP84" s="31"/>
      <c r="BAQ84" s="31"/>
      <c r="BAR84" s="31"/>
      <c r="BAS84" s="31"/>
      <c r="BAT84" s="31"/>
      <c r="BAU84" s="31"/>
      <c r="BAV84" s="31"/>
      <c r="BAW84" s="31"/>
      <c r="BAX84" s="31"/>
      <c r="BAY84" s="31"/>
      <c r="BAZ84" s="31"/>
      <c r="BBA84" s="31"/>
      <c r="BBB84" s="31"/>
      <c r="BBC84" s="31"/>
      <c r="BBD84" s="31"/>
      <c r="BBE84" s="31"/>
      <c r="BBF84" s="31"/>
      <c r="BBG84" s="31"/>
      <c r="BBH84" s="31"/>
      <c r="BBI84" s="31"/>
      <c r="BBJ84" s="31"/>
      <c r="BBK84" s="31"/>
      <c r="BBL84" s="31"/>
      <c r="BBM84" s="31"/>
      <c r="BBN84" s="31"/>
      <c r="BBO84" s="31"/>
      <c r="BBP84" s="31"/>
      <c r="BBQ84" s="31"/>
      <c r="BBR84" s="31"/>
      <c r="BBS84" s="31"/>
      <c r="BBT84" s="31"/>
      <c r="BBU84" s="31"/>
      <c r="BBV84" s="31"/>
      <c r="BBW84" s="31"/>
      <c r="BBX84" s="31"/>
      <c r="BBY84" s="31"/>
      <c r="BBZ84" s="31"/>
      <c r="BCA84" s="31"/>
      <c r="BCB84" s="31"/>
      <c r="BCC84" s="31"/>
      <c r="BCD84" s="31"/>
      <c r="BCE84" s="31"/>
      <c r="BCF84" s="31"/>
      <c r="BCG84" s="31"/>
      <c r="BCH84" s="31"/>
      <c r="BCI84" s="31"/>
      <c r="BCJ84" s="31"/>
      <c r="BCK84" s="31"/>
      <c r="BCL84" s="31"/>
      <c r="BCM84" s="31"/>
      <c r="BCN84" s="31"/>
      <c r="BCO84" s="31"/>
      <c r="BCP84" s="31"/>
      <c r="BCQ84" s="31"/>
      <c r="BCR84" s="31"/>
      <c r="BCS84" s="31"/>
      <c r="BCT84" s="31"/>
      <c r="BCU84" s="31"/>
      <c r="BCV84" s="31"/>
      <c r="BCW84" s="31"/>
      <c r="BCX84" s="31"/>
      <c r="BCY84" s="31"/>
      <c r="BCZ84" s="31"/>
      <c r="BDA84" s="31"/>
      <c r="BDB84" s="31"/>
      <c r="BDC84" s="31"/>
      <c r="BDD84" s="31"/>
      <c r="BDE84" s="31"/>
      <c r="BDF84" s="31"/>
      <c r="BDG84" s="31"/>
      <c r="BDH84" s="31"/>
      <c r="BDI84" s="31"/>
      <c r="BDJ84" s="31"/>
      <c r="BDK84" s="31"/>
      <c r="BDL84" s="31"/>
      <c r="BDM84" s="31"/>
      <c r="BDN84" s="31"/>
      <c r="BDO84" s="31"/>
      <c r="BDP84" s="31"/>
      <c r="BDQ84" s="31"/>
      <c r="BDR84" s="31"/>
      <c r="BDS84" s="31"/>
      <c r="BDT84" s="31"/>
      <c r="BDU84" s="31"/>
      <c r="BDV84" s="31"/>
      <c r="BDW84" s="31"/>
      <c r="BDX84" s="31"/>
      <c r="BDY84" s="31"/>
      <c r="BDZ84" s="31"/>
      <c r="BEA84" s="31"/>
      <c r="BEB84" s="31"/>
      <c r="BEC84" s="31"/>
      <c r="BED84" s="31"/>
      <c r="BEE84" s="31"/>
      <c r="BEF84" s="31"/>
      <c r="BEG84" s="31"/>
      <c r="BEH84" s="31"/>
      <c r="BEI84" s="31"/>
      <c r="BEJ84" s="31"/>
      <c r="BEK84" s="31"/>
      <c r="BEL84" s="31"/>
      <c r="BEM84" s="31"/>
      <c r="BEN84" s="31"/>
      <c r="BEO84" s="31"/>
      <c r="BEP84" s="31"/>
      <c r="BEQ84" s="31"/>
      <c r="BER84" s="31"/>
      <c r="BES84" s="31"/>
      <c r="BET84" s="31"/>
      <c r="BEU84" s="31"/>
      <c r="BEV84" s="31"/>
      <c r="BEW84" s="31"/>
      <c r="BEX84" s="31"/>
      <c r="BEY84" s="31"/>
      <c r="BEZ84" s="31"/>
      <c r="BFA84" s="31"/>
      <c r="BFB84" s="31"/>
      <c r="BFC84" s="31"/>
      <c r="BFD84" s="31"/>
      <c r="BFE84" s="31"/>
      <c r="BFF84" s="31"/>
      <c r="BFG84" s="31"/>
      <c r="BFH84" s="31"/>
      <c r="BFI84" s="31"/>
      <c r="BFJ84" s="31"/>
      <c r="BFK84" s="31"/>
      <c r="BFL84" s="31"/>
      <c r="BFM84" s="31"/>
      <c r="BFN84" s="31"/>
      <c r="BFO84" s="31"/>
      <c r="BFP84" s="31"/>
      <c r="BFQ84" s="31"/>
      <c r="BFR84" s="31"/>
      <c r="BFS84" s="31"/>
      <c r="BFT84" s="31"/>
      <c r="BFU84" s="31"/>
      <c r="BFV84" s="31"/>
      <c r="BFW84" s="31"/>
      <c r="BFX84" s="31"/>
      <c r="BFY84" s="31"/>
      <c r="BFZ84" s="31"/>
      <c r="BGA84" s="31"/>
      <c r="BGB84" s="31"/>
      <c r="BGC84" s="31"/>
      <c r="BGD84" s="31"/>
      <c r="BGE84" s="31"/>
      <c r="BGF84" s="31"/>
      <c r="BGG84" s="31"/>
      <c r="BGH84" s="31"/>
      <c r="BGI84" s="31"/>
      <c r="BGJ84" s="31"/>
      <c r="BGK84" s="31"/>
      <c r="BGL84" s="31"/>
      <c r="BGM84" s="31"/>
      <c r="BGN84" s="31"/>
      <c r="BGO84" s="31"/>
      <c r="BGP84" s="31"/>
      <c r="BGQ84" s="31"/>
      <c r="BGR84" s="31"/>
      <c r="BGS84" s="31"/>
      <c r="BGT84" s="31"/>
      <c r="BGU84" s="31"/>
      <c r="BGV84" s="31"/>
      <c r="BGW84" s="31"/>
      <c r="BGX84" s="31"/>
      <c r="BGY84" s="31"/>
      <c r="BGZ84" s="31"/>
      <c r="BHA84" s="31"/>
      <c r="BHB84" s="31"/>
      <c r="BHC84" s="31"/>
      <c r="BHD84" s="31"/>
      <c r="BHE84" s="31"/>
      <c r="BHF84" s="31"/>
      <c r="BHG84" s="31"/>
      <c r="BHH84" s="31"/>
      <c r="BHI84" s="31"/>
      <c r="BHJ84" s="31"/>
      <c r="BHK84" s="31"/>
      <c r="BHL84" s="31"/>
      <c r="BHM84" s="31"/>
      <c r="BHN84" s="31"/>
      <c r="BHO84" s="31"/>
      <c r="BHP84" s="31"/>
      <c r="BHQ84" s="31"/>
      <c r="BHR84" s="31"/>
      <c r="BHS84" s="31"/>
      <c r="BHT84" s="31"/>
      <c r="BHU84" s="31"/>
      <c r="BHV84" s="31"/>
      <c r="BHW84" s="31"/>
      <c r="BHX84" s="31"/>
      <c r="BHY84" s="31"/>
      <c r="BHZ84" s="31"/>
      <c r="BIA84" s="31"/>
      <c r="BIB84" s="31"/>
      <c r="BIC84" s="31"/>
      <c r="BID84" s="31"/>
      <c r="BIE84" s="31"/>
      <c r="BIF84" s="31"/>
      <c r="BIG84" s="31"/>
      <c r="BIH84" s="31"/>
      <c r="BII84" s="31"/>
      <c r="BIJ84" s="31"/>
      <c r="BIK84" s="31"/>
      <c r="BIL84" s="31"/>
      <c r="BIM84" s="31"/>
      <c r="BIN84" s="31"/>
      <c r="BIO84" s="31"/>
      <c r="BIP84" s="31"/>
      <c r="BIQ84" s="31"/>
      <c r="BIR84" s="31"/>
      <c r="BIS84" s="31"/>
      <c r="BIT84" s="31"/>
      <c r="BIU84" s="31"/>
      <c r="BIV84" s="31"/>
      <c r="BIW84" s="31"/>
      <c r="BIX84" s="31"/>
      <c r="BIY84" s="31"/>
      <c r="BIZ84" s="31"/>
      <c r="BJA84" s="31"/>
      <c r="BJB84" s="31"/>
      <c r="BJC84" s="31"/>
      <c r="BJD84" s="31"/>
      <c r="BJE84" s="31"/>
      <c r="BJF84" s="31"/>
      <c r="BJG84" s="31"/>
      <c r="BJH84" s="31"/>
      <c r="BJI84" s="31"/>
      <c r="BJJ84" s="31"/>
      <c r="BJK84" s="31"/>
      <c r="BJL84" s="31"/>
      <c r="BJM84" s="31"/>
      <c r="BJN84" s="31"/>
      <c r="BJO84" s="31"/>
      <c r="BJP84" s="31"/>
      <c r="BJQ84" s="31"/>
      <c r="BJR84" s="31"/>
      <c r="BJS84" s="31"/>
      <c r="BJT84" s="31"/>
      <c r="BJU84" s="31"/>
      <c r="BJV84" s="31"/>
      <c r="BJW84" s="31"/>
      <c r="BJX84" s="31"/>
      <c r="BJY84" s="31"/>
      <c r="BJZ84" s="31"/>
      <c r="BKA84" s="31"/>
      <c r="BKB84" s="31"/>
      <c r="BKC84" s="31"/>
      <c r="BKD84" s="31"/>
      <c r="BKE84" s="31"/>
      <c r="BKF84" s="31"/>
      <c r="BKG84" s="31"/>
      <c r="BKH84" s="31"/>
      <c r="BKI84" s="31"/>
      <c r="BKJ84" s="31"/>
      <c r="BKK84" s="31"/>
      <c r="BKL84" s="31"/>
      <c r="BKM84" s="31"/>
      <c r="BKN84" s="31"/>
      <c r="BKO84" s="31"/>
      <c r="BKP84" s="31"/>
      <c r="BKQ84" s="31"/>
      <c r="BKR84" s="31"/>
      <c r="BKS84" s="31"/>
      <c r="BKT84" s="31"/>
      <c r="BKU84" s="31"/>
      <c r="BKV84" s="31"/>
      <c r="BKW84" s="31"/>
      <c r="BKX84" s="31"/>
      <c r="BKY84" s="31"/>
      <c r="BKZ84" s="31"/>
      <c r="BLA84" s="31"/>
      <c r="BLB84" s="31"/>
      <c r="BLC84" s="31"/>
      <c r="BLD84" s="31"/>
      <c r="BLE84" s="31"/>
      <c r="BLF84" s="31"/>
      <c r="BLG84" s="31"/>
      <c r="BLH84" s="31"/>
      <c r="BLI84" s="31"/>
      <c r="BLJ84" s="31"/>
      <c r="BLK84" s="31"/>
      <c r="BLL84" s="31"/>
      <c r="BLM84" s="31"/>
      <c r="BLN84" s="31"/>
      <c r="BLO84" s="31"/>
      <c r="BLP84" s="31"/>
      <c r="BLQ84" s="31"/>
      <c r="BLR84" s="31"/>
      <c r="BLS84" s="31"/>
      <c r="BLT84" s="31"/>
      <c r="BLU84" s="31"/>
      <c r="BLV84" s="31"/>
      <c r="BLW84" s="31"/>
      <c r="BLX84" s="31"/>
      <c r="BLY84" s="31"/>
      <c r="BLZ84" s="31"/>
      <c r="BMA84" s="31"/>
      <c r="BMB84" s="31"/>
      <c r="BMC84" s="31"/>
      <c r="BMD84" s="31"/>
      <c r="BME84" s="31"/>
      <c r="BMF84" s="31"/>
      <c r="BMG84" s="31"/>
      <c r="BMH84" s="31"/>
      <c r="BMI84" s="31"/>
      <c r="BMJ84" s="31"/>
      <c r="BMK84" s="31"/>
      <c r="BML84" s="31"/>
      <c r="BMM84" s="31"/>
      <c r="BMN84" s="31"/>
      <c r="BMO84" s="31"/>
      <c r="BMP84" s="31"/>
      <c r="BMQ84" s="31"/>
      <c r="BMR84" s="31"/>
      <c r="BMS84" s="31"/>
      <c r="BMT84" s="31"/>
      <c r="BMU84" s="31"/>
      <c r="BMV84" s="31"/>
      <c r="BMW84" s="31"/>
      <c r="BMX84" s="31"/>
      <c r="BMY84" s="31"/>
      <c r="BMZ84" s="31"/>
      <c r="BNA84" s="31"/>
      <c r="BNB84" s="31"/>
      <c r="BNC84" s="31"/>
      <c r="BND84" s="31"/>
      <c r="BNE84" s="31"/>
      <c r="BNF84" s="31"/>
      <c r="BNG84" s="31"/>
      <c r="BNH84" s="31"/>
      <c r="BNI84" s="31"/>
      <c r="BNJ84" s="31"/>
      <c r="BNK84" s="31"/>
      <c r="BNL84" s="31"/>
      <c r="BNM84" s="31"/>
      <c r="BNN84" s="31"/>
      <c r="BNO84" s="31"/>
      <c r="BNP84" s="31"/>
      <c r="BNQ84" s="31"/>
      <c r="BNR84" s="31"/>
      <c r="BNS84" s="31"/>
      <c r="BNT84" s="31"/>
      <c r="BNU84" s="31"/>
      <c r="BNV84" s="31"/>
      <c r="BNW84" s="31"/>
      <c r="BNX84" s="31"/>
      <c r="BNY84" s="31"/>
      <c r="BNZ84" s="31"/>
      <c r="BOA84" s="31"/>
      <c r="BOB84" s="31"/>
      <c r="BOC84" s="31"/>
      <c r="BOD84" s="31"/>
      <c r="BOE84" s="31"/>
      <c r="BOF84" s="31"/>
      <c r="BOG84" s="31"/>
      <c r="BOH84" s="31"/>
      <c r="BOI84" s="31"/>
      <c r="BOJ84" s="31"/>
      <c r="BOK84" s="31"/>
      <c r="BOL84" s="31"/>
      <c r="BOM84" s="31"/>
      <c r="BON84" s="31"/>
      <c r="BOO84" s="31"/>
      <c r="BOP84" s="31"/>
      <c r="BOQ84" s="31"/>
      <c r="BOR84" s="31"/>
      <c r="BOS84" s="31"/>
      <c r="BOT84" s="31"/>
      <c r="BOU84" s="31"/>
      <c r="BOV84" s="31"/>
      <c r="BOW84" s="31"/>
      <c r="BOX84" s="31"/>
      <c r="BOY84" s="31"/>
      <c r="BOZ84" s="31"/>
      <c r="BPA84" s="31"/>
      <c r="BPB84" s="31"/>
      <c r="BPC84" s="31"/>
      <c r="BPD84" s="31"/>
      <c r="BPE84" s="31"/>
      <c r="BPF84" s="31"/>
      <c r="BPG84" s="31"/>
      <c r="BPH84" s="31"/>
      <c r="BPI84" s="31"/>
      <c r="BPJ84" s="31"/>
      <c r="BPK84" s="31"/>
      <c r="BPL84" s="31"/>
      <c r="BPM84" s="31"/>
      <c r="BPN84" s="31"/>
      <c r="BPO84" s="31"/>
      <c r="BPP84" s="31"/>
      <c r="BPQ84" s="31"/>
      <c r="BPR84" s="31"/>
      <c r="BPS84" s="31"/>
      <c r="BPT84" s="31"/>
      <c r="BPU84" s="31"/>
      <c r="BPV84" s="31"/>
      <c r="BPW84" s="31"/>
      <c r="BPX84" s="31"/>
      <c r="BPY84" s="31"/>
      <c r="BPZ84" s="31"/>
      <c r="BQA84" s="31"/>
      <c r="BQB84" s="31"/>
      <c r="BQC84" s="31"/>
      <c r="BQD84" s="31"/>
      <c r="BQE84" s="31"/>
      <c r="BQF84" s="31"/>
      <c r="BQG84" s="31"/>
      <c r="BQH84" s="31"/>
      <c r="BQI84" s="31"/>
      <c r="BQJ84" s="31"/>
      <c r="BQK84" s="31"/>
      <c r="BQL84" s="31"/>
      <c r="BQM84" s="31"/>
      <c r="BQN84" s="31"/>
      <c r="BQO84" s="31"/>
      <c r="BQP84" s="31"/>
      <c r="BQQ84" s="31"/>
      <c r="BQR84" s="31"/>
      <c r="BQS84" s="31"/>
      <c r="BQT84" s="31"/>
      <c r="BQU84" s="31"/>
      <c r="BQV84" s="31"/>
      <c r="BQW84" s="31"/>
      <c r="BQX84" s="31"/>
      <c r="BQY84" s="31"/>
      <c r="BQZ84" s="31"/>
      <c r="BRA84" s="31"/>
      <c r="BRB84" s="31"/>
      <c r="BRC84" s="31"/>
      <c r="BRD84" s="31"/>
      <c r="BRE84" s="31"/>
      <c r="BRF84" s="31"/>
      <c r="BRG84" s="31"/>
      <c r="BRH84" s="31"/>
      <c r="BRI84" s="31"/>
      <c r="BRJ84" s="31"/>
      <c r="BRK84" s="31"/>
      <c r="BRL84" s="31"/>
      <c r="BRM84" s="31"/>
      <c r="BRN84" s="31"/>
      <c r="BRO84" s="31"/>
      <c r="BRP84" s="31"/>
      <c r="BRQ84" s="31"/>
      <c r="BRR84" s="31"/>
      <c r="BRS84" s="31"/>
      <c r="BRT84" s="31"/>
      <c r="BRU84" s="31"/>
      <c r="BRV84" s="31"/>
      <c r="BRW84" s="31"/>
      <c r="BRX84" s="31"/>
      <c r="BRY84" s="31"/>
      <c r="BRZ84" s="31"/>
      <c r="BSA84" s="31"/>
      <c r="BSB84" s="31"/>
      <c r="BSC84" s="31"/>
      <c r="BSD84" s="31"/>
      <c r="BSE84" s="31"/>
      <c r="BSF84" s="31"/>
      <c r="BSG84" s="31"/>
      <c r="BSH84" s="31"/>
      <c r="BSI84" s="31"/>
      <c r="BSJ84" s="31"/>
      <c r="BSK84" s="31"/>
      <c r="BSL84" s="31"/>
      <c r="BSM84" s="31"/>
      <c r="BSN84" s="31"/>
      <c r="BSO84" s="31"/>
      <c r="BSP84" s="31"/>
      <c r="BSQ84" s="31"/>
      <c r="BSR84" s="31"/>
      <c r="BSS84" s="31"/>
      <c r="BST84" s="31"/>
      <c r="BSU84" s="31"/>
      <c r="BSV84" s="31"/>
      <c r="BSW84" s="31"/>
      <c r="BSX84" s="31"/>
      <c r="BSY84" s="31"/>
      <c r="BSZ84" s="31"/>
      <c r="BTA84" s="31"/>
      <c r="BTB84" s="31"/>
      <c r="BTC84" s="31"/>
      <c r="BTD84" s="31"/>
      <c r="BTE84" s="31"/>
      <c r="BTF84" s="31"/>
      <c r="BTG84" s="31"/>
      <c r="BTH84" s="31"/>
      <c r="BTI84" s="31"/>
      <c r="BTJ84" s="31"/>
      <c r="BTK84" s="31"/>
      <c r="BTL84" s="31"/>
      <c r="BTM84" s="31"/>
      <c r="BTN84" s="31"/>
      <c r="BTO84" s="31"/>
      <c r="BTP84" s="31"/>
      <c r="BTQ84" s="31"/>
      <c r="BTR84" s="31"/>
      <c r="BTS84" s="31"/>
      <c r="BTT84" s="31"/>
      <c r="BTU84" s="31"/>
      <c r="BTV84" s="31"/>
      <c r="BTW84" s="31"/>
      <c r="BTX84" s="31"/>
      <c r="BTY84" s="31"/>
      <c r="BTZ84" s="31"/>
      <c r="BUA84" s="31"/>
      <c r="BUB84" s="31"/>
      <c r="BUC84" s="31"/>
      <c r="BUD84" s="31"/>
      <c r="BUE84" s="31"/>
      <c r="BUF84" s="31"/>
      <c r="BUG84" s="31"/>
      <c r="BUH84" s="31"/>
      <c r="BUI84" s="31"/>
      <c r="BUJ84" s="31"/>
      <c r="BUK84" s="31"/>
      <c r="BUL84" s="31"/>
      <c r="BUM84" s="31"/>
      <c r="BUN84" s="31"/>
      <c r="BUO84" s="31"/>
      <c r="BUP84" s="31"/>
      <c r="BUQ84" s="31"/>
      <c r="BUR84" s="31"/>
      <c r="BUS84" s="31"/>
      <c r="BUT84" s="31"/>
      <c r="BUU84" s="31"/>
      <c r="BUV84" s="31"/>
      <c r="BUW84" s="31"/>
      <c r="BUX84" s="31"/>
      <c r="BUY84" s="31"/>
      <c r="BUZ84" s="31"/>
      <c r="BVA84" s="31"/>
      <c r="BVB84" s="31"/>
      <c r="BVC84" s="31"/>
      <c r="BVD84" s="31"/>
      <c r="BVE84" s="31"/>
      <c r="BVF84" s="31"/>
      <c r="BVG84" s="31"/>
      <c r="BVH84" s="31"/>
      <c r="BVI84" s="31"/>
      <c r="BVJ84" s="31"/>
      <c r="BVK84" s="31"/>
      <c r="BVL84" s="31"/>
      <c r="BVM84" s="31"/>
      <c r="BVN84" s="31"/>
      <c r="BVO84" s="31"/>
      <c r="BVP84" s="31"/>
      <c r="BVQ84" s="31"/>
      <c r="BVR84" s="31"/>
      <c r="BVS84" s="31"/>
      <c r="BVT84" s="31"/>
      <c r="BVU84" s="31"/>
      <c r="BVV84" s="31"/>
      <c r="BVW84" s="31"/>
      <c r="BVX84" s="31"/>
      <c r="BVY84" s="31"/>
      <c r="BVZ84" s="31"/>
      <c r="BWA84" s="31"/>
      <c r="BWB84" s="31"/>
      <c r="BWC84" s="31"/>
      <c r="BWD84" s="31"/>
      <c r="BWE84" s="31"/>
      <c r="BWF84" s="31"/>
      <c r="BWG84" s="31"/>
      <c r="BWH84" s="31"/>
      <c r="BWI84" s="31"/>
      <c r="BWJ84" s="31"/>
      <c r="BWK84" s="31"/>
      <c r="BWL84" s="31"/>
      <c r="BWM84" s="31"/>
      <c r="BWN84" s="31"/>
      <c r="BWO84" s="31"/>
      <c r="BWP84" s="31"/>
      <c r="BWQ84" s="31"/>
      <c r="BWR84" s="31"/>
      <c r="BWS84" s="31"/>
      <c r="BWT84" s="31"/>
      <c r="BWU84" s="31"/>
      <c r="BWV84" s="31"/>
      <c r="BWW84" s="31"/>
      <c r="BWX84" s="31"/>
      <c r="BWY84" s="31"/>
      <c r="BWZ84" s="31"/>
      <c r="BXA84" s="31"/>
      <c r="BXB84" s="31"/>
      <c r="BXC84" s="31"/>
      <c r="BXD84" s="31"/>
      <c r="BXE84" s="31"/>
      <c r="BXF84" s="31"/>
      <c r="BXG84" s="31"/>
      <c r="BXH84" s="31"/>
      <c r="BXI84" s="31"/>
      <c r="BXJ84" s="31"/>
      <c r="BXK84" s="31"/>
      <c r="BXL84" s="31"/>
      <c r="BXM84" s="31"/>
      <c r="BXN84" s="31"/>
      <c r="BXO84" s="31"/>
      <c r="BXP84" s="31"/>
      <c r="BXQ84" s="31"/>
      <c r="BXR84" s="31"/>
      <c r="BXS84" s="31"/>
      <c r="BXT84" s="31"/>
      <c r="BXU84" s="31"/>
      <c r="BXV84" s="31"/>
      <c r="BXW84" s="31"/>
      <c r="BXX84" s="31"/>
      <c r="BXY84" s="31"/>
      <c r="BXZ84" s="31"/>
      <c r="BYA84" s="31"/>
      <c r="BYB84" s="31"/>
      <c r="BYC84" s="31"/>
      <c r="BYD84" s="31"/>
      <c r="BYE84" s="31"/>
      <c r="BYF84" s="31"/>
      <c r="BYG84" s="31"/>
      <c r="BYH84" s="31"/>
      <c r="BYI84" s="31"/>
      <c r="BYJ84" s="31"/>
      <c r="BYK84" s="31"/>
      <c r="BYL84" s="31"/>
      <c r="BYM84" s="31"/>
      <c r="BYN84" s="31"/>
      <c r="BYO84" s="31"/>
      <c r="BYP84" s="31"/>
      <c r="BYQ84" s="31"/>
      <c r="BYR84" s="31"/>
      <c r="BYS84" s="31"/>
      <c r="BYT84" s="31"/>
      <c r="BYU84" s="31"/>
      <c r="BYV84" s="31"/>
      <c r="BYW84" s="31"/>
      <c r="BYX84" s="31"/>
      <c r="BYY84" s="31"/>
      <c r="BYZ84" s="31"/>
      <c r="BZA84" s="31"/>
      <c r="BZB84" s="31"/>
      <c r="BZC84" s="31"/>
      <c r="BZD84" s="31"/>
      <c r="BZE84" s="31"/>
      <c r="BZF84" s="31"/>
      <c r="BZG84" s="31"/>
      <c r="BZH84" s="31"/>
      <c r="BZI84" s="31"/>
      <c r="BZJ84" s="31"/>
      <c r="BZK84" s="31"/>
      <c r="BZL84" s="31"/>
      <c r="BZM84" s="31"/>
      <c r="BZN84" s="31"/>
      <c r="BZO84" s="31"/>
      <c r="BZP84" s="31"/>
      <c r="BZQ84" s="31"/>
      <c r="BZR84" s="31"/>
      <c r="BZS84" s="31"/>
      <c r="BZT84" s="31"/>
      <c r="BZU84" s="31"/>
      <c r="BZV84" s="31"/>
      <c r="BZW84" s="31"/>
      <c r="BZX84" s="31"/>
      <c r="BZY84" s="31"/>
      <c r="BZZ84" s="31"/>
      <c r="CAA84" s="31"/>
      <c r="CAB84" s="31"/>
      <c r="CAC84" s="31"/>
      <c r="CAD84" s="31"/>
      <c r="CAE84" s="31"/>
      <c r="CAF84" s="31"/>
      <c r="CAG84" s="31"/>
      <c r="CAH84" s="31"/>
      <c r="CAI84" s="31"/>
      <c r="CAJ84" s="31"/>
      <c r="CAK84" s="31"/>
      <c r="CAL84" s="31"/>
      <c r="CAM84" s="31"/>
      <c r="CAN84" s="31"/>
      <c r="CAO84" s="31"/>
      <c r="CAP84" s="31"/>
      <c r="CAQ84" s="31"/>
      <c r="CAR84" s="31"/>
      <c r="CAS84" s="31"/>
      <c r="CAT84" s="31"/>
      <c r="CAU84" s="31"/>
      <c r="CAV84" s="31"/>
      <c r="CAW84" s="31"/>
      <c r="CAX84" s="31"/>
      <c r="CAY84" s="31"/>
      <c r="CAZ84" s="31"/>
      <c r="CBA84" s="31"/>
      <c r="CBB84" s="31"/>
      <c r="CBC84" s="31"/>
      <c r="CBD84" s="31"/>
      <c r="CBE84" s="31"/>
      <c r="CBF84" s="31"/>
      <c r="CBG84" s="31"/>
      <c r="CBH84" s="31"/>
      <c r="CBI84" s="31"/>
      <c r="CBJ84" s="31"/>
      <c r="CBK84" s="31"/>
      <c r="CBL84" s="31"/>
      <c r="CBM84" s="31"/>
      <c r="CBN84" s="31"/>
      <c r="CBO84" s="31"/>
      <c r="CBP84" s="31"/>
      <c r="CBQ84" s="31"/>
      <c r="CBR84" s="31"/>
      <c r="CBS84" s="31"/>
      <c r="CBT84" s="31"/>
      <c r="CBU84" s="31"/>
      <c r="CBV84" s="31"/>
      <c r="CBW84" s="31"/>
      <c r="CBX84" s="31"/>
      <c r="CBY84" s="31"/>
      <c r="CBZ84" s="31"/>
      <c r="CCA84" s="31"/>
      <c r="CCB84" s="31"/>
      <c r="CCC84" s="31"/>
      <c r="CCD84" s="31"/>
      <c r="CCE84" s="31"/>
      <c r="CCF84" s="31"/>
      <c r="CCG84" s="31"/>
      <c r="CCH84" s="31"/>
      <c r="CCI84" s="31"/>
      <c r="CCJ84" s="31"/>
      <c r="CCK84" s="31"/>
      <c r="CCL84" s="31"/>
      <c r="CCM84" s="31"/>
      <c r="CCN84" s="31"/>
      <c r="CCO84" s="31"/>
      <c r="CCP84" s="31"/>
      <c r="CCQ84" s="31"/>
      <c r="CCR84" s="31"/>
      <c r="CCS84" s="31"/>
      <c r="CCT84" s="31"/>
      <c r="CCU84" s="31"/>
      <c r="CCV84" s="31"/>
      <c r="CCW84" s="31"/>
      <c r="CCX84" s="31"/>
      <c r="CCY84" s="31"/>
      <c r="CCZ84" s="31"/>
      <c r="CDA84" s="31"/>
      <c r="CDB84" s="31"/>
      <c r="CDC84" s="31"/>
      <c r="CDD84" s="31"/>
      <c r="CDE84" s="31"/>
      <c r="CDF84" s="31"/>
      <c r="CDG84" s="31"/>
      <c r="CDH84" s="31"/>
      <c r="CDI84" s="31"/>
      <c r="CDJ84" s="31"/>
      <c r="CDK84" s="31"/>
      <c r="CDL84" s="31"/>
      <c r="CDM84" s="31"/>
      <c r="CDN84" s="31"/>
      <c r="CDO84" s="31"/>
      <c r="CDP84" s="31"/>
      <c r="CDQ84" s="31"/>
      <c r="CDR84" s="31"/>
      <c r="CDS84" s="31"/>
      <c r="CDT84" s="31"/>
      <c r="CDU84" s="31"/>
      <c r="CDV84" s="31"/>
      <c r="CDW84" s="31"/>
      <c r="CDX84" s="31"/>
      <c r="CDY84" s="31"/>
      <c r="CDZ84" s="31"/>
      <c r="CEA84" s="31"/>
      <c r="CEB84" s="31"/>
      <c r="CEC84" s="31"/>
      <c r="CED84" s="31"/>
      <c r="CEE84" s="31"/>
      <c r="CEF84" s="31"/>
      <c r="CEG84" s="31"/>
      <c r="CEH84" s="31"/>
      <c r="CEI84" s="31"/>
      <c r="CEJ84" s="31"/>
      <c r="CEK84" s="31"/>
      <c r="CEL84" s="31"/>
      <c r="CEM84" s="31"/>
      <c r="CEN84" s="31"/>
      <c r="CEO84" s="31"/>
      <c r="CEP84" s="31"/>
      <c r="CEQ84" s="31"/>
      <c r="CER84" s="31"/>
      <c r="CES84" s="31"/>
      <c r="CET84" s="31"/>
      <c r="CEU84" s="31"/>
      <c r="CEV84" s="31"/>
      <c r="CEW84" s="31"/>
      <c r="CEX84" s="31"/>
      <c r="CEY84" s="31"/>
      <c r="CEZ84" s="31"/>
      <c r="CFA84" s="31"/>
      <c r="CFB84" s="31"/>
      <c r="CFC84" s="31"/>
      <c r="CFD84" s="31"/>
      <c r="CFE84" s="31"/>
      <c r="CFF84" s="31"/>
      <c r="CFG84" s="31"/>
      <c r="CFH84" s="31"/>
      <c r="CFI84" s="31"/>
      <c r="CFJ84" s="31"/>
      <c r="CFK84" s="31"/>
      <c r="CFL84" s="31"/>
      <c r="CFM84" s="31"/>
      <c r="CFN84" s="31"/>
      <c r="CFO84" s="31"/>
      <c r="CFP84" s="31"/>
      <c r="CFQ84" s="31"/>
      <c r="CFR84" s="31"/>
      <c r="CFS84" s="31"/>
      <c r="CFT84" s="31"/>
      <c r="CFU84" s="31"/>
      <c r="CFV84" s="31"/>
      <c r="CFW84" s="31"/>
      <c r="CFX84" s="31"/>
      <c r="CFY84" s="31"/>
      <c r="CFZ84" s="31"/>
      <c r="CGA84" s="31"/>
      <c r="CGB84" s="31"/>
      <c r="CGC84" s="31"/>
      <c r="CGD84" s="31"/>
      <c r="CGE84" s="31"/>
      <c r="CGF84" s="31"/>
      <c r="CGG84" s="31"/>
      <c r="CGH84" s="31"/>
      <c r="CGI84" s="31"/>
      <c r="CGJ84" s="31"/>
      <c r="CGK84" s="31"/>
      <c r="CGL84" s="31"/>
      <c r="CGM84" s="31"/>
      <c r="CGN84" s="31"/>
      <c r="CGO84" s="31"/>
      <c r="CGP84" s="31"/>
      <c r="CGQ84" s="31"/>
      <c r="CGR84" s="31"/>
      <c r="CGS84" s="31"/>
      <c r="CGT84" s="31"/>
      <c r="CGU84" s="31"/>
      <c r="CGV84" s="31"/>
      <c r="CGW84" s="31"/>
      <c r="CGX84" s="31"/>
      <c r="CGY84" s="31"/>
      <c r="CGZ84" s="31"/>
      <c r="CHA84" s="31"/>
      <c r="CHB84" s="31"/>
      <c r="CHC84" s="31"/>
      <c r="CHD84" s="31"/>
      <c r="CHE84" s="31"/>
      <c r="CHF84" s="31"/>
      <c r="CHG84" s="31"/>
      <c r="CHH84" s="31"/>
      <c r="CHI84" s="31"/>
      <c r="CHJ84" s="31"/>
      <c r="CHK84" s="31"/>
      <c r="CHL84" s="31"/>
      <c r="CHM84" s="31"/>
      <c r="CHN84" s="31"/>
      <c r="CHO84" s="31"/>
      <c r="CHP84" s="31"/>
      <c r="CHQ84" s="31"/>
      <c r="CHR84" s="31"/>
      <c r="CHS84" s="31"/>
      <c r="CHT84" s="31"/>
      <c r="CHU84" s="31"/>
      <c r="CHV84" s="31"/>
      <c r="CHW84" s="31"/>
      <c r="CHX84" s="31"/>
      <c r="CHY84" s="31"/>
      <c r="CHZ84" s="31"/>
      <c r="CIA84" s="31"/>
      <c r="CIB84" s="31"/>
      <c r="CIC84" s="31"/>
      <c r="CID84" s="31"/>
      <c r="CIE84" s="31"/>
      <c r="CIF84" s="31"/>
      <c r="CIG84" s="31"/>
      <c r="CIH84" s="31"/>
      <c r="CII84" s="31"/>
      <c r="CIJ84" s="31"/>
      <c r="CIK84" s="31"/>
      <c r="CIL84" s="31"/>
      <c r="CIM84" s="31"/>
      <c r="CIN84" s="31"/>
      <c r="CIO84" s="31"/>
      <c r="CIP84" s="31"/>
      <c r="CIQ84" s="31"/>
      <c r="CIR84" s="31"/>
      <c r="CIS84" s="31"/>
      <c r="CIT84" s="31"/>
      <c r="CIU84" s="31"/>
      <c r="CIV84" s="31"/>
      <c r="CIW84" s="31"/>
      <c r="CIX84" s="31"/>
      <c r="CIY84" s="31"/>
      <c r="CIZ84" s="31"/>
      <c r="CJA84" s="31"/>
      <c r="CJB84" s="31"/>
      <c r="CJC84" s="31"/>
      <c r="CJD84" s="31"/>
      <c r="CJE84" s="31"/>
      <c r="CJF84" s="31"/>
      <c r="CJG84" s="31"/>
      <c r="CJH84" s="31"/>
      <c r="CJI84" s="31"/>
      <c r="CJJ84" s="31"/>
      <c r="CJK84" s="31"/>
      <c r="CJL84" s="31"/>
      <c r="CJM84" s="31"/>
      <c r="CJN84" s="31"/>
      <c r="CJO84" s="31"/>
      <c r="CJP84" s="31"/>
      <c r="CJQ84" s="31"/>
      <c r="CJR84" s="31"/>
      <c r="CJS84" s="31"/>
      <c r="CJT84" s="31"/>
      <c r="CJU84" s="31"/>
      <c r="CJV84" s="31"/>
      <c r="CJW84" s="31"/>
      <c r="CJX84" s="31"/>
      <c r="CJY84" s="31"/>
      <c r="CJZ84" s="31"/>
      <c r="CKA84" s="31"/>
      <c r="CKB84" s="31"/>
      <c r="CKC84" s="31"/>
      <c r="CKD84" s="31"/>
      <c r="CKE84" s="31"/>
      <c r="CKF84" s="31"/>
      <c r="CKG84" s="31"/>
      <c r="CKH84" s="31"/>
      <c r="CKI84" s="31"/>
      <c r="CKJ84" s="31"/>
      <c r="CKK84" s="31"/>
      <c r="CKL84" s="31"/>
      <c r="CKM84" s="31"/>
      <c r="CKN84" s="31"/>
      <c r="CKO84" s="31"/>
      <c r="CKP84" s="31"/>
      <c r="CKQ84" s="31"/>
      <c r="CKR84" s="31"/>
      <c r="CKS84" s="31"/>
      <c r="CKT84" s="31"/>
      <c r="CKU84" s="31"/>
      <c r="CKV84" s="31"/>
      <c r="CKW84" s="31"/>
      <c r="CKX84" s="31"/>
      <c r="CKY84" s="31"/>
      <c r="CKZ84" s="31"/>
      <c r="CLA84" s="31"/>
      <c r="CLB84" s="31"/>
      <c r="CLC84" s="31"/>
      <c r="CLD84" s="31"/>
      <c r="CLE84" s="31"/>
      <c r="CLF84" s="31"/>
      <c r="CLG84" s="31"/>
      <c r="CLH84" s="31"/>
      <c r="CLI84" s="31"/>
      <c r="CLJ84" s="31"/>
      <c r="CLK84" s="31"/>
      <c r="CLL84" s="31"/>
      <c r="CLM84" s="31"/>
      <c r="CLN84" s="31"/>
      <c r="CLO84" s="31"/>
      <c r="CLP84" s="31"/>
      <c r="CLQ84" s="31"/>
      <c r="CLR84" s="31"/>
      <c r="CLS84" s="31"/>
      <c r="CLT84" s="31"/>
      <c r="CLU84" s="31"/>
      <c r="CLV84" s="31"/>
      <c r="CLW84" s="31"/>
      <c r="CLX84" s="31"/>
      <c r="CLY84" s="31"/>
      <c r="CLZ84" s="31"/>
      <c r="CMA84" s="31"/>
      <c r="CMB84" s="31"/>
      <c r="CMC84" s="31"/>
      <c r="CMD84" s="31"/>
      <c r="CME84" s="31"/>
      <c r="CMF84" s="31"/>
      <c r="CMG84" s="31"/>
      <c r="CMH84" s="31"/>
      <c r="CMI84" s="31"/>
      <c r="CMJ84" s="31"/>
      <c r="CMK84" s="31"/>
      <c r="CML84" s="31"/>
      <c r="CMM84" s="31"/>
      <c r="CMN84" s="31"/>
      <c r="CMO84" s="31"/>
      <c r="CMP84" s="31"/>
      <c r="CMQ84" s="31"/>
      <c r="CMR84" s="31"/>
      <c r="CMS84" s="31"/>
      <c r="CMT84" s="31"/>
      <c r="CMU84" s="31"/>
      <c r="CMV84" s="31"/>
      <c r="CMW84" s="31"/>
      <c r="CMX84" s="31"/>
      <c r="CMY84" s="31"/>
      <c r="CMZ84" s="31"/>
      <c r="CNA84" s="31"/>
      <c r="CNB84" s="31"/>
      <c r="CNC84" s="31"/>
      <c r="CND84" s="31"/>
      <c r="CNE84" s="31"/>
      <c r="CNF84" s="31"/>
      <c r="CNG84" s="31"/>
      <c r="CNH84" s="31"/>
      <c r="CNI84" s="31"/>
      <c r="CNJ84" s="31"/>
      <c r="CNK84" s="31"/>
      <c r="CNL84" s="31"/>
      <c r="CNM84" s="31"/>
      <c r="CNN84" s="31"/>
      <c r="CNO84" s="31"/>
      <c r="CNP84" s="31"/>
      <c r="CNQ84" s="31"/>
      <c r="CNR84" s="31"/>
      <c r="CNS84" s="31"/>
      <c r="CNT84" s="31"/>
      <c r="CNU84" s="31"/>
      <c r="CNV84" s="31"/>
      <c r="CNW84" s="31"/>
      <c r="CNX84" s="31"/>
      <c r="CNY84" s="31"/>
      <c r="CNZ84" s="31"/>
      <c r="COA84" s="31"/>
      <c r="COB84" s="31"/>
      <c r="COC84" s="31"/>
      <c r="COD84" s="31"/>
      <c r="COE84" s="31"/>
      <c r="COF84" s="31"/>
      <c r="COG84" s="31"/>
      <c r="COH84" s="31"/>
      <c r="COI84" s="31"/>
      <c r="COJ84" s="31"/>
      <c r="COK84" s="31"/>
      <c r="COL84" s="31"/>
      <c r="COM84" s="31"/>
      <c r="CON84" s="31"/>
      <c r="COO84" s="31"/>
      <c r="COP84" s="31"/>
      <c r="COQ84" s="31"/>
      <c r="COR84" s="31"/>
      <c r="COS84" s="31"/>
      <c r="COT84" s="31"/>
      <c r="COU84" s="31"/>
      <c r="COV84" s="31"/>
      <c r="COW84" s="31"/>
      <c r="COX84" s="31"/>
      <c r="COY84" s="31"/>
      <c r="COZ84" s="31"/>
      <c r="CPA84" s="31"/>
      <c r="CPB84" s="31"/>
      <c r="CPC84" s="31"/>
      <c r="CPD84" s="31"/>
      <c r="CPE84" s="31"/>
      <c r="CPF84" s="31"/>
      <c r="CPG84" s="31"/>
      <c r="CPH84" s="31"/>
      <c r="CPI84" s="31"/>
      <c r="CPJ84" s="31"/>
      <c r="CPK84" s="31"/>
      <c r="CPL84" s="31"/>
      <c r="CPM84" s="31"/>
      <c r="CPN84" s="31"/>
      <c r="CPO84" s="31"/>
      <c r="CPP84" s="31"/>
      <c r="CPQ84" s="31"/>
      <c r="CPR84" s="31"/>
      <c r="CPS84" s="31"/>
      <c r="CPT84" s="31"/>
      <c r="CPU84" s="31"/>
      <c r="CPV84" s="31"/>
      <c r="CPW84" s="31"/>
      <c r="CPX84" s="31"/>
      <c r="CPY84" s="31"/>
      <c r="CPZ84" s="31"/>
      <c r="CQA84" s="31"/>
      <c r="CQB84" s="31"/>
      <c r="CQC84" s="31"/>
      <c r="CQD84" s="31"/>
      <c r="CQE84" s="31"/>
      <c r="CQF84" s="31"/>
      <c r="CQG84" s="31"/>
      <c r="CQH84" s="31"/>
      <c r="CQI84" s="31"/>
      <c r="CQJ84" s="31"/>
      <c r="CQK84" s="31"/>
      <c r="CQL84" s="31"/>
      <c r="CQM84" s="31"/>
      <c r="CQN84" s="31"/>
      <c r="CQO84" s="31"/>
      <c r="CQP84" s="31"/>
      <c r="CQQ84" s="31"/>
      <c r="CQR84" s="31"/>
      <c r="CQS84" s="31"/>
      <c r="CQT84" s="31"/>
      <c r="CQU84" s="31"/>
      <c r="CQV84" s="31"/>
      <c r="CQW84" s="31"/>
      <c r="CQX84" s="31"/>
      <c r="CQY84" s="31"/>
      <c r="CQZ84" s="31"/>
      <c r="CRA84" s="31"/>
      <c r="CRB84" s="31"/>
      <c r="CRC84" s="31"/>
      <c r="CRD84" s="31"/>
      <c r="CRE84" s="31"/>
      <c r="CRF84" s="31"/>
      <c r="CRG84" s="31"/>
      <c r="CRH84" s="31"/>
      <c r="CRI84" s="31"/>
      <c r="CRJ84" s="31"/>
      <c r="CRK84" s="31"/>
      <c r="CRL84" s="31"/>
      <c r="CRM84" s="31"/>
      <c r="CRN84" s="31"/>
      <c r="CRO84" s="31"/>
      <c r="CRP84" s="31"/>
      <c r="CRQ84" s="31"/>
      <c r="CRR84" s="31"/>
      <c r="CRS84" s="31"/>
      <c r="CRT84" s="31"/>
      <c r="CRU84" s="31"/>
      <c r="CRV84" s="31"/>
      <c r="CRW84" s="31"/>
      <c r="CRX84" s="31"/>
      <c r="CRY84" s="31"/>
      <c r="CRZ84" s="31"/>
      <c r="CSA84" s="31"/>
      <c r="CSB84" s="31"/>
      <c r="CSC84" s="31"/>
      <c r="CSD84" s="31"/>
      <c r="CSE84" s="31"/>
      <c r="CSF84" s="31"/>
      <c r="CSG84" s="31"/>
      <c r="CSH84" s="31"/>
      <c r="CSI84" s="31"/>
      <c r="CSJ84" s="31"/>
      <c r="CSK84" s="31"/>
      <c r="CSL84" s="31"/>
      <c r="CSM84" s="31"/>
      <c r="CSN84" s="31"/>
      <c r="CSO84" s="31"/>
      <c r="CSP84" s="31"/>
      <c r="CSQ84" s="31"/>
      <c r="CSR84" s="31"/>
      <c r="CSS84" s="31"/>
      <c r="CST84" s="31"/>
      <c r="CSU84" s="31"/>
      <c r="CSV84" s="31"/>
      <c r="CSW84" s="31"/>
      <c r="CSX84" s="31"/>
      <c r="CSY84" s="31"/>
      <c r="CSZ84" s="31"/>
      <c r="CTA84" s="31"/>
      <c r="CTB84" s="31"/>
      <c r="CTC84" s="31"/>
      <c r="CTD84" s="31"/>
      <c r="CTE84" s="31"/>
      <c r="CTF84" s="31"/>
      <c r="CTG84" s="31"/>
      <c r="CTH84" s="31"/>
      <c r="CTI84" s="31"/>
      <c r="CTJ84" s="31"/>
      <c r="CTK84" s="31"/>
      <c r="CTL84" s="31"/>
      <c r="CTM84" s="31"/>
      <c r="CTN84" s="31"/>
      <c r="CTO84" s="31"/>
      <c r="CTP84" s="31"/>
      <c r="CTQ84" s="31"/>
      <c r="CTR84" s="31"/>
      <c r="CTS84" s="31"/>
      <c r="CTT84" s="31"/>
      <c r="CTU84" s="31"/>
      <c r="CTV84" s="31"/>
      <c r="CTW84" s="31"/>
      <c r="CTX84" s="31"/>
      <c r="CTY84" s="31"/>
      <c r="CTZ84" s="31"/>
      <c r="CUA84" s="31"/>
      <c r="CUB84" s="31"/>
      <c r="CUC84" s="31"/>
      <c r="CUD84" s="31"/>
      <c r="CUE84" s="31"/>
      <c r="CUF84" s="31"/>
      <c r="CUG84" s="31"/>
      <c r="CUH84" s="31"/>
      <c r="CUI84" s="31"/>
      <c r="CUJ84" s="31"/>
      <c r="CUK84" s="31"/>
      <c r="CUL84" s="31"/>
      <c r="CUM84" s="31"/>
      <c r="CUN84" s="31"/>
      <c r="CUO84" s="31"/>
      <c r="CUP84" s="31"/>
      <c r="CUQ84" s="31"/>
      <c r="CUR84" s="31"/>
      <c r="CUS84" s="31"/>
      <c r="CUT84" s="31"/>
      <c r="CUU84" s="31"/>
      <c r="CUV84" s="31"/>
      <c r="CUW84" s="31"/>
      <c r="CUX84" s="31"/>
      <c r="CUY84" s="31"/>
      <c r="CUZ84" s="31"/>
      <c r="CVA84" s="31"/>
      <c r="CVB84" s="31"/>
      <c r="CVC84" s="31"/>
      <c r="CVD84" s="31"/>
      <c r="CVE84" s="31"/>
      <c r="CVF84" s="31"/>
      <c r="CVG84" s="31"/>
      <c r="CVH84" s="31"/>
      <c r="CVI84" s="31"/>
      <c r="CVJ84" s="31"/>
      <c r="CVK84" s="31"/>
      <c r="CVL84" s="31"/>
      <c r="CVM84" s="31"/>
      <c r="CVN84" s="31"/>
      <c r="CVO84" s="31"/>
      <c r="CVP84" s="31"/>
      <c r="CVQ84" s="31"/>
      <c r="CVR84" s="31"/>
      <c r="CVS84" s="31"/>
      <c r="CVT84" s="31"/>
      <c r="CVU84" s="31"/>
      <c r="CVV84" s="31"/>
      <c r="CVW84" s="31"/>
      <c r="CVX84" s="31"/>
      <c r="CVY84" s="31"/>
      <c r="CVZ84" s="31"/>
      <c r="CWA84" s="31"/>
      <c r="CWB84" s="31"/>
      <c r="CWC84" s="31"/>
      <c r="CWD84" s="31"/>
      <c r="CWE84" s="31"/>
      <c r="CWF84" s="31"/>
      <c r="CWG84" s="31"/>
      <c r="CWH84" s="31"/>
      <c r="CWI84" s="31"/>
      <c r="CWJ84" s="31"/>
      <c r="CWK84" s="31"/>
      <c r="CWL84" s="31"/>
      <c r="CWM84" s="31"/>
      <c r="CWN84" s="31"/>
      <c r="CWO84" s="31"/>
      <c r="CWP84" s="31"/>
      <c r="CWQ84" s="31"/>
      <c r="CWR84" s="31"/>
      <c r="CWS84" s="31"/>
      <c r="CWT84" s="31"/>
      <c r="CWU84" s="31"/>
      <c r="CWV84" s="31"/>
      <c r="CWW84" s="31"/>
      <c r="CWX84" s="31"/>
      <c r="CWY84" s="31"/>
      <c r="CWZ84" s="31"/>
      <c r="CXA84" s="31"/>
      <c r="CXB84" s="31"/>
      <c r="CXC84" s="31"/>
      <c r="CXD84" s="31"/>
      <c r="CXE84" s="31"/>
      <c r="CXF84" s="31"/>
      <c r="CXG84" s="31"/>
      <c r="CXH84" s="31"/>
      <c r="CXI84" s="31"/>
      <c r="CXJ84" s="31"/>
      <c r="CXK84" s="31"/>
      <c r="CXL84" s="31"/>
      <c r="CXM84" s="31"/>
      <c r="CXN84" s="31"/>
      <c r="CXO84" s="31"/>
      <c r="CXP84" s="31"/>
      <c r="CXQ84" s="31"/>
      <c r="CXR84" s="31"/>
      <c r="CXS84" s="31"/>
      <c r="CXT84" s="31"/>
      <c r="CXU84" s="31"/>
      <c r="CXV84" s="31"/>
      <c r="CXW84" s="31"/>
      <c r="CXX84" s="31"/>
      <c r="CXY84" s="31"/>
      <c r="CXZ84" s="31"/>
      <c r="CYA84" s="31"/>
      <c r="CYB84" s="31"/>
      <c r="CYC84" s="31"/>
      <c r="CYD84" s="31"/>
      <c r="CYE84" s="31"/>
      <c r="CYF84" s="31"/>
      <c r="CYG84" s="31"/>
      <c r="CYH84" s="31"/>
      <c r="CYI84" s="31"/>
      <c r="CYJ84" s="31"/>
      <c r="CYK84" s="31"/>
      <c r="CYL84" s="31"/>
      <c r="CYM84" s="31"/>
      <c r="CYN84" s="31"/>
      <c r="CYO84" s="31"/>
      <c r="CYP84" s="31"/>
      <c r="CYQ84" s="31"/>
      <c r="CYR84" s="31"/>
      <c r="CYS84" s="31"/>
      <c r="CYT84" s="31"/>
      <c r="CYU84" s="31"/>
      <c r="CYV84" s="31"/>
      <c r="CYW84" s="31"/>
      <c r="CYX84" s="31"/>
      <c r="CYY84" s="31"/>
      <c r="CYZ84" s="31"/>
      <c r="CZA84" s="31"/>
      <c r="CZB84" s="31"/>
      <c r="CZC84" s="31"/>
      <c r="CZD84" s="31"/>
      <c r="CZE84" s="31"/>
      <c r="CZF84" s="31"/>
      <c r="CZG84" s="31"/>
      <c r="CZH84" s="31"/>
      <c r="CZI84" s="31"/>
      <c r="CZJ84" s="31"/>
      <c r="CZK84" s="31"/>
      <c r="CZL84" s="31"/>
      <c r="CZM84" s="31"/>
      <c r="CZN84" s="31"/>
      <c r="CZO84" s="31"/>
      <c r="CZP84" s="31"/>
      <c r="CZQ84" s="31"/>
      <c r="CZR84" s="31"/>
      <c r="CZS84" s="31"/>
      <c r="CZT84" s="31"/>
      <c r="CZU84" s="31"/>
      <c r="CZV84" s="31"/>
      <c r="CZW84" s="31"/>
      <c r="CZX84" s="31"/>
      <c r="CZY84" s="31"/>
      <c r="CZZ84" s="31"/>
      <c r="DAA84" s="31"/>
      <c r="DAB84" s="31"/>
      <c r="DAC84" s="31"/>
      <c r="DAD84" s="31"/>
      <c r="DAE84" s="31"/>
      <c r="DAF84" s="31"/>
      <c r="DAG84" s="31"/>
      <c r="DAH84" s="31"/>
      <c r="DAI84" s="31"/>
      <c r="DAJ84" s="31"/>
      <c r="DAK84" s="31"/>
      <c r="DAL84" s="31"/>
      <c r="DAM84" s="31"/>
      <c r="DAN84" s="31"/>
      <c r="DAO84" s="31"/>
      <c r="DAP84" s="31"/>
      <c r="DAQ84" s="31"/>
      <c r="DAR84" s="31"/>
      <c r="DAS84" s="31"/>
      <c r="DAT84" s="31"/>
      <c r="DAU84" s="31"/>
      <c r="DAV84" s="31"/>
      <c r="DAW84" s="31"/>
      <c r="DAX84" s="31"/>
      <c r="DAY84" s="31"/>
      <c r="DAZ84" s="31"/>
      <c r="DBA84" s="31"/>
      <c r="DBB84" s="31"/>
      <c r="DBC84" s="31"/>
      <c r="DBD84" s="31"/>
      <c r="DBE84" s="31"/>
      <c r="DBF84" s="31"/>
      <c r="DBG84" s="31"/>
      <c r="DBH84" s="31"/>
      <c r="DBI84" s="31"/>
      <c r="DBJ84" s="31"/>
      <c r="DBK84" s="31"/>
      <c r="DBL84" s="31"/>
      <c r="DBM84" s="31"/>
      <c r="DBN84" s="31"/>
      <c r="DBO84" s="31"/>
      <c r="DBP84" s="31"/>
      <c r="DBQ84" s="31"/>
      <c r="DBR84" s="31"/>
      <c r="DBS84" s="31"/>
      <c r="DBT84" s="31"/>
      <c r="DBU84" s="31"/>
      <c r="DBV84" s="31"/>
      <c r="DBW84" s="31"/>
      <c r="DBX84" s="31"/>
      <c r="DBY84" s="31"/>
      <c r="DBZ84" s="31"/>
      <c r="DCA84" s="31"/>
      <c r="DCB84" s="31"/>
      <c r="DCC84" s="31"/>
      <c r="DCD84" s="31"/>
      <c r="DCE84" s="31"/>
      <c r="DCF84" s="31"/>
      <c r="DCG84" s="31"/>
      <c r="DCH84" s="31"/>
      <c r="DCI84" s="31"/>
      <c r="DCJ84" s="31"/>
      <c r="DCK84" s="31"/>
      <c r="DCL84" s="31"/>
      <c r="DCM84" s="31"/>
      <c r="DCN84" s="31"/>
      <c r="DCO84" s="31"/>
      <c r="DCP84" s="31"/>
      <c r="DCQ84" s="31"/>
      <c r="DCR84" s="31"/>
      <c r="DCS84" s="31"/>
      <c r="DCT84" s="31"/>
      <c r="DCU84" s="31"/>
      <c r="DCV84" s="31"/>
      <c r="DCW84" s="31"/>
      <c r="DCX84" s="31"/>
      <c r="DCY84" s="31"/>
      <c r="DCZ84" s="31"/>
      <c r="DDA84" s="31"/>
      <c r="DDB84" s="31"/>
      <c r="DDC84" s="31"/>
      <c r="DDD84" s="31"/>
      <c r="DDE84" s="31"/>
      <c r="DDF84" s="31"/>
      <c r="DDG84" s="31"/>
      <c r="DDH84" s="31"/>
      <c r="DDI84" s="31"/>
      <c r="DDJ84" s="31"/>
      <c r="DDK84" s="31"/>
      <c r="DDL84" s="31"/>
      <c r="DDM84" s="31"/>
      <c r="DDN84" s="31"/>
      <c r="DDO84" s="31"/>
      <c r="DDP84" s="31"/>
      <c r="DDQ84" s="31"/>
      <c r="DDR84" s="31"/>
      <c r="DDS84" s="31"/>
      <c r="DDT84" s="31"/>
      <c r="DDU84" s="31"/>
      <c r="DDV84" s="31"/>
      <c r="DDW84" s="31"/>
      <c r="DDX84" s="31"/>
      <c r="DDY84" s="31"/>
      <c r="DDZ84" s="31"/>
      <c r="DEA84" s="31"/>
      <c r="DEB84" s="31"/>
      <c r="DEC84" s="31"/>
      <c r="DED84" s="31"/>
      <c r="DEE84" s="31"/>
      <c r="DEF84" s="31"/>
      <c r="DEG84" s="31"/>
      <c r="DEH84" s="31"/>
      <c r="DEI84" s="31"/>
      <c r="DEJ84" s="31"/>
      <c r="DEK84" s="31"/>
      <c r="DEL84" s="31"/>
      <c r="DEM84" s="31"/>
      <c r="DEN84" s="31"/>
      <c r="DEO84" s="31"/>
      <c r="DEP84" s="31"/>
      <c r="DEQ84" s="31"/>
      <c r="DER84" s="31"/>
      <c r="DES84" s="31"/>
      <c r="DET84" s="31"/>
      <c r="DEU84" s="31"/>
      <c r="DEV84" s="31"/>
      <c r="DEW84" s="31"/>
      <c r="DEX84" s="31"/>
      <c r="DEY84" s="31"/>
      <c r="DEZ84" s="31"/>
      <c r="DFA84" s="31"/>
      <c r="DFB84" s="31"/>
      <c r="DFC84" s="31"/>
      <c r="DFD84" s="31"/>
      <c r="DFE84" s="31"/>
      <c r="DFF84" s="31"/>
      <c r="DFG84" s="31"/>
      <c r="DFH84" s="31"/>
      <c r="DFI84" s="31"/>
      <c r="DFJ84" s="31"/>
      <c r="DFK84" s="31"/>
      <c r="DFL84" s="31"/>
      <c r="DFM84" s="31"/>
      <c r="DFN84" s="31"/>
      <c r="DFO84" s="31"/>
      <c r="DFP84" s="31"/>
      <c r="DFQ84" s="31"/>
      <c r="DFR84" s="31"/>
      <c r="DFS84" s="31"/>
      <c r="DFT84" s="31"/>
      <c r="DFU84" s="31"/>
      <c r="DFV84" s="31"/>
      <c r="DFW84" s="31"/>
      <c r="DFX84" s="31"/>
      <c r="DFY84" s="31"/>
      <c r="DFZ84" s="31"/>
      <c r="DGA84" s="31"/>
      <c r="DGB84" s="31"/>
      <c r="DGC84" s="31"/>
      <c r="DGD84" s="31"/>
      <c r="DGE84" s="31"/>
      <c r="DGF84" s="31"/>
      <c r="DGG84" s="31"/>
      <c r="DGH84" s="31"/>
      <c r="DGI84" s="31"/>
      <c r="DGJ84" s="31"/>
      <c r="DGK84" s="31"/>
      <c r="DGL84" s="31"/>
      <c r="DGM84" s="31"/>
      <c r="DGN84" s="31"/>
      <c r="DGO84" s="31"/>
      <c r="DGP84" s="31"/>
      <c r="DGQ84" s="31"/>
      <c r="DGR84" s="31"/>
      <c r="DGS84" s="31"/>
      <c r="DGT84" s="31"/>
      <c r="DGU84" s="31"/>
      <c r="DGV84" s="31"/>
      <c r="DGW84" s="31"/>
      <c r="DGX84" s="31"/>
      <c r="DGY84" s="31"/>
      <c r="DGZ84" s="31"/>
      <c r="DHA84" s="31"/>
      <c r="DHB84" s="31"/>
      <c r="DHC84" s="31"/>
      <c r="DHD84" s="31"/>
      <c r="DHE84" s="31"/>
      <c r="DHF84" s="31"/>
      <c r="DHG84" s="31"/>
      <c r="DHH84" s="31"/>
      <c r="DHI84" s="31"/>
      <c r="DHJ84" s="31"/>
      <c r="DHK84" s="31"/>
      <c r="DHL84" s="31"/>
      <c r="DHM84" s="31"/>
      <c r="DHN84" s="31"/>
      <c r="DHO84" s="31"/>
      <c r="DHP84" s="31"/>
      <c r="DHQ84" s="31"/>
      <c r="DHR84" s="31"/>
      <c r="DHS84" s="31"/>
      <c r="DHT84" s="31"/>
      <c r="DHU84" s="31"/>
      <c r="DHV84" s="31"/>
      <c r="DHW84" s="31"/>
      <c r="DHX84" s="31"/>
      <c r="DHY84" s="31"/>
      <c r="DHZ84" s="31"/>
      <c r="DIA84" s="31"/>
      <c r="DIB84" s="31"/>
      <c r="DIC84" s="31"/>
      <c r="DID84" s="31"/>
      <c r="DIE84" s="31"/>
      <c r="DIF84" s="31"/>
      <c r="DIG84" s="31"/>
      <c r="DIH84" s="31"/>
      <c r="DII84" s="31"/>
      <c r="DIJ84" s="31"/>
      <c r="DIK84" s="31"/>
      <c r="DIL84" s="31"/>
      <c r="DIM84" s="31"/>
      <c r="DIN84" s="31"/>
      <c r="DIO84" s="31"/>
      <c r="DIP84" s="31"/>
      <c r="DIQ84" s="31"/>
      <c r="DIR84" s="31"/>
      <c r="DIS84" s="31"/>
      <c r="DIT84" s="31"/>
      <c r="DIU84" s="31"/>
      <c r="DIV84" s="31"/>
      <c r="DIW84" s="31"/>
      <c r="DIX84" s="31"/>
      <c r="DIY84" s="31"/>
      <c r="DIZ84" s="31"/>
      <c r="DJA84" s="31"/>
      <c r="DJB84" s="31"/>
      <c r="DJC84" s="31"/>
      <c r="DJD84" s="31"/>
      <c r="DJE84" s="31"/>
      <c r="DJF84" s="31"/>
      <c r="DJG84" s="31"/>
      <c r="DJH84" s="31"/>
      <c r="DJI84" s="31"/>
      <c r="DJJ84" s="31"/>
      <c r="DJK84" s="31"/>
      <c r="DJL84" s="31"/>
      <c r="DJM84" s="31"/>
      <c r="DJN84" s="31"/>
      <c r="DJO84" s="31"/>
      <c r="DJP84" s="31"/>
      <c r="DJQ84" s="31"/>
      <c r="DJR84" s="31"/>
      <c r="DJS84" s="31"/>
      <c r="DJT84" s="31"/>
      <c r="DJU84" s="31"/>
      <c r="DJV84" s="31"/>
      <c r="DJW84" s="31"/>
      <c r="DJX84" s="31"/>
      <c r="DJY84" s="31"/>
      <c r="DJZ84" s="31"/>
      <c r="DKA84" s="31"/>
      <c r="DKB84" s="31"/>
      <c r="DKC84" s="31"/>
      <c r="DKD84" s="31"/>
      <c r="DKE84" s="31"/>
      <c r="DKF84" s="31"/>
      <c r="DKG84" s="31"/>
      <c r="DKH84" s="31"/>
      <c r="DKI84" s="31"/>
      <c r="DKJ84" s="31"/>
      <c r="DKK84" s="31"/>
      <c r="DKL84" s="31"/>
      <c r="DKM84" s="31"/>
      <c r="DKN84" s="31"/>
      <c r="DKO84" s="31"/>
      <c r="DKP84" s="31"/>
      <c r="DKQ84" s="31"/>
      <c r="DKR84" s="31"/>
      <c r="DKS84" s="31"/>
      <c r="DKT84" s="31"/>
      <c r="DKU84" s="31"/>
      <c r="DKV84" s="31"/>
      <c r="DKW84" s="31"/>
      <c r="DKX84" s="31"/>
      <c r="DKY84" s="31"/>
      <c r="DKZ84" s="31"/>
      <c r="DLA84" s="31"/>
      <c r="DLB84" s="31"/>
      <c r="DLC84" s="31"/>
      <c r="DLD84" s="31"/>
      <c r="DLE84" s="31"/>
      <c r="DLF84" s="31"/>
      <c r="DLG84" s="31"/>
      <c r="DLH84" s="31"/>
      <c r="DLI84" s="31"/>
      <c r="DLJ84" s="31"/>
      <c r="DLK84" s="31"/>
      <c r="DLL84" s="31"/>
      <c r="DLM84" s="31"/>
      <c r="DLN84" s="31"/>
      <c r="DLO84" s="31"/>
      <c r="DLP84" s="31"/>
      <c r="DLQ84" s="31"/>
      <c r="DLR84" s="31"/>
      <c r="DLS84" s="31"/>
      <c r="DLT84" s="31"/>
      <c r="DLU84" s="31"/>
      <c r="DLV84" s="31"/>
      <c r="DLW84" s="31"/>
      <c r="DLX84" s="31"/>
      <c r="DLY84" s="31"/>
      <c r="DLZ84" s="31"/>
      <c r="DMA84" s="31"/>
      <c r="DMB84" s="31"/>
      <c r="DMC84" s="31"/>
      <c r="DMD84" s="31"/>
      <c r="DME84" s="31"/>
      <c r="DMF84" s="31"/>
      <c r="DMG84" s="31"/>
      <c r="DMH84" s="31"/>
      <c r="DMI84" s="31"/>
      <c r="DMJ84" s="31"/>
      <c r="DMK84" s="31"/>
      <c r="DML84" s="31"/>
      <c r="DMM84" s="31"/>
      <c r="DMN84" s="31"/>
      <c r="DMO84" s="31"/>
      <c r="DMP84" s="31"/>
      <c r="DMQ84" s="31"/>
      <c r="DMR84" s="31"/>
      <c r="DMS84" s="31"/>
      <c r="DMT84" s="31"/>
      <c r="DMU84" s="31"/>
      <c r="DMV84" s="31"/>
      <c r="DMW84" s="31"/>
      <c r="DMX84" s="31"/>
      <c r="DMY84" s="31"/>
      <c r="DMZ84" s="31"/>
      <c r="DNA84" s="31"/>
      <c r="DNB84" s="31"/>
      <c r="DNC84" s="31"/>
      <c r="DND84" s="31"/>
      <c r="DNE84" s="31"/>
      <c r="DNF84" s="31"/>
      <c r="DNG84" s="31"/>
      <c r="DNH84" s="31"/>
      <c r="DNI84" s="31"/>
      <c r="DNJ84" s="31"/>
      <c r="DNK84" s="31"/>
      <c r="DNL84" s="31"/>
      <c r="DNM84" s="31"/>
      <c r="DNN84" s="31"/>
      <c r="DNO84" s="31"/>
      <c r="DNP84" s="31"/>
      <c r="DNQ84" s="31"/>
      <c r="DNR84" s="31"/>
      <c r="DNS84" s="31"/>
      <c r="DNT84" s="31"/>
      <c r="DNU84" s="31"/>
      <c r="DNV84" s="31"/>
      <c r="DNW84" s="31"/>
      <c r="DNX84" s="31"/>
      <c r="DNY84" s="31"/>
      <c r="DNZ84" s="31"/>
      <c r="DOA84" s="31"/>
      <c r="DOB84" s="31"/>
      <c r="DOC84" s="31"/>
      <c r="DOD84" s="31"/>
      <c r="DOE84" s="31"/>
      <c r="DOF84" s="31"/>
      <c r="DOG84" s="31"/>
      <c r="DOH84" s="31"/>
      <c r="DOI84" s="31"/>
      <c r="DOJ84" s="31"/>
      <c r="DOK84" s="31"/>
      <c r="DOL84" s="31"/>
      <c r="DOM84" s="31"/>
      <c r="DON84" s="31"/>
      <c r="DOO84" s="31"/>
      <c r="DOP84" s="31"/>
      <c r="DOQ84" s="31"/>
      <c r="DOR84" s="31"/>
      <c r="DOS84" s="31"/>
      <c r="DOT84" s="31"/>
      <c r="DOU84" s="31"/>
      <c r="DOV84" s="31"/>
      <c r="DOW84" s="31"/>
      <c r="DOX84" s="31"/>
      <c r="DOY84" s="31"/>
      <c r="DOZ84" s="31"/>
      <c r="DPA84" s="31"/>
      <c r="DPB84" s="31"/>
      <c r="DPC84" s="31"/>
      <c r="DPD84" s="31"/>
      <c r="DPE84" s="31"/>
      <c r="DPF84" s="31"/>
      <c r="DPG84" s="31"/>
      <c r="DPH84" s="31"/>
      <c r="DPI84" s="31"/>
      <c r="DPJ84" s="31"/>
      <c r="DPK84" s="31"/>
      <c r="DPL84" s="31"/>
      <c r="DPM84" s="31"/>
      <c r="DPN84" s="31"/>
      <c r="DPO84" s="31"/>
      <c r="DPP84" s="31"/>
      <c r="DPQ84" s="31"/>
      <c r="DPR84" s="31"/>
      <c r="DPS84" s="31"/>
      <c r="DPT84" s="31"/>
      <c r="DPU84" s="31"/>
      <c r="DPV84" s="31"/>
      <c r="DPW84" s="31"/>
      <c r="DPX84" s="31"/>
      <c r="DPY84" s="31"/>
      <c r="DPZ84" s="31"/>
      <c r="DQA84" s="31"/>
      <c r="DQB84" s="31"/>
      <c r="DQC84" s="31"/>
      <c r="DQD84" s="31"/>
      <c r="DQE84" s="31"/>
      <c r="DQF84" s="31"/>
      <c r="DQG84" s="31"/>
      <c r="DQH84" s="31"/>
      <c r="DQI84" s="31"/>
      <c r="DQJ84" s="31"/>
      <c r="DQK84" s="31"/>
      <c r="DQL84" s="31"/>
      <c r="DQM84" s="31"/>
      <c r="DQN84" s="31"/>
      <c r="DQO84" s="31"/>
      <c r="DQP84" s="31"/>
      <c r="DQQ84" s="31"/>
      <c r="DQR84" s="31"/>
      <c r="DQS84" s="31"/>
      <c r="DQT84" s="31"/>
      <c r="DQU84" s="31"/>
      <c r="DQV84" s="31"/>
      <c r="DQW84" s="31"/>
      <c r="DQX84" s="31"/>
      <c r="DQY84" s="31"/>
      <c r="DQZ84" s="31"/>
      <c r="DRA84" s="31"/>
      <c r="DRB84" s="31"/>
      <c r="DRC84" s="31"/>
      <c r="DRD84" s="31"/>
      <c r="DRE84" s="31"/>
      <c r="DRF84" s="31"/>
      <c r="DRG84" s="31"/>
      <c r="DRH84" s="31"/>
      <c r="DRI84" s="31"/>
      <c r="DRJ84" s="31"/>
      <c r="DRK84" s="31"/>
      <c r="DRL84" s="31"/>
      <c r="DRM84" s="31"/>
      <c r="DRN84" s="31"/>
      <c r="DRO84" s="31"/>
      <c r="DRP84" s="31"/>
      <c r="DRQ84" s="31"/>
      <c r="DRR84" s="31"/>
      <c r="DRS84" s="31"/>
      <c r="DRT84" s="31"/>
      <c r="DRU84" s="31"/>
      <c r="DRV84" s="31"/>
      <c r="DRW84" s="31"/>
      <c r="DRX84" s="31"/>
      <c r="DRY84" s="31"/>
      <c r="DRZ84" s="31"/>
      <c r="DSA84" s="31"/>
      <c r="DSB84" s="31"/>
      <c r="DSC84" s="31"/>
      <c r="DSD84" s="31"/>
      <c r="DSE84" s="31"/>
      <c r="DSF84" s="31"/>
      <c r="DSG84" s="31"/>
      <c r="DSH84" s="31"/>
      <c r="DSI84" s="31"/>
      <c r="DSJ84" s="31"/>
      <c r="DSK84" s="31"/>
      <c r="DSL84" s="31"/>
      <c r="DSM84" s="31"/>
      <c r="DSN84" s="31"/>
      <c r="DSO84" s="31"/>
      <c r="DSP84" s="31"/>
      <c r="DSQ84" s="31"/>
      <c r="DSR84" s="31"/>
      <c r="DSS84" s="31"/>
      <c r="DST84" s="31"/>
      <c r="DSU84" s="31"/>
      <c r="DSV84" s="31"/>
      <c r="DSW84" s="31"/>
      <c r="DSX84" s="31"/>
      <c r="DSY84" s="31"/>
      <c r="DSZ84" s="31"/>
      <c r="DTA84" s="31"/>
      <c r="DTB84" s="31"/>
      <c r="DTC84" s="31"/>
      <c r="DTD84" s="31"/>
      <c r="DTE84" s="31"/>
      <c r="DTF84" s="31"/>
      <c r="DTG84" s="31"/>
      <c r="DTH84" s="31"/>
      <c r="DTI84" s="31"/>
      <c r="DTJ84" s="31"/>
      <c r="DTK84" s="31"/>
      <c r="DTL84" s="31"/>
      <c r="DTM84" s="31"/>
      <c r="DTN84" s="31"/>
      <c r="DTO84" s="31"/>
      <c r="DTP84" s="31"/>
      <c r="DTQ84" s="31"/>
      <c r="DTR84" s="31"/>
      <c r="DTS84" s="31"/>
      <c r="DTT84" s="31"/>
      <c r="DTU84" s="31"/>
      <c r="DTV84" s="31"/>
      <c r="DTW84" s="31"/>
      <c r="DTX84" s="31"/>
      <c r="DTY84" s="31"/>
      <c r="DTZ84" s="31"/>
      <c r="DUA84" s="31"/>
      <c r="DUB84" s="31"/>
      <c r="DUC84" s="31"/>
      <c r="DUD84" s="31"/>
      <c r="DUE84" s="31"/>
      <c r="DUF84" s="31"/>
      <c r="DUG84" s="31"/>
      <c r="DUH84" s="31"/>
      <c r="DUI84" s="31"/>
      <c r="DUJ84" s="31"/>
      <c r="DUK84" s="31"/>
      <c r="DUL84" s="31"/>
      <c r="DUM84" s="31"/>
      <c r="DUN84" s="31"/>
      <c r="DUO84" s="31"/>
      <c r="DUP84" s="31"/>
      <c r="DUQ84" s="31"/>
      <c r="DUR84" s="31"/>
      <c r="DUS84" s="31"/>
      <c r="DUT84" s="31"/>
      <c r="DUU84" s="31"/>
      <c r="DUV84" s="31"/>
      <c r="DUW84" s="31"/>
      <c r="DUX84" s="31"/>
      <c r="DUY84" s="31"/>
      <c r="DUZ84" s="31"/>
      <c r="DVA84" s="31"/>
      <c r="DVB84" s="31"/>
      <c r="DVC84" s="31"/>
      <c r="DVD84" s="31"/>
      <c r="DVE84" s="31"/>
      <c r="DVF84" s="31"/>
      <c r="DVG84" s="31"/>
      <c r="DVH84" s="31"/>
      <c r="DVI84" s="31"/>
      <c r="DVJ84" s="31"/>
      <c r="DVK84" s="31"/>
      <c r="DVL84" s="31"/>
      <c r="DVM84" s="31"/>
      <c r="DVN84" s="31"/>
      <c r="DVO84" s="31"/>
      <c r="DVP84" s="31"/>
      <c r="DVQ84" s="31"/>
      <c r="DVR84" s="31"/>
      <c r="DVS84" s="31"/>
      <c r="DVT84" s="31"/>
      <c r="DVU84" s="31"/>
      <c r="DVV84" s="31"/>
      <c r="DVW84" s="31"/>
      <c r="DVX84" s="31"/>
      <c r="DVY84" s="31"/>
      <c r="DVZ84" s="31"/>
      <c r="DWA84" s="31"/>
      <c r="DWB84" s="31"/>
      <c r="DWC84" s="31"/>
      <c r="DWD84" s="31"/>
      <c r="DWE84" s="31"/>
      <c r="DWF84" s="31"/>
      <c r="DWG84" s="31"/>
      <c r="DWH84" s="31"/>
      <c r="DWI84" s="31"/>
      <c r="DWJ84" s="31"/>
      <c r="DWK84" s="31"/>
      <c r="DWL84" s="31"/>
      <c r="DWM84" s="31"/>
      <c r="DWN84" s="31"/>
      <c r="DWO84" s="31"/>
      <c r="DWP84" s="31"/>
      <c r="DWQ84" s="31"/>
      <c r="DWR84" s="31"/>
      <c r="DWS84" s="31"/>
      <c r="DWT84" s="31"/>
      <c r="DWU84" s="31"/>
      <c r="DWV84" s="31"/>
      <c r="DWW84" s="31"/>
      <c r="DWX84" s="31"/>
      <c r="DWY84" s="31"/>
      <c r="DWZ84" s="31"/>
      <c r="DXA84" s="31"/>
      <c r="DXB84" s="31"/>
      <c r="DXC84" s="31"/>
      <c r="DXD84" s="31"/>
      <c r="DXE84" s="31"/>
      <c r="DXF84" s="31"/>
      <c r="DXG84" s="31"/>
      <c r="DXH84" s="31"/>
      <c r="DXI84" s="31"/>
      <c r="DXJ84" s="31"/>
      <c r="DXK84" s="31"/>
      <c r="DXL84" s="31"/>
      <c r="DXM84" s="31"/>
      <c r="DXN84" s="31"/>
      <c r="DXO84" s="31"/>
      <c r="DXP84" s="31"/>
      <c r="DXQ84" s="31"/>
      <c r="DXR84" s="31"/>
      <c r="DXS84" s="31"/>
      <c r="DXT84" s="31"/>
      <c r="DXU84" s="31"/>
      <c r="DXV84" s="31"/>
      <c r="DXW84" s="31"/>
      <c r="DXX84" s="31"/>
      <c r="DXY84" s="31"/>
      <c r="DXZ84" s="31"/>
      <c r="DYA84" s="31"/>
      <c r="DYB84" s="31"/>
      <c r="DYC84" s="31"/>
      <c r="DYD84" s="31"/>
      <c r="DYE84" s="31"/>
      <c r="DYF84" s="31"/>
      <c r="DYG84" s="31"/>
      <c r="DYH84" s="31"/>
      <c r="DYI84" s="31"/>
      <c r="DYJ84" s="31"/>
      <c r="DYK84" s="31"/>
      <c r="DYL84" s="31"/>
      <c r="DYM84" s="31"/>
      <c r="DYN84" s="31"/>
      <c r="DYO84" s="31"/>
      <c r="DYP84" s="31"/>
      <c r="DYQ84" s="31"/>
      <c r="DYR84" s="31"/>
      <c r="DYS84" s="31"/>
      <c r="DYT84" s="31"/>
      <c r="DYU84" s="31"/>
      <c r="DYV84" s="31"/>
      <c r="DYW84" s="31"/>
      <c r="DYX84" s="31"/>
      <c r="DYY84" s="31"/>
      <c r="DYZ84" s="31"/>
      <c r="DZA84" s="31"/>
      <c r="DZB84" s="31"/>
      <c r="DZC84" s="31"/>
      <c r="DZD84" s="31"/>
      <c r="DZE84" s="31"/>
      <c r="DZF84" s="31"/>
      <c r="DZG84" s="31"/>
      <c r="DZH84" s="31"/>
      <c r="DZI84" s="31"/>
      <c r="DZJ84" s="31"/>
      <c r="DZK84" s="31"/>
      <c r="DZL84" s="31"/>
      <c r="DZM84" s="31"/>
      <c r="DZN84" s="31"/>
      <c r="DZO84" s="31"/>
      <c r="DZP84" s="31"/>
      <c r="DZQ84" s="31"/>
      <c r="DZR84" s="31"/>
      <c r="DZS84" s="31"/>
      <c r="DZT84" s="31"/>
      <c r="DZU84" s="31"/>
      <c r="DZV84" s="31"/>
      <c r="DZW84" s="31"/>
      <c r="DZX84" s="31"/>
      <c r="DZY84" s="31"/>
      <c r="DZZ84" s="31"/>
      <c r="EAA84" s="31"/>
      <c r="EAB84" s="31"/>
      <c r="EAC84" s="31"/>
      <c r="EAD84" s="31"/>
      <c r="EAE84" s="31"/>
      <c r="EAF84" s="31"/>
      <c r="EAG84" s="31"/>
      <c r="EAH84" s="31"/>
      <c r="EAI84" s="31"/>
      <c r="EAJ84" s="31"/>
      <c r="EAK84" s="31"/>
      <c r="EAL84" s="31"/>
      <c r="EAM84" s="31"/>
      <c r="EAN84" s="31"/>
      <c r="EAO84" s="31"/>
      <c r="EAP84" s="31"/>
      <c r="EAQ84" s="31"/>
      <c r="EAR84" s="31"/>
      <c r="EAS84" s="31"/>
      <c r="EAT84" s="31"/>
      <c r="EAU84" s="31"/>
      <c r="EAV84" s="31"/>
      <c r="EAW84" s="31"/>
      <c r="EAX84" s="31"/>
      <c r="EAY84" s="31"/>
      <c r="EAZ84" s="31"/>
      <c r="EBA84" s="31"/>
      <c r="EBB84" s="31"/>
      <c r="EBC84" s="31"/>
      <c r="EBD84" s="31"/>
      <c r="EBE84" s="31"/>
      <c r="EBF84" s="31"/>
      <c r="EBG84" s="31"/>
      <c r="EBH84" s="31"/>
      <c r="EBI84" s="31"/>
      <c r="EBJ84" s="31"/>
      <c r="EBK84" s="31"/>
      <c r="EBL84" s="31"/>
      <c r="EBM84" s="31"/>
      <c r="EBN84" s="31"/>
      <c r="EBO84" s="31"/>
      <c r="EBP84" s="31"/>
      <c r="EBQ84" s="31"/>
      <c r="EBR84" s="31"/>
      <c r="EBS84" s="31"/>
      <c r="EBT84" s="31"/>
      <c r="EBU84" s="31"/>
      <c r="EBV84" s="31"/>
      <c r="EBW84" s="31"/>
      <c r="EBX84" s="31"/>
      <c r="EBY84" s="31"/>
      <c r="EBZ84" s="31"/>
      <c r="ECA84" s="31"/>
      <c r="ECB84" s="31"/>
      <c r="ECC84" s="31"/>
      <c r="ECD84" s="31"/>
      <c r="ECE84" s="31"/>
      <c r="ECF84" s="31"/>
      <c r="ECG84" s="31"/>
      <c r="ECH84" s="31"/>
      <c r="ECI84" s="31"/>
      <c r="ECJ84" s="31"/>
      <c r="ECK84" s="31"/>
      <c r="ECL84" s="31"/>
      <c r="ECM84" s="31"/>
      <c r="ECN84" s="31"/>
      <c r="ECO84" s="31"/>
      <c r="ECP84" s="31"/>
      <c r="ECQ84" s="31"/>
      <c r="ECR84" s="31"/>
      <c r="ECS84" s="31"/>
      <c r="ECT84" s="31"/>
      <c r="ECU84" s="31"/>
      <c r="ECV84" s="31"/>
      <c r="ECW84" s="31"/>
      <c r="ECX84" s="31"/>
      <c r="ECY84" s="31"/>
      <c r="ECZ84" s="31"/>
      <c r="EDA84" s="31"/>
      <c r="EDB84" s="31"/>
      <c r="EDC84" s="31"/>
      <c r="EDD84" s="31"/>
      <c r="EDE84" s="31"/>
      <c r="EDF84" s="31"/>
      <c r="EDG84" s="31"/>
      <c r="EDH84" s="31"/>
      <c r="EDI84" s="31"/>
      <c r="EDJ84" s="31"/>
      <c r="EDK84" s="31"/>
      <c r="EDL84" s="31"/>
      <c r="EDM84" s="31"/>
      <c r="EDN84" s="31"/>
      <c r="EDO84" s="31"/>
      <c r="EDP84" s="31"/>
      <c r="EDQ84" s="31"/>
      <c r="EDR84" s="31"/>
      <c r="EDS84" s="31"/>
      <c r="EDT84" s="31"/>
      <c r="EDU84" s="31"/>
      <c r="EDV84" s="31"/>
      <c r="EDW84" s="31"/>
      <c r="EDX84" s="31"/>
      <c r="EDY84" s="31"/>
      <c r="EDZ84" s="31"/>
      <c r="EEA84" s="31"/>
      <c r="EEB84" s="31"/>
      <c r="EEC84" s="31"/>
      <c r="EED84" s="31"/>
      <c r="EEE84" s="31"/>
      <c r="EEF84" s="31"/>
      <c r="EEG84" s="31"/>
      <c r="EEH84" s="31"/>
      <c r="EEI84" s="31"/>
      <c r="EEJ84" s="31"/>
      <c r="EEK84" s="31"/>
      <c r="EEL84" s="31"/>
      <c r="EEM84" s="31"/>
      <c r="EEN84" s="31"/>
      <c r="EEO84" s="31"/>
      <c r="EEP84" s="31"/>
      <c r="EEQ84" s="31"/>
      <c r="EER84" s="31"/>
      <c r="EES84" s="31"/>
      <c r="EET84" s="31"/>
      <c r="EEU84" s="31"/>
      <c r="EEV84" s="31"/>
      <c r="EEW84" s="31"/>
      <c r="EEX84" s="31"/>
      <c r="EEY84" s="31"/>
      <c r="EEZ84" s="31"/>
      <c r="EFA84" s="31"/>
      <c r="EFB84" s="31"/>
      <c r="EFC84" s="31"/>
      <c r="EFD84" s="31"/>
      <c r="EFE84" s="31"/>
      <c r="EFF84" s="31"/>
      <c r="EFG84" s="31"/>
      <c r="EFH84" s="31"/>
      <c r="EFI84" s="31"/>
      <c r="EFJ84" s="31"/>
      <c r="EFK84" s="31"/>
      <c r="EFL84" s="31"/>
      <c r="EFM84" s="31"/>
      <c r="EFN84" s="31"/>
      <c r="EFO84" s="31"/>
      <c r="EFP84" s="31"/>
      <c r="EFQ84" s="31"/>
      <c r="EFR84" s="31"/>
      <c r="EFS84" s="31"/>
      <c r="EFT84" s="31"/>
      <c r="EFU84" s="31"/>
      <c r="EFV84" s="31"/>
      <c r="EFW84" s="31"/>
      <c r="EFX84" s="31"/>
      <c r="EFY84" s="31"/>
      <c r="EFZ84" s="31"/>
      <c r="EGA84" s="31"/>
      <c r="EGB84" s="31"/>
      <c r="EGC84" s="31"/>
      <c r="EGD84" s="31"/>
      <c r="EGE84" s="31"/>
      <c r="EGF84" s="31"/>
      <c r="EGG84" s="31"/>
      <c r="EGH84" s="31"/>
      <c r="EGI84" s="31"/>
      <c r="EGJ84" s="31"/>
      <c r="EGK84" s="31"/>
      <c r="EGL84" s="31"/>
      <c r="EGM84" s="31"/>
      <c r="EGN84" s="31"/>
      <c r="EGO84" s="31"/>
      <c r="EGP84" s="31"/>
      <c r="EGQ84" s="31"/>
      <c r="EGR84" s="31"/>
      <c r="EGS84" s="31"/>
      <c r="EGT84" s="31"/>
      <c r="EGU84" s="31"/>
      <c r="EGV84" s="31"/>
      <c r="EGW84" s="31"/>
      <c r="EGX84" s="31"/>
      <c r="EGY84" s="31"/>
      <c r="EGZ84" s="31"/>
      <c r="EHA84" s="31"/>
      <c r="EHB84" s="31"/>
      <c r="EHC84" s="31"/>
      <c r="EHD84" s="31"/>
      <c r="EHE84" s="31"/>
      <c r="EHF84" s="31"/>
      <c r="EHG84" s="31"/>
      <c r="EHH84" s="31"/>
      <c r="EHI84" s="31"/>
      <c r="EHJ84" s="31"/>
      <c r="EHK84" s="31"/>
      <c r="EHL84" s="31"/>
      <c r="EHM84" s="31"/>
      <c r="EHN84" s="31"/>
      <c r="EHO84" s="31"/>
      <c r="EHP84" s="31"/>
      <c r="EHQ84" s="31"/>
      <c r="EHR84" s="31"/>
      <c r="EHS84" s="31"/>
      <c r="EHT84" s="31"/>
      <c r="EHU84" s="31"/>
      <c r="EHV84" s="31"/>
      <c r="EHW84" s="31"/>
      <c r="EHX84" s="31"/>
      <c r="EHY84" s="31"/>
      <c r="EHZ84" s="31"/>
      <c r="EIA84" s="31"/>
      <c r="EIB84" s="31"/>
      <c r="EIC84" s="31"/>
      <c r="EID84" s="31"/>
      <c r="EIE84" s="31"/>
      <c r="EIF84" s="31"/>
      <c r="EIG84" s="31"/>
      <c r="EIH84" s="31"/>
      <c r="EII84" s="31"/>
      <c r="EIJ84" s="31"/>
      <c r="EIK84" s="31"/>
      <c r="EIL84" s="31"/>
      <c r="EIM84" s="31"/>
      <c r="EIN84" s="31"/>
      <c r="EIO84" s="31"/>
      <c r="EIP84" s="31"/>
      <c r="EIQ84" s="31"/>
      <c r="EIR84" s="31"/>
      <c r="EIS84" s="31"/>
      <c r="EIT84" s="31"/>
      <c r="EIU84" s="31"/>
      <c r="EIV84" s="31"/>
      <c r="EIW84" s="31"/>
      <c r="EIX84" s="31"/>
      <c r="EIY84" s="31"/>
      <c r="EIZ84" s="31"/>
      <c r="EJA84" s="31"/>
      <c r="EJB84" s="31"/>
      <c r="EJC84" s="31"/>
      <c r="EJD84" s="31"/>
      <c r="EJE84" s="31"/>
      <c r="EJF84" s="31"/>
      <c r="EJG84" s="31"/>
      <c r="EJH84" s="31"/>
      <c r="EJI84" s="31"/>
      <c r="EJJ84" s="31"/>
      <c r="EJK84" s="31"/>
      <c r="EJL84" s="31"/>
      <c r="EJM84" s="31"/>
      <c r="EJN84" s="31"/>
      <c r="EJO84" s="31"/>
      <c r="EJP84" s="31"/>
      <c r="EJQ84" s="31"/>
      <c r="EJR84" s="31"/>
      <c r="EJS84" s="31"/>
      <c r="EJT84" s="31"/>
      <c r="EJU84" s="31"/>
      <c r="EJV84" s="31"/>
      <c r="EJW84" s="31"/>
      <c r="EJX84" s="31"/>
      <c r="EJY84" s="31"/>
      <c r="EJZ84" s="31"/>
      <c r="EKA84" s="31"/>
      <c r="EKB84" s="31"/>
      <c r="EKC84" s="31"/>
      <c r="EKD84" s="31"/>
      <c r="EKE84" s="31"/>
      <c r="EKF84" s="31"/>
      <c r="EKG84" s="31"/>
      <c r="EKH84" s="31"/>
      <c r="EKI84" s="31"/>
      <c r="EKJ84" s="31"/>
      <c r="EKK84" s="31"/>
      <c r="EKL84" s="31"/>
      <c r="EKM84" s="31"/>
      <c r="EKN84" s="31"/>
      <c r="EKO84" s="31"/>
      <c r="EKP84" s="31"/>
      <c r="EKQ84" s="31"/>
      <c r="EKR84" s="31"/>
      <c r="EKS84" s="31"/>
      <c r="EKT84" s="31"/>
      <c r="EKU84" s="31"/>
      <c r="EKV84" s="31"/>
      <c r="EKW84" s="31"/>
      <c r="EKX84" s="31"/>
      <c r="EKY84" s="31"/>
      <c r="EKZ84" s="31"/>
      <c r="ELA84" s="31"/>
      <c r="ELB84" s="31"/>
      <c r="ELC84" s="31"/>
      <c r="ELD84" s="31"/>
      <c r="ELE84" s="31"/>
      <c r="ELF84" s="31"/>
      <c r="ELG84" s="31"/>
      <c r="ELH84" s="31"/>
      <c r="ELI84" s="31"/>
      <c r="ELJ84" s="31"/>
      <c r="ELK84" s="31"/>
      <c r="ELL84" s="31"/>
      <c r="ELM84" s="31"/>
      <c r="ELN84" s="31"/>
      <c r="ELO84" s="31"/>
      <c r="ELP84" s="31"/>
      <c r="ELQ84" s="31"/>
      <c r="ELR84" s="31"/>
      <c r="ELS84" s="31"/>
      <c r="ELT84" s="31"/>
      <c r="ELU84" s="31"/>
      <c r="ELV84" s="31"/>
      <c r="ELW84" s="31"/>
      <c r="ELX84" s="31"/>
      <c r="ELY84" s="31"/>
      <c r="ELZ84" s="31"/>
      <c r="EMA84" s="31"/>
      <c r="EMB84" s="31"/>
      <c r="EMC84" s="31"/>
      <c r="EMD84" s="31"/>
      <c r="EME84" s="31"/>
      <c r="EMF84" s="31"/>
      <c r="EMG84" s="31"/>
      <c r="EMH84" s="31"/>
      <c r="EMI84" s="31"/>
      <c r="EMJ84" s="31"/>
      <c r="EMK84" s="31"/>
      <c r="EML84" s="31"/>
      <c r="EMM84" s="31"/>
      <c r="EMN84" s="31"/>
      <c r="EMO84" s="31"/>
      <c r="EMP84" s="31"/>
      <c r="EMQ84" s="31"/>
      <c r="EMR84" s="31"/>
      <c r="EMS84" s="31"/>
      <c r="EMT84" s="31"/>
      <c r="EMU84" s="31"/>
      <c r="EMV84" s="31"/>
      <c r="EMW84" s="31"/>
      <c r="EMX84" s="31"/>
      <c r="EMY84" s="31"/>
      <c r="EMZ84" s="31"/>
      <c r="ENA84" s="31"/>
      <c r="ENB84" s="31"/>
      <c r="ENC84" s="31"/>
      <c r="END84" s="31"/>
      <c r="ENE84" s="31"/>
      <c r="ENF84" s="31"/>
      <c r="ENG84" s="31"/>
      <c r="ENH84" s="31"/>
      <c r="ENI84" s="31"/>
      <c r="ENJ84" s="31"/>
      <c r="ENK84" s="31"/>
      <c r="ENL84" s="31"/>
      <c r="ENM84" s="31"/>
      <c r="ENN84" s="31"/>
      <c r="ENO84" s="31"/>
      <c r="ENP84" s="31"/>
      <c r="ENQ84" s="31"/>
      <c r="ENR84" s="31"/>
      <c r="ENS84" s="31"/>
      <c r="ENT84" s="31"/>
      <c r="ENU84" s="31"/>
      <c r="ENV84" s="31"/>
      <c r="ENW84" s="31"/>
      <c r="ENX84" s="31"/>
      <c r="ENY84" s="31"/>
      <c r="ENZ84" s="31"/>
      <c r="EOA84" s="31"/>
      <c r="EOB84" s="31"/>
      <c r="EOC84" s="31"/>
      <c r="EOD84" s="31"/>
      <c r="EOE84" s="31"/>
      <c r="EOF84" s="31"/>
      <c r="EOG84" s="31"/>
      <c r="EOH84" s="31"/>
      <c r="EOI84" s="31"/>
      <c r="EOJ84" s="31"/>
      <c r="EOK84" s="31"/>
      <c r="EOL84" s="31"/>
      <c r="EOM84" s="31"/>
      <c r="EON84" s="31"/>
      <c r="EOO84" s="31"/>
      <c r="EOP84" s="31"/>
      <c r="EOQ84" s="31"/>
      <c r="EOR84" s="31"/>
      <c r="EOS84" s="31"/>
      <c r="EOT84" s="31"/>
      <c r="EOU84" s="31"/>
      <c r="EOV84" s="31"/>
      <c r="EOW84" s="31"/>
      <c r="EOX84" s="31"/>
      <c r="EOY84" s="31"/>
      <c r="EOZ84" s="31"/>
      <c r="EPA84" s="31"/>
      <c r="EPB84" s="31"/>
      <c r="EPC84" s="31"/>
      <c r="EPD84" s="31"/>
      <c r="EPE84" s="31"/>
      <c r="EPF84" s="31"/>
      <c r="EPG84" s="31"/>
      <c r="EPH84" s="31"/>
      <c r="EPI84" s="31"/>
      <c r="EPJ84" s="31"/>
      <c r="EPK84" s="31"/>
      <c r="EPL84" s="31"/>
      <c r="EPM84" s="31"/>
      <c r="EPN84" s="31"/>
      <c r="EPO84" s="31"/>
      <c r="EPP84" s="31"/>
      <c r="EPQ84" s="31"/>
      <c r="EPR84" s="31"/>
      <c r="EPS84" s="31"/>
      <c r="EPT84" s="31"/>
      <c r="EPU84" s="31"/>
      <c r="EPV84" s="31"/>
      <c r="EPW84" s="31"/>
      <c r="EPX84" s="31"/>
      <c r="EPY84" s="31"/>
      <c r="EPZ84" s="31"/>
      <c r="EQA84" s="31"/>
      <c r="EQB84" s="31"/>
      <c r="EQC84" s="31"/>
      <c r="EQD84" s="31"/>
      <c r="EQE84" s="31"/>
      <c r="EQF84" s="31"/>
      <c r="EQG84" s="31"/>
      <c r="EQH84" s="31"/>
      <c r="EQI84" s="31"/>
      <c r="EQJ84" s="31"/>
      <c r="EQK84" s="31"/>
      <c r="EQL84" s="31"/>
      <c r="EQM84" s="31"/>
      <c r="EQN84" s="31"/>
      <c r="EQO84" s="31"/>
      <c r="EQP84" s="31"/>
      <c r="EQQ84" s="31"/>
      <c r="EQR84" s="31"/>
      <c r="EQS84" s="31"/>
      <c r="EQT84" s="31"/>
      <c r="EQU84" s="31"/>
      <c r="EQV84" s="31"/>
      <c r="EQW84" s="31"/>
      <c r="EQX84" s="31"/>
      <c r="EQY84" s="31"/>
      <c r="EQZ84" s="31"/>
      <c r="ERA84" s="31"/>
      <c r="ERB84" s="31"/>
      <c r="ERC84" s="31"/>
      <c r="ERD84" s="31"/>
      <c r="ERE84" s="31"/>
      <c r="ERF84" s="31"/>
      <c r="ERG84" s="31"/>
      <c r="ERH84" s="31"/>
      <c r="ERI84" s="31"/>
      <c r="ERJ84" s="31"/>
      <c r="ERK84" s="31"/>
      <c r="ERL84" s="31"/>
      <c r="ERM84" s="31"/>
      <c r="ERN84" s="31"/>
      <c r="ERO84" s="31"/>
      <c r="ERP84" s="31"/>
      <c r="ERQ84" s="31"/>
      <c r="ERR84" s="31"/>
      <c r="ERS84" s="31"/>
      <c r="ERT84" s="31"/>
      <c r="ERU84" s="31"/>
      <c r="ERV84" s="31"/>
      <c r="ERW84" s="31"/>
      <c r="ERX84" s="31"/>
      <c r="ERY84" s="31"/>
      <c r="ERZ84" s="31"/>
      <c r="ESA84" s="31"/>
      <c r="ESB84" s="31"/>
      <c r="ESC84" s="31"/>
      <c r="ESD84" s="31"/>
      <c r="ESE84" s="31"/>
      <c r="ESF84" s="31"/>
      <c r="ESG84" s="31"/>
      <c r="ESH84" s="31"/>
      <c r="ESI84" s="31"/>
      <c r="ESJ84" s="31"/>
      <c r="ESK84" s="31"/>
      <c r="ESL84" s="31"/>
      <c r="ESM84" s="31"/>
      <c r="ESN84" s="31"/>
      <c r="ESO84" s="31"/>
      <c r="ESP84" s="31"/>
      <c r="ESQ84" s="31"/>
      <c r="ESR84" s="31"/>
      <c r="ESS84" s="31"/>
      <c r="EST84" s="31"/>
      <c r="ESU84" s="31"/>
      <c r="ESV84" s="31"/>
      <c r="ESW84" s="31"/>
      <c r="ESX84" s="31"/>
      <c r="ESY84" s="31"/>
      <c r="ESZ84" s="31"/>
      <c r="ETA84" s="31"/>
      <c r="ETB84" s="31"/>
      <c r="ETC84" s="31"/>
      <c r="ETD84" s="31"/>
      <c r="ETE84" s="31"/>
      <c r="ETF84" s="31"/>
      <c r="ETG84" s="31"/>
      <c r="ETH84" s="31"/>
      <c r="ETI84" s="31"/>
      <c r="ETJ84" s="31"/>
      <c r="ETK84" s="31"/>
      <c r="ETL84" s="31"/>
      <c r="ETM84" s="31"/>
      <c r="ETN84" s="31"/>
      <c r="ETO84" s="31"/>
      <c r="ETP84" s="31"/>
      <c r="ETQ84" s="31"/>
      <c r="ETR84" s="31"/>
      <c r="ETS84" s="31"/>
      <c r="ETT84" s="31"/>
      <c r="ETU84" s="31"/>
      <c r="ETV84" s="31"/>
      <c r="ETW84" s="31"/>
      <c r="ETX84" s="31"/>
      <c r="ETY84" s="31"/>
      <c r="ETZ84" s="31"/>
      <c r="EUA84" s="31"/>
      <c r="EUB84" s="31"/>
      <c r="EUC84" s="31"/>
      <c r="EUD84" s="31"/>
      <c r="EUE84" s="31"/>
      <c r="EUF84" s="31"/>
      <c r="EUG84" s="31"/>
      <c r="EUH84" s="31"/>
      <c r="EUI84" s="31"/>
      <c r="EUJ84" s="31"/>
      <c r="EUK84" s="31"/>
      <c r="EUL84" s="31"/>
      <c r="EUM84" s="31"/>
      <c r="EUN84" s="31"/>
      <c r="EUO84" s="31"/>
      <c r="EUP84" s="31"/>
      <c r="EUQ84" s="31"/>
      <c r="EUR84" s="31"/>
      <c r="EUS84" s="31"/>
      <c r="EUT84" s="31"/>
      <c r="EUU84" s="31"/>
      <c r="EUV84" s="31"/>
      <c r="EUW84" s="31"/>
      <c r="EUX84" s="31"/>
      <c r="EUY84" s="31"/>
      <c r="EUZ84" s="31"/>
      <c r="EVA84" s="31"/>
      <c r="EVB84" s="31"/>
      <c r="EVC84" s="31"/>
      <c r="EVD84" s="31"/>
      <c r="EVE84" s="31"/>
      <c r="EVF84" s="31"/>
      <c r="EVG84" s="31"/>
      <c r="EVH84" s="31"/>
      <c r="EVI84" s="31"/>
      <c r="EVJ84" s="31"/>
      <c r="EVK84" s="31"/>
      <c r="EVL84" s="31"/>
      <c r="EVM84" s="31"/>
      <c r="EVN84" s="31"/>
      <c r="EVO84" s="31"/>
      <c r="EVP84" s="31"/>
      <c r="EVQ84" s="31"/>
      <c r="EVR84" s="31"/>
      <c r="EVS84" s="31"/>
      <c r="EVT84" s="31"/>
      <c r="EVU84" s="31"/>
      <c r="EVV84" s="31"/>
      <c r="EVW84" s="31"/>
      <c r="EVX84" s="31"/>
      <c r="EVY84" s="31"/>
      <c r="EVZ84" s="31"/>
      <c r="EWA84" s="31"/>
      <c r="EWB84" s="31"/>
      <c r="EWC84" s="31"/>
      <c r="EWD84" s="31"/>
      <c r="EWE84" s="31"/>
      <c r="EWF84" s="31"/>
      <c r="EWG84" s="31"/>
      <c r="EWH84" s="31"/>
      <c r="EWI84" s="31"/>
      <c r="EWJ84" s="31"/>
      <c r="EWK84" s="31"/>
      <c r="EWL84" s="31"/>
      <c r="EWM84" s="31"/>
      <c r="EWN84" s="31"/>
      <c r="EWO84" s="31"/>
      <c r="EWP84" s="31"/>
      <c r="EWQ84" s="31"/>
      <c r="EWR84" s="31"/>
      <c r="EWS84" s="31"/>
      <c r="EWT84" s="31"/>
      <c r="EWU84" s="31"/>
      <c r="EWV84" s="31"/>
      <c r="EWW84" s="31"/>
      <c r="EWX84" s="31"/>
      <c r="EWY84" s="31"/>
      <c r="EWZ84" s="31"/>
      <c r="EXA84" s="31"/>
      <c r="EXB84" s="31"/>
      <c r="EXC84" s="31"/>
      <c r="EXD84" s="31"/>
      <c r="EXE84" s="31"/>
      <c r="EXF84" s="31"/>
      <c r="EXG84" s="31"/>
      <c r="EXH84" s="31"/>
      <c r="EXI84" s="31"/>
      <c r="EXJ84" s="31"/>
      <c r="EXK84" s="31"/>
      <c r="EXL84" s="31"/>
      <c r="EXM84" s="31"/>
      <c r="EXN84" s="31"/>
      <c r="EXO84" s="31"/>
      <c r="EXP84" s="31"/>
      <c r="EXQ84" s="31"/>
      <c r="EXR84" s="31"/>
      <c r="EXS84" s="31"/>
      <c r="EXT84" s="31"/>
      <c r="EXU84" s="31"/>
      <c r="EXV84" s="31"/>
      <c r="EXW84" s="31"/>
      <c r="EXX84" s="31"/>
      <c r="EXY84" s="31"/>
      <c r="EXZ84" s="31"/>
      <c r="EYA84" s="31"/>
      <c r="EYB84" s="31"/>
      <c r="EYC84" s="31"/>
      <c r="EYD84" s="31"/>
      <c r="EYE84" s="31"/>
      <c r="EYF84" s="31"/>
      <c r="EYG84" s="31"/>
      <c r="EYH84" s="31"/>
      <c r="EYI84" s="31"/>
      <c r="EYJ84" s="31"/>
      <c r="EYK84" s="31"/>
      <c r="EYL84" s="31"/>
      <c r="EYM84" s="31"/>
      <c r="EYN84" s="31"/>
      <c r="EYO84" s="31"/>
      <c r="EYP84" s="31"/>
      <c r="EYQ84" s="31"/>
      <c r="EYR84" s="31"/>
      <c r="EYS84" s="31"/>
      <c r="EYT84" s="31"/>
      <c r="EYU84" s="31"/>
      <c r="EYV84" s="31"/>
      <c r="EYW84" s="31"/>
      <c r="EYX84" s="31"/>
      <c r="EYY84" s="31"/>
      <c r="EYZ84" s="31"/>
      <c r="EZA84" s="31"/>
      <c r="EZB84" s="31"/>
      <c r="EZC84" s="31"/>
      <c r="EZD84" s="31"/>
      <c r="EZE84" s="31"/>
      <c r="EZF84" s="31"/>
      <c r="EZG84" s="31"/>
      <c r="EZH84" s="31"/>
      <c r="EZI84" s="31"/>
      <c r="EZJ84" s="31"/>
      <c r="EZK84" s="31"/>
      <c r="EZL84" s="31"/>
      <c r="EZM84" s="31"/>
      <c r="EZN84" s="31"/>
      <c r="EZO84" s="31"/>
      <c r="EZP84" s="31"/>
      <c r="EZQ84" s="31"/>
      <c r="EZR84" s="31"/>
      <c r="EZS84" s="31"/>
      <c r="EZT84" s="31"/>
      <c r="EZU84" s="31"/>
      <c r="EZV84" s="31"/>
      <c r="EZW84" s="31"/>
      <c r="EZX84" s="31"/>
      <c r="EZY84" s="31"/>
      <c r="EZZ84" s="31"/>
      <c r="FAA84" s="31"/>
      <c r="FAB84" s="31"/>
      <c r="FAC84" s="31"/>
      <c r="FAD84" s="31"/>
      <c r="FAE84" s="31"/>
      <c r="FAF84" s="31"/>
      <c r="FAG84" s="31"/>
      <c r="FAH84" s="31"/>
      <c r="FAI84" s="31"/>
      <c r="FAJ84" s="31"/>
      <c r="FAK84" s="31"/>
      <c r="FAL84" s="31"/>
      <c r="FAM84" s="31"/>
      <c r="FAN84" s="31"/>
      <c r="FAO84" s="31"/>
      <c r="FAP84" s="31"/>
      <c r="FAQ84" s="31"/>
      <c r="FAR84" s="31"/>
      <c r="FAS84" s="31"/>
      <c r="FAT84" s="31"/>
      <c r="FAU84" s="31"/>
      <c r="FAV84" s="31"/>
      <c r="FAW84" s="31"/>
      <c r="FAX84" s="31"/>
      <c r="FAY84" s="31"/>
      <c r="FAZ84" s="31"/>
      <c r="FBA84" s="31"/>
      <c r="FBB84" s="31"/>
      <c r="FBC84" s="31"/>
      <c r="FBD84" s="31"/>
      <c r="FBE84" s="31"/>
      <c r="FBF84" s="31"/>
      <c r="FBG84" s="31"/>
      <c r="FBH84" s="31"/>
      <c r="FBI84" s="31"/>
      <c r="FBJ84" s="31"/>
      <c r="FBK84" s="31"/>
      <c r="FBL84" s="31"/>
      <c r="FBM84" s="31"/>
      <c r="FBN84" s="31"/>
      <c r="FBO84" s="31"/>
      <c r="FBP84" s="31"/>
      <c r="FBQ84" s="31"/>
      <c r="FBR84" s="31"/>
      <c r="FBS84" s="31"/>
      <c r="FBT84" s="31"/>
      <c r="FBU84" s="31"/>
      <c r="FBV84" s="31"/>
      <c r="FBW84" s="31"/>
      <c r="FBX84" s="31"/>
      <c r="FBY84" s="31"/>
      <c r="FBZ84" s="31"/>
      <c r="FCA84" s="31"/>
      <c r="FCB84" s="31"/>
      <c r="FCC84" s="31"/>
      <c r="FCD84" s="31"/>
      <c r="FCE84" s="31"/>
      <c r="FCF84" s="31"/>
      <c r="FCG84" s="31"/>
      <c r="FCH84" s="31"/>
      <c r="FCI84" s="31"/>
      <c r="FCJ84" s="31"/>
      <c r="FCK84" s="31"/>
      <c r="FCL84" s="31"/>
      <c r="FCM84" s="31"/>
      <c r="FCN84" s="31"/>
      <c r="FCO84" s="31"/>
      <c r="FCP84" s="31"/>
      <c r="FCQ84" s="31"/>
      <c r="FCR84" s="31"/>
      <c r="FCS84" s="31"/>
      <c r="FCT84" s="31"/>
      <c r="FCU84" s="31"/>
      <c r="FCV84" s="31"/>
      <c r="FCW84" s="31"/>
      <c r="FCX84" s="31"/>
      <c r="FCY84" s="31"/>
      <c r="FCZ84" s="31"/>
      <c r="FDA84" s="31"/>
      <c r="FDB84" s="31"/>
      <c r="FDC84" s="31"/>
      <c r="FDD84" s="31"/>
      <c r="FDE84" s="31"/>
      <c r="FDF84" s="31"/>
      <c r="FDG84" s="31"/>
      <c r="FDH84" s="31"/>
      <c r="FDI84" s="31"/>
      <c r="FDJ84" s="31"/>
      <c r="FDK84" s="31"/>
      <c r="FDL84" s="31"/>
      <c r="FDM84" s="31"/>
      <c r="FDN84" s="31"/>
      <c r="FDO84" s="31"/>
      <c r="FDP84" s="31"/>
      <c r="FDQ84" s="31"/>
      <c r="FDR84" s="31"/>
      <c r="FDS84" s="31"/>
      <c r="FDT84" s="31"/>
      <c r="FDU84" s="31"/>
      <c r="FDV84" s="31"/>
      <c r="FDW84" s="31"/>
      <c r="FDX84" s="31"/>
      <c r="FDY84" s="31"/>
      <c r="FDZ84" s="31"/>
      <c r="FEA84" s="31"/>
      <c r="FEB84" s="31"/>
      <c r="FEC84" s="31"/>
      <c r="FED84" s="31"/>
      <c r="FEE84" s="31"/>
      <c r="FEF84" s="31"/>
      <c r="FEG84" s="31"/>
      <c r="FEH84" s="31"/>
      <c r="FEI84" s="31"/>
      <c r="FEJ84" s="31"/>
      <c r="FEK84" s="31"/>
      <c r="FEL84" s="31"/>
      <c r="FEM84" s="31"/>
      <c r="FEN84" s="31"/>
      <c r="FEO84" s="31"/>
      <c r="FEP84" s="31"/>
      <c r="FEQ84" s="31"/>
      <c r="FER84" s="31"/>
      <c r="FES84" s="31"/>
      <c r="FET84" s="31"/>
      <c r="FEU84" s="31"/>
      <c r="FEV84" s="31"/>
      <c r="FEW84" s="31"/>
      <c r="FEX84" s="31"/>
      <c r="FEY84" s="31"/>
      <c r="FEZ84" s="31"/>
      <c r="FFA84" s="31"/>
      <c r="FFB84" s="31"/>
      <c r="FFC84" s="31"/>
      <c r="FFD84" s="31"/>
      <c r="FFE84" s="31"/>
      <c r="FFF84" s="31"/>
      <c r="FFG84" s="31"/>
      <c r="FFH84" s="31"/>
      <c r="FFI84" s="31"/>
      <c r="FFJ84" s="31"/>
      <c r="FFK84" s="31"/>
      <c r="FFL84" s="31"/>
      <c r="FFM84" s="31"/>
      <c r="FFN84" s="31"/>
      <c r="FFO84" s="31"/>
      <c r="FFP84" s="31"/>
      <c r="FFQ84" s="31"/>
      <c r="FFR84" s="31"/>
      <c r="FFS84" s="31"/>
      <c r="FFT84" s="31"/>
      <c r="FFU84" s="31"/>
      <c r="FFV84" s="31"/>
      <c r="FFW84" s="31"/>
      <c r="FFX84" s="31"/>
      <c r="FFY84" s="31"/>
      <c r="FFZ84" s="31"/>
      <c r="FGA84" s="31"/>
      <c r="FGB84" s="31"/>
      <c r="FGC84" s="31"/>
      <c r="FGD84" s="31"/>
      <c r="FGE84" s="31"/>
      <c r="FGF84" s="31"/>
      <c r="FGG84" s="31"/>
      <c r="FGH84" s="31"/>
      <c r="FGI84" s="31"/>
      <c r="FGJ84" s="31"/>
      <c r="FGK84" s="31"/>
      <c r="FGL84" s="31"/>
      <c r="FGM84" s="31"/>
      <c r="FGN84" s="31"/>
      <c r="FGO84" s="31"/>
      <c r="FGP84" s="31"/>
      <c r="FGQ84" s="31"/>
      <c r="FGR84" s="31"/>
      <c r="FGS84" s="31"/>
      <c r="FGT84" s="31"/>
      <c r="FGU84" s="31"/>
      <c r="FGV84" s="31"/>
      <c r="FGW84" s="31"/>
      <c r="FGX84" s="31"/>
      <c r="FGY84" s="31"/>
      <c r="FGZ84" s="31"/>
      <c r="FHA84" s="31"/>
      <c r="FHB84" s="31"/>
      <c r="FHC84" s="31"/>
      <c r="FHD84" s="31"/>
      <c r="FHE84" s="31"/>
      <c r="FHF84" s="31"/>
      <c r="FHG84" s="31"/>
      <c r="FHH84" s="31"/>
      <c r="FHI84" s="31"/>
      <c r="FHJ84" s="31"/>
      <c r="FHK84" s="31"/>
      <c r="FHL84" s="31"/>
      <c r="FHM84" s="31"/>
      <c r="FHN84" s="31"/>
      <c r="FHO84" s="31"/>
      <c r="FHP84" s="31"/>
      <c r="FHQ84" s="31"/>
      <c r="FHR84" s="31"/>
      <c r="FHS84" s="31"/>
      <c r="FHT84" s="31"/>
      <c r="FHU84" s="31"/>
      <c r="FHV84" s="31"/>
      <c r="FHW84" s="31"/>
      <c r="FHX84" s="31"/>
      <c r="FHY84" s="31"/>
      <c r="FHZ84" s="31"/>
      <c r="FIA84" s="31"/>
      <c r="FIB84" s="31"/>
      <c r="FIC84" s="31"/>
      <c r="FID84" s="31"/>
      <c r="FIE84" s="31"/>
      <c r="FIF84" s="31"/>
      <c r="FIG84" s="31"/>
      <c r="FIH84" s="31"/>
      <c r="FII84" s="31"/>
      <c r="FIJ84" s="31"/>
      <c r="FIK84" s="31"/>
      <c r="FIL84" s="31"/>
      <c r="FIM84" s="31"/>
      <c r="FIN84" s="31"/>
      <c r="FIO84" s="31"/>
      <c r="FIP84" s="31"/>
      <c r="FIQ84" s="31"/>
      <c r="FIR84" s="31"/>
      <c r="FIS84" s="31"/>
      <c r="FIT84" s="31"/>
      <c r="FIU84" s="31"/>
      <c r="FIV84" s="31"/>
      <c r="FIW84" s="31"/>
      <c r="FIX84" s="31"/>
      <c r="FIY84" s="31"/>
      <c r="FIZ84" s="31"/>
      <c r="FJA84" s="31"/>
      <c r="FJB84" s="31"/>
      <c r="FJC84" s="31"/>
      <c r="FJD84" s="31"/>
      <c r="FJE84" s="31"/>
      <c r="FJF84" s="31"/>
      <c r="FJG84" s="31"/>
      <c r="FJH84" s="31"/>
      <c r="FJI84" s="31"/>
      <c r="FJJ84" s="31"/>
      <c r="FJK84" s="31"/>
      <c r="FJL84" s="31"/>
      <c r="FJM84" s="31"/>
      <c r="FJN84" s="31"/>
      <c r="FJO84" s="31"/>
      <c r="FJP84" s="31"/>
      <c r="FJQ84" s="31"/>
      <c r="FJR84" s="31"/>
      <c r="FJS84" s="31"/>
      <c r="FJT84" s="31"/>
      <c r="FJU84" s="31"/>
      <c r="FJV84" s="31"/>
      <c r="FJW84" s="31"/>
      <c r="FJX84" s="31"/>
      <c r="FJY84" s="31"/>
      <c r="FJZ84" s="31"/>
      <c r="FKA84" s="31"/>
      <c r="FKB84" s="31"/>
      <c r="FKC84" s="31"/>
      <c r="FKD84" s="31"/>
      <c r="FKE84" s="31"/>
      <c r="FKF84" s="31"/>
      <c r="FKG84" s="31"/>
      <c r="FKH84" s="31"/>
      <c r="FKI84" s="31"/>
      <c r="FKJ84" s="31"/>
      <c r="FKK84" s="31"/>
      <c r="FKL84" s="31"/>
      <c r="FKM84" s="31"/>
      <c r="FKN84" s="31"/>
      <c r="FKO84" s="31"/>
      <c r="FKP84" s="31"/>
      <c r="FKQ84" s="31"/>
      <c r="FKR84" s="31"/>
      <c r="FKS84" s="31"/>
      <c r="FKT84" s="31"/>
      <c r="FKU84" s="31"/>
      <c r="FKV84" s="31"/>
      <c r="FKW84" s="31"/>
      <c r="FKX84" s="31"/>
      <c r="FKY84" s="31"/>
      <c r="FKZ84" s="31"/>
      <c r="FLA84" s="31"/>
      <c r="FLB84" s="31"/>
      <c r="FLC84" s="31"/>
      <c r="FLD84" s="31"/>
      <c r="FLE84" s="31"/>
      <c r="FLF84" s="31"/>
      <c r="FLG84" s="31"/>
      <c r="FLH84" s="31"/>
      <c r="FLI84" s="31"/>
      <c r="FLJ84" s="31"/>
      <c r="FLK84" s="31"/>
      <c r="FLL84" s="31"/>
      <c r="FLM84" s="31"/>
      <c r="FLN84" s="31"/>
      <c r="FLO84" s="31"/>
      <c r="FLP84" s="31"/>
      <c r="FLQ84" s="31"/>
      <c r="FLR84" s="31"/>
      <c r="FLS84" s="31"/>
      <c r="FLT84" s="31"/>
      <c r="FLU84" s="31"/>
      <c r="FLV84" s="31"/>
      <c r="FLW84" s="31"/>
      <c r="FLX84" s="31"/>
      <c r="FLY84" s="31"/>
      <c r="FLZ84" s="31"/>
      <c r="FMA84" s="31"/>
      <c r="FMB84" s="31"/>
      <c r="FMC84" s="31"/>
      <c r="FMD84" s="31"/>
      <c r="FME84" s="31"/>
      <c r="FMF84" s="31"/>
      <c r="FMG84" s="31"/>
      <c r="FMH84" s="31"/>
      <c r="FMI84" s="31"/>
      <c r="FMJ84" s="31"/>
      <c r="FMK84" s="31"/>
      <c r="FML84" s="31"/>
      <c r="FMM84" s="31"/>
      <c r="FMN84" s="31"/>
      <c r="FMO84" s="31"/>
      <c r="FMP84" s="31"/>
      <c r="FMQ84" s="31"/>
      <c r="FMR84" s="31"/>
      <c r="FMS84" s="31"/>
      <c r="FMT84" s="31"/>
      <c r="FMU84" s="31"/>
      <c r="FMV84" s="31"/>
      <c r="FMW84" s="31"/>
      <c r="FMX84" s="31"/>
      <c r="FMY84" s="31"/>
      <c r="FMZ84" s="31"/>
      <c r="FNA84" s="31"/>
      <c r="FNB84" s="31"/>
      <c r="FNC84" s="31"/>
      <c r="FND84" s="31"/>
      <c r="FNE84" s="31"/>
      <c r="FNF84" s="31"/>
      <c r="FNG84" s="31"/>
      <c r="FNH84" s="31"/>
      <c r="FNI84" s="31"/>
      <c r="FNJ84" s="31"/>
      <c r="FNK84" s="31"/>
      <c r="FNL84" s="31"/>
      <c r="FNM84" s="31"/>
      <c r="FNN84" s="31"/>
      <c r="FNO84" s="31"/>
      <c r="FNP84" s="31"/>
      <c r="FNQ84" s="31"/>
      <c r="FNR84" s="31"/>
      <c r="FNS84" s="31"/>
      <c r="FNT84" s="31"/>
      <c r="FNU84" s="31"/>
      <c r="FNV84" s="31"/>
      <c r="FNW84" s="31"/>
      <c r="FNX84" s="31"/>
      <c r="FNY84" s="31"/>
      <c r="FNZ84" s="31"/>
      <c r="FOA84" s="31"/>
      <c r="FOB84" s="31"/>
      <c r="FOC84" s="31"/>
      <c r="FOD84" s="31"/>
      <c r="FOE84" s="31"/>
      <c r="FOF84" s="31"/>
      <c r="FOG84" s="31"/>
      <c r="FOH84" s="31"/>
      <c r="FOI84" s="31"/>
      <c r="FOJ84" s="31"/>
      <c r="FOK84" s="31"/>
      <c r="FOL84" s="31"/>
      <c r="FOM84" s="31"/>
      <c r="FON84" s="31"/>
      <c r="FOO84" s="31"/>
      <c r="FOP84" s="31"/>
      <c r="FOQ84" s="31"/>
      <c r="FOR84" s="31"/>
      <c r="FOS84" s="31"/>
      <c r="FOT84" s="31"/>
      <c r="FOU84" s="31"/>
      <c r="FOV84" s="31"/>
      <c r="FOW84" s="31"/>
      <c r="FOX84" s="31"/>
      <c r="FOY84" s="31"/>
      <c r="FOZ84" s="31"/>
      <c r="FPA84" s="31"/>
      <c r="FPB84" s="31"/>
      <c r="FPC84" s="31"/>
      <c r="FPD84" s="31"/>
      <c r="FPE84" s="31"/>
      <c r="FPF84" s="31"/>
      <c r="FPG84" s="31"/>
      <c r="FPH84" s="31"/>
      <c r="FPI84" s="31"/>
      <c r="FPJ84" s="31"/>
      <c r="FPK84" s="31"/>
      <c r="FPL84" s="31"/>
      <c r="FPM84" s="31"/>
      <c r="FPN84" s="31"/>
      <c r="FPO84" s="31"/>
      <c r="FPP84" s="31"/>
      <c r="FPQ84" s="31"/>
      <c r="FPR84" s="31"/>
      <c r="FPS84" s="31"/>
      <c r="FPT84" s="31"/>
      <c r="FPU84" s="31"/>
      <c r="FPV84" s="31"/>
      <c r="FPW84" s="31"/>
      <c r="FPX84" s="31"/>
      <c r="FPY84" s="31"/>
      <c r="FPZ84" s="31"/>
      <c r="FQA84" s="31"/>
      <c r="FQB84" s="31"/>
      <c r="FQC84" s="31"/>
      <c r="FQD84" s="31"/>
      <c r="FQE84" s="31"/>
      <c r="FQF84" s="31"/>
      <c r="FQG84" s="31"/>
      <c r="FQH84" s="31"/>
      <c r="FQI84" s="31"/>
      <c r="FQJ84" s="31"/>
      <c r="FQK84" s="31"/>
      <c r="FQL84" s="31"/>
      <c r="FQM84" s="31"/>
      <c r="FQN84" s="31"/>
      <c r="FQO84" s="31"/>
      <c r="FQP84" s="31"/>
      <c r="FQQ84" s="31"/>
      <c r="FQR84" s="31"/>
      <c r="FQS84" s="31"/>
      <c r="FQT84" s="31"/>
      <c r="FQU84" s="31"/>
      <c r="FQV84" s="31"/>
      <c r="FQW84" s="31"/>
      <c r="FQX84" s="31"/>
      <c r="FQY84" s="31"/>
      <c r="FQZ84" s="31"/>
      <c r="FRA84" s="31"/>
      <c r="FRB84" s="31"/>
      <c r="FRC84" s="31"/>
      <c r="FRD84" s="31"/>
      <c r="FRE84" s="31"/>
      <c r="FRF84" s="31"/>
      <c r="FRG84" s="31"/>
      <c r="FRH84" s="31"/>
      <c r="FRI84" s="31"/>
      <c r="FRJ84" s="31"/>
      <c r="FRK84" s="31"/>
      <c r="FRL84" s="31"/>
      <c r="FRM84" s="31"/>
      <c r="FRN84" s="31"/>
      <c r="FRO84" s="31"/>
      <c r="FRP84" s="31"/>
      <c r="FRQ84" s="31"/>
      <c r="FRR84" s="31"/>
      <c r="FRS84" s="31"/>
      <c r="FRT84" s="31"/>
      <c r="FRU84" s="31"/>
      <c r="FRV84" s="31"/>
      <c r="FRW84" s="31"/>
      <c r="FRX84" s="31"/>
      <c r="FRY84" s="31"/>
      <c r="FRZ84" s="31"/>
      <c r="FSA84" s="31"/>
      <c r="FSB84" s="31"/>
      <c r="FSC84" s="31"/>
      <c r="FSD84" s="31"/>
      <c r="FSE84" s="31"/>
      <c r="FSF84" s="31"/>
      <c r="FSG84" s="31"/>
      <c r="FSH84" s="31"/>
      <c r="FSI84" s="31"/>
      <c r="FSJ84" s="31"/>
      <c r="FSK84" s="31"/>
      <c r="FSL84" s="31"/>
      <c r="FSM84" s="31"/>
      <c r="FSN84" s="31"/>
      <c r="FSO84" s="31"/>
      <c r="FSP84" s="31"/>
      <c r="FSQ84" s="31"/>
      <c r="FSR84" s="31"/>
      <c r="FSS84" s="31"/>
      <c r="FST84" s="31"/>
      <c r="FSU84" s="31"/>
      <c r="FSV84" s="31"/>
      <c r="FSW84" s="31"/>
      <c r="FSX84" s="31"/>
      <c r="FSY84" s="31"/>
      <c r="FSZ84" s="31"/>
      <c r="FTA84" s="31"/>
      <c r="FTB84" s="31"/>
      <c r="FTC84" s="31"/>
      <c r="FTD84" s="31"/>
      <c r="FTE84" s="31"/>
      <c r="FTF84" s="31"/>
      <c r="FTG84" s="31"/>
      <c r="FTH84" s="31"/>
      <c r="FTI84" s="31"/>
      <c r="FTJ84" s="31"/>
      <c r="FTK84" s="31"/>
      <c r="FTL84" s="31"/>
      <c r="FTM84" s="31"/>
      <c r="FTN84" s="31"/>
      <c r="FTO84" s="31"/>
      <c r="FTP84" s="31"/>
      <c r="FTQ84" s="31"/>
      <c r="FTR84" s="31"/>
      <c r="FTS84" s="31"/>
      <c r="FTT84" s="31"/>
      <c r="FTU84" s="31"/>
      <c r="FTV84" s="31"/>
      <c r="FTW84" s="31"/>
      <c r="FTX84" s="31"/>
      <c r="FTY84" s="31"/>
      <c r="FTZ84" s="31"/>
      <c r="FUA84" s="31"/>
      <c r="FUB84" s="31"/>
      <c r="FUC84" s="31"/>
      <c r="FUD84" s="31"/>
      <c r="FUE84" s="31"/>
      <c r="FUF84" s="31"/>
      <c r="FUG84" s="31"/>
      <c r="FUH84" s="31"/>
      <c r="FUI84" s="31"/>
      <c r="FUJ84" s="31"/>
      <c r="FUK84" s="31"/>
      <c r="FUL84" s="31"/>
      <c r="FUM84" s="31"/>
      <c r="FUN84" s="31"/>
      <c r="FUO84" s="31"/>
      <c r="FUP84" s="31"/>
      <c r="FUQ84" s="31"/>
      <c r="FUR84" s="31"/>
      <c r="FUS84" s="31"/>
      <c r="FUT84" s="31"/>
      <c r="FUU84" s="31"/>
      <c r="FUV84" s="31"/>
      <c r="FUW84" s="31"/>
      <c r="FUX84" s="31"/>
      <c r="FUY84" s="31"/>
      <c r="FUZ84" s="31"/>
      <c r="FVA84" s="31"/>
      <c r="FVB84" s="31"/>
      <c r="FVC84" s="31"/>
      <c r="FVD84" s="31"/>
      <c r="FVE84" s="31"/>
      <c r="FVF84" s="31"/>
      <c r="FVG84" s="31"/>
      <c r="FVH84" s="31"/>
      <c r="FVI84" s="31"/>
      <c r="FVJ84" s="31"/>
      <c r="FVK84" s="31"/>
      <c r="FVL84" s="31"/>
      <c r="FVM84" s="31"/>
      <c r="FVN84" s="31"/>
      <c r="FVO84" s="31"/>
      <c r="FVP84" s="31"/>
      <c r="FVQ84" s="31"/>
      <c r="FVR84" s="31"/>
      <c r="FVS84" s="31"/>
      <c r="FVT84" s="31"/>
      <c r="FVU84" s="31"/>
      <c r="FVV84" s="31"/>
      <c r="FVW84" s="31"/>
      <c r="FVX84" s="31"/>
      <c r="FVY84" s="31"/>
      <c r="FVZ84" s="31"/>
      <c r="FWA84" s="31"/>
      <c r="FWB84" s="31"/>
      <c r="FWC84" s="31"/>
      <c r="FWD84" s="31"/>
      <c r="FWE84" s="31"/>
      <c r="FWF84" s="31"/>
      <c r="FWG84" s="31"/>
      <c r="FWH84" s="31"/>
      <c r="FWI84" s="31"/>
      <c r="FWJ84" s="31"/>
      <c r="FWK84" s="31"/>
      <c r="FWL84" s="31"/>
      <c r="FWM84" s="31"/>
      <c r="FWN84" s="31"/>
      <c r="FWO84" s="31"/>
      <c r="FWP84" s="31"/>
      <c r="FWQ84" s="31"/>
      <c r="FWR84" s="31"/>
      <c r="FWS84" s="31"/>
      <c r="FWT84" s="31"/>
      <c r="FWU84" s="31"/>
      <c r="FWV84" s="31"/>
      <c r="FWW84" s="31"/>
      <c r="FWX84" s="31"/>
      <c r="FWY84" s="31"/>
      <c r="FWZ84" s="31"/>
      <c r="FXA84" s="31"/>
      <c r="FXB84" s="31"/>
      <c r="FXC84" s="31"/>
      <c r="FXD84" s="31"/>
      <c r="FXE84" s="31"/>
      <c r="FXF84" s="31"/>
      <c r="FXG84" s="31"/>
      <c r="FXH84" s="31"/>
      <c r="FXI84" s="31"/>
      <c r="FXJ84" s="31"/>
      <c r="FXK84" s="31"/>
      <c r="FXL84" s="31"/>
      <c r="FXM84" s="31"/>
      <c r="FXN84" s="31"/>
      <c r="FXO84" s="31"/>
      <c r="FXP84" s="31"/>
      <c r="FXQ84" s="31"/>
      <c r="FXR84" s="31"/>
      <c r="FXS84" s="31"/>
      <c r="FXT84" s="31"/>
      <c r="FXU84" s="31"/>
      <c r="FXV84" s="31"/>
      <c r="FXW84" s="31"/>
      <c r="FXX84" s="31"/>
      <c r="FXY84" s="31"/>
      <c r="FXZ84" s="31"/>
      <c r="FYA84" s="31"/>
      <c r="FYB84" s="31"/>
      <c r="FYC84" s="31"/>
      <c r="FYD84" s="31"/>
      <c r="FYE84" s="31"/>
      <c r="FYF84" s="31"/>
      <c r="FYG84" s="31"/>
      <c r="FYH84" s="31"/>
      <c r="FYI84" s="31"/>
      <c r="FYJ84" s="31"/>
      <c r="FYK84" s="31"/>
      <c r="FYL84" s="31"/>
      <c r="FYM84" s="31"/>
      <c r="FYN84" s="31"/>
      <c r="FYO84" s="31"/>
      <c r="FYP84" s="31"/>
      <c r="FYQ84" s="31"/>
      <c r="FYR84" s="31"/>
      <c r="FYS84" s="31"/>
      <c r="FYT84" s="31"/>
      <c r="FYU84" s="31"/>
      <c r="FYV84" s="31"/>
      <c r="FYW84" s="31"/>
      <c r="FYX84" s="31"/>
      <c r="FYY84" s="31"/>
      <c r="FYZ84" s="31"/>
      <c r="FZA84" s="31"/>
      <c r="FZB84" s="31"/>
      <c r="FZC84" s="31"/>
      <c r="FZD84" s="31"/>
      <c r="FZE84" s="31"/>
      <c r="FZF84" s="31"/>
      <c r="FZG84" s="31"/>
      <c r="FZH84" s="31"/>
      <c r="FZI84" s="31"/>
      <c r="FZJ84" s="31"/>
      <c r="FZK84" s="31"/>
      <c r="FZL84" s="31"/>
      <c r="FZM84" s="31"/>
      <c r="FZN84" s="31"/>
      <c r="FZO84" s="31"/>
      <c r="FZP84" s="31"/>
      <c r="FZQ84" s="31"/>
      <c r="FZR84" s="31"/>
      <c r="FZS84" s="31"/>
      <c r="FZT84" s="31"/>
      <c r="FZU84" s="31"/>
      <c r="FZV84" s="31"/>
      <c r="FZW84" s="31"/>
      <c r="FZX84" s="31"/>
      <c r="FZY84" s="31"/>
      <c r="FZZ84" s="31"/>
      <c r="GAA84" s="31"/>
      <c r="GAB84" s="31"/>
      <c r="GAC84" s="31"/>
      <c r="GAD84" s="31"/>
      <c r="GAE84" s="31"/>
      <c r="GAF84" s="31"/>
      <c r="GAG84" s="31"/>
      <c r="GAH84" s="31"/>
      <c r="GAI84" s="31"/>
      <c r="GAJ84" s="31"/>
      <c r="GAK84" s="31"/>
      <c r="GAL84" s="31"/>
      <c r="GAM84" s="31"/>
      <c r="GAN84" s="31"/>
      <c r="GAO84" s="31"/>
      <c r="GAP84" s="31"/>
      <c r="GAQ84" s="31"/>
      <c r="GAR84" s="31"/>
      <c r="GAS84" s="31"/>
      <c r="GAT84" s="31"/>
      <c r="GAU84" s="31"/>
      <c r="GAV84" s="31"/>
      <c r="GAW84" s="31"/>
      <c r="GAX84" s="31"/>
      <c r="GAY84" s="31"/>
      <c r="GAZ84" s="31"/>
      <c r="GBA84" s="31"/>
      <c r="GBB84" s="31"/>
      <c r="GBC84" s="31"/>
      <c r="GBD84" s="31"/>
      <c r="GBE84" s="31"/>
      <c r="GBF84" s="31"/>
      <c r="GBG84" s="31"/>
      <c r="GBH84" s="31"/>
      <c r="GBI84" s="31"/>
      <c r="GBJ84" s="31"/>
      <c r="GBK84" s="31"/>
      <c r="GBL84" s="31"/>
      <c r="GBM84" s="31"/>
      <c r="GBN84" s="31"/>
      <c r="GBO84" s="31"/>
      <c r="GBP84" s="31"/>
      <c r="GBQ84" s="31"/>
      <c r="GBR84" s="31"/>
      <c r="GBS84" s="31"/>
      <c r="GBT84" s="31"/>
      <c r="GBU84" s="31"/>
      <c r="GBV84" s="31"/>
      <c r="GBW84" s="31"/>
      <c r="GBX84" s="31"/>
      <c r="GBY84" s="31"/>
      <c r="GBZ84" s="31"/>
      <c r="GCA84" s="31"/>
      <c r="GCB84" s="31"/>
      <c r="GCC84" s="31"/>
      <c r="GCD84" s="31"/>
      <c r="GCE84" s="31"/>
      <c r="GCF84" s="31"/>
      <c r="GCG84" s="31"/>
      <c r="GCH84" s="31"/>
      <c r="GCI84" s="31"/>
      <c r="GCJ84" s="31"/>
      <c r="GCK84" s="31"/>
      <c r="GCL84" s="31"/>
      <c r="GCM84" s="31"/>
      <c r="GCN84" s="31"/>
      <c r="GCO84" s="31"/>
      <c r="GCP84" s="31"/>
      <c r="GCQ84" s="31"/>
      <c r="GCR84" s="31"/>
      <c r="GCS84" s="31"/>
      <c r="GCT84" s="31"/>
      <c r="GCU84" s="31"/>
      <c r="GCV84" s="31"/>
      <c r="GCW84" s="31"/>
      <c r="GCX84" s="31"/>
      <c r="GCY84" s="31"/>
      <c r="GCZ84" s="31"/>
      <c r="GDA84" s="31"/>
      <c r="GDB84" s="31"/>
      <c r="GDC84" s="31"/>
      <c r="GDD84" s="31"/>
      <c r="GDE84" s="31"/>
      <c r="GDF84" s="31"/>
      <c r="GDG84" s="31"/>
      <c r="GDH84" s="31"/>
      <c r="GDI84" s="31"/>
      <c r="GDJ84" s="31"/>
      <c r="GDK84" s="31"/>
      <c r="GDL84" s="31"/>
      <c r="GDM84" s="31"/>
      <c r="GDN84" s="31"/>
      <c r="GDO84" s="31"/>
      <c r="GDP84" s="31"/>
      <c r="GDQ84" s="31"/>
      <c r="GDR84" s="31"/>
      <c r="GDS84" s="31"/>
      <c r="GDT84" s="31"/>
      <c r="GDU84" s="31"/>
      <c r="GDV84" s="31"/>
      <c r="GDW84" s="31"/>
      <c r="GDX84" s="31"/>
      <c r="GDY84" s="31"/>
      <c r="GDZ84" s="31"/>
      <c r="GEA84" s="31"/>
      <c r="GEB84" s="31"/>
      <c r="GEC84" s="31"/>
      <c r="GED84" s="31"/>
      <c r="GEE84" s="31"/>
      <c r="GEF84" s="31"/>
      <c r="GEG84" s="31"/>
      <c r="GEH84" s="31"/>
      <c r="GEI84" s="31"/>
      <c r="GEJ84" s="31"/>
      <c r="GEK84" s="31"/>
      <c r="GEL84" s="31"/>
      <c r="GEM84" s="31"/>
      <c r="GEN84" s="31"/>
      <c r="GEO84" s="31"/>
      <c r="GEP84" s="31"/>
      <c r="GEQ84" s="31"/>
      <c r="GER84" s="31"/>
      <c r="GES84" s="31"/>
      <c r="GET84" s="31"/>
      <c r="GEU84" s="31"/>
      <c r="GEV84" s="31"/>
      <c r="GEW84" s="31"/>
      <c r="GEX84" s="31"/>
      <c r="GEY84" s="31"/>
      <c r="GEZ84" s="31"/>
      <c r="GFA84" s="31"/>
      <c r="GFB84" s="31"/>
      <c r="GFC84" s="31"/>
      <c r="GFD84" s="31"/>
      <c r="GFE84" s="31"/>
      <c r="GFF84" s="31"/>
      <c r="GFG84" s="31"/>
      <c r="GFH84" s="31"/>
      <c r="GFI84" s="31"/>
      <c r="GFJ84" s="31"/>
      <c r="GFK84" s="31"/>
      <c r="GFL84" s="31"/>
      <c r="GFM84" s="31"/>
      <c r="GFN84" s="31"/>
      <c r="GFO84" s="31"/>
      <c r="GFP84" s="31"/>
      <c r="GFQ84" s="31"/>
      <c r="GFR84" s="31"/>
      <c r="GFS84" s="31"/>
      <c r="GFT84" s="31"/>
      <c r="GFU84" s="31"/>
      <c r="GFV84" s="31"/>
      <c r="GFW84" s="31"/>
      <c r="GFX84" s="31"/>
      <c r="GFY84" s="31"/>
      <c r="GFZ84" s="31"/>
      <c r="GGA84" s="31"/>
      <c r="GGB84" s="31"/>
      <c r="GGC84" s="31"/>
      <c r="GGD84" s="31"/>
      <c r="GGE84" s="31"/>
      <c r="GGF84" s="31"/>
      <c r="GGG84" s="31"/>
      <c r="GGH84" s="31"/>
      <c r="GGI84" s="31"/>
      <c r="GGJ84" s="31"/>
      <c r="GGK84" s="31"/>
      <c r="GGL84" s="31"/>
      <c r="GGM84" s="31"/>
      <c r="GGN84" s="31"/>
      <c r="GGO84" s="31"/>
      <c r="GGP84" s="31"/>
      <c r="GGQ84" s="31"/>
      <c r="GGR84" s="31"/>
      <c r="GGS84" s="31"/>
      <c r="GGT84" s="31"/>
      <c r="GGU84" s="31"/>
      <c r="GGV84" s="31"/>
      <c r="GGW84" s="31"/>
      <c r="GGX84" s="31"/>
      <c r="GGY84" s="31"/>
      <c r="GGZ84" s="31"/>
      <c r="GHA84" s="31"/>
      <c r="GHB84" s="31"/>
      <c r="GHC84" s="31"/>
      <c r="GHD84" s="31"/>
      <c r="GHE84" s="31"/>
      <c r="GHF84" s="31"/>
      <c r="GHG84" s="31"/>
      <c r="GHH84" s="31"/>
      <c r="GHI84" s="31"/>
      <c r="GHJ84" s="31"/>
      <c r="GHK84" s="31"/>
      <c r="GHL84" s="31"/>
      <c r="GHM84" s="31"/>
      <c r="GHN84" s="31"/>
      <c r="GHO84" s="31"/>
      <c r="GHP84" s="31"/>
      <c r="GHQ84" s="31"/>
      <c r="GHR84" s="31"/>
      <c r="GHS84" s="31"/>
      <c r="GHT84" s="31"/>
      <c r="GHU84" s="31"/>
      <c r="GHV84" s="31"/>
      <c r="GHW84" s="31"/>
      <c r="GHX84" s="31"/>
      <c r="GHY84" s="31"/>
      <c r="GHZ84" s="31"/>
      <c r="GIA84" s="31"/>
      <c r="GIB84" s="31"/>
      <c r="GIC84" s="31"/>
      <c r="GID84" s="31"/>
      <c r="GIE84" s="31"/>
      <c r="GIF84" s="31"/>
      <c r="GIG84" s="31"/>
      <c r="GIH84" s="31"/>
      <c r="GII84" s="31"/>
      <c r="GIJ84" s="31"/>
      <c r="GIK84" s="31"/>
      <c r="GIL84" s="31"/>
      <c r="GIM84" s="31"/>
      <c r="GIN84" s="31"/>
      <c r="GIO84" s="31"/>
      <c r="GIP84" s="31"/>
      <c r="GIQ84" s="31"/>
      <c r="GIR84" s="31"/>
      <c r="GIS84" s="31"/>
      <c r="GIT84" s="31"/>
      <c r="GIU84" s="31"/>
      <c r="GIV84" s="31"/>
      <c r="GIW84" s="31"/>
      <c r="GIX84" s="31"/>
      <c r="GIY84" s="31"/>
      <c r="GIZ84" s="31"/>
      <c r="GJA84" s="31"/>
      <c r="GJB84" s="31"/>
      <c r="GJC84" s="31"/>
      <c r="GJD84" s="31"/>
      <c r="GJE84" s="31"/>
      <c r="GJF84" s="31"/>
      <c r="GJG84" s="31"/>
      <c r="GJH84" s="31"/>
      <c r="GJI84" s="31"/>
      <c r="GJJ84" s="31"/>
      <c r="GJK84" s="31"/>
      <c r="GJL84" s="31"/>
      <c r="GJM84" s="31"/>
      <c r="GJN84" s="31"/>
      <c r="GJO84" s="31"/>
      <c r="GJP84" s="31"/>
      <c r="GJQ84" s="31"/>
      <c r="GJR84" s="31"/>
      <c r="GJS84" s="31"/>
      <c r="GJT84" s="31"/>
      <c r="GJU84" s="31"/>
      <c r="GJV84" s="31"/>
      <c r="GJW84" s="31"/>
      <c r="GJX84" s="31"/>
      <c r="GJY84" s="31"/>
      <c r="GJZ84" s="31"/>
      <c r="GKA84" s="31"/>
      <c r="GKB84" s="31"/>
      <c r="GKC84" s="31"/>
      <c r="GKD84" s="31"/>
      <c r="GKE84" s="31"/>
      <c r="GKF84" s="31"/>
      <c r="GKG84" s="31"/>
      <c r="GKH84" s="31"/>
      <c r="GKI84" s="31"/>
      <c r="GKJ84" s="31"/>
      <c r="GKK84" s="31"/>
      <c r="GKL84" s="31"/>
      <c r="GKM84" s="31"/>
      <c r="GKN84" s="31"/>
      <c r="GKO84" s="31"/>
      <c r="GKP84" s="31"/>
      <c r="GKQ84" s="31"/>
      <c r="GKR84" s="31"/>
      <c r="GKS84" s="31"/>
      <c r="GKT84" s="31"/>
      <c r="GKU84" s="31"/>
      <c r="GKV84" s="31"/>
      <c r="GKW84" s="31"/>
      <c r="GKX84" s="31"/>
      <c r="GKY84" s="31"/>
      <c r="GKZ84" s="31"/>
      <c r="GLA84" s="31"/>
      <c r="GLB84" s="31"/>
      <c r="GLC84" s="31"/>
      <c r="GLD84" s="31"/>
      <c r="GLE84" s="31"/>
      <c r="GLF84" s="31"/>
      <c r="GLG84" s="31"/>
      <c r="GLH84" s="31"/>
      <c r="GLI84" s="31"/>
      <c r="GLJ84" s="31"/>
      <c r="GLK84" s="31"/>
      <c r="GLL84" s="31"/>
      <c r="GLM84" s="31"/>
      <c r="GLN84" s="31"/>
      <c r="GLO84" s="31"/>
      <c r="GLP84" s="31"/>
      <c r="GLQ84" s="31"/>
      <c r="GLR84" s="31"/>
      <c r="GLS84" s="31"/>
      <c r="GLT84" s="31"/>
      <c r="GLU84" s="31"/>
      <c r="GLV84" s="31"/>
      <c r="GLW84" s="31"/>
      <c r="GLX84" s="31"/>
      <c r="GLY84" s="31"/>
      <c r="GLZ84" s="31"/>
      <c r="GMA84" s="31"/>
      <c r="GMB84" s="31"/>
      <c r="GMC84" s="31"/>
      <c r="GMD84" s="31"/>
      <c r="GME84" s="31"/>
      <c r="GMF84" s="31"/>
      <c r="GMG84" s="31"/>
      <c r="GMH84" s="31"/>
      <c r="GMI84" s="31"/>
      <c r="GMJ84" s="31"/>
      <c r="GMK84" s="31"/>
      <c r="GML84" s="31"/>
      <c r="GMM84" s="31"/>
      <c r="GMN84" s="31"/>
      <c r="GMO84" s="31"/>
      <c r="GMP84" s="31"/>
      <c r="GMQ84" s="31"/>
      <c r="GMR84" s="31"/>
      <c r="GMS84" s="31"/>
      <c r="GMT84" s="31"/>
      <c r="GMU84" s="31"/>
      <c r="GMV84" s="31"/>
      <c r="GMW84" s="31"/>
      <c r="GMX84" s="31"/>
      <c r="GMY84" s="31"/>
      <c r="GMZ84" s="31"/>
      <c r="GNA84" s="31"/>
      <c r="GNB84" s="31"/>
      <c r="GNC84" s="31"/>
      <c r="GND84" s="31"/>
      <c r="GNE84" s="31"/>
      <c r="GNF84" s="31"/>
      <c r="GNG84" s="31"/>
      <c r="GNH84" s="31"/>
      <c r="GNI84" s="31"/>
      <c r="GNJ84" s="31"/>
      <c r="GNK84" s="31"/>
      <c r="GNL84" s="31"/>
      <c r="GNM84" s="31"/>
      <c r="GNN84" s="31"/>
      <c r="GNO84" s="31"/>
      <c r="GNP84" s="31"/>
      <c r="GNQ84" s="31"/>
      <c r="GNR84" s="31"/>
      <c r="GNS84" s="31"/>
      <c r="GNT84" s="31"/>
      <c r="GNU84" s="31"/>
      <c r="GNV84" s="31"/>
      <c r="GNW84" s="31"/>
      <c r="GNX84" s="31"/>
      <c r="GNY84" s="31"/>
      <c r="GNZ84" s="31"/>
      <c r="GOA84" s="31"/>
      <c r="GOB84" s="31"/>
      <c r="GOC84" s="31"/>
      <c r="GOD84" s="31"/>
      <c r="GOE84" s="31"/>
      <c r="GOF84" s="31"/>
      <c r="GOG84" s="31"/>
      <c r="GOH84" s="31"/>
      <c r="GOI84" s="31"/>
      <c r="GOJ84" s="31"/>
      <c r="GOK84" s="31"/>
      <c r="GOL84" s="31"/>
      <c r="GOM84" s="31"/>
      <c r="GON84" s="31"/>
      <c r="GOO84" s="31"/>
      <c r="GOP84" s="31"/>
      <c r="GOQ84" s="31"/>
      <c r="GOR84" s="31"/>
      <c r="GOS84" s="31"/>
      <c r="GOT84" s="31"/>
      <c r="GOU84" s="31"/>
      <c r="GOV84" s="31"/>
      <c r="GOW84" s="31"/>
      <c r="GOX84" s="31"/>
      <c r="GOY84" s="31"/>
      <c r="GOZ84" s="31"/>
      <c r="GPA84" s="31"/>
      <c r="GPB84" s="31"/>
      <c r="GPC84" s="31"/>
      <c r="GPD84" s="31"/>
      <c r="GPE84" s="31"/>
      <c r="GPF84" s="31"/>
      <c r="GPG84" s="31"/>
      <c r="GPH84" s="31"/>
      <c r="GPI84" s="31"/>
      <c r="GPJ84" s="31"/>
      <c r="GPK84" s="31"/>
      <c r="GPL84" s="31"/>
      <c r="GPM84" s="31"/>
      <c r="GPN84" s="31"/>
      <c r="GPO84" s="31"/>
      <c r="GPP84" s="31"/>
      <c r="GPQ84" s="31"/>
      <c r="GPR84" s="31"/>
      <c r="GPS84" s="31"/>
      <c r="GPT84" s="31"/>
      <c r="GPU84" s="31"/>
      <c r="GPV84" s="31"/>
      <c r="GPW84" s="31"/>
      <c r="GPX84" s="31"/>
      <c r="GPY84" s="31"/>
      <c r="GPZ84" s="31"/>
      <c r="GQA84" s="31"/>
      <c r="GQB84" s="31"/>
      <c r="GQC84" s="31"/>
      <c r="GQD84" s="31"/>
      <c r="GQE84" s="31"/>
      <c r="GQF84" s="31"/>
      <c r="GQG84" s="31"/>
      <c r="GQH84" s="31"/>
      <c r="GQI84" s="31"/>
      <c r="GQJ84" s="31"/>
      <c r="GQK84" s="31"/>
      <c r="GQL84" s="31"/>
      <c r="GQM84" s="31"/>
      <c r="GQN84" s="31"/>
      <c r="GQO84" s="31"/>
      <c r="GQP84" s="31"/>
      <c r="GQQ84" s="31"/>
      <c r="GQR84" s="31"/>
      <c r="GQS84" s="31"/>
      <c r="GQT84" s="31"/>
      <c r="GQU84" s="31"/>
      <c r="GQV84" s="31"/>
      <c r="GQW84" s="31"/>
      <c r="GQX84" s="31"/>
      <c r="GQY84" s="31"/>
      <c r="GQZ84" s="31"/>
      <c r="GRA84" s="31"/>
      <c r="GRB84" s="31"/>
      <c r="GRC84" s="31"/>
      <c r="GRD84" s="31"/>
      <c r="GRE84" s="31"/>
      <c r="GRF84" s="31"/>
      <c r="GRG84" s="31"/>
      <c r="GRH84" s="31"/>
      <c r="GRI84" s="31"/>
      <c r="GRJ84" s="31"/>
      <c r="GRK84" s="31"/>
      <c r="GRL84" s="31"/>
      <c r="GRM84" s="31"/>
      <c r="GRN84" s="31"/>
      <c r="GRO84" s="31"/>
      <c r="GRP84" s="31"/>
      <c r="GRQ84" s="31"/>
      <c r="GRR84" s="31"/>
      <c r="GRS84" s="31"/>
      <c r="GRT84" s="31"/>
      <c r="GRU84" s="31"/>
      <c r="GRV84" s="31"/>
      <c r="GRW84" s="31"/>
      <c r="GRX84" s="31"/>
      <c r="GRY84" s="31"/>
      <c r="GRZ84" s="31"/>
      <c r="GSA84" s="31"/>
      <c r="GSB84" s="31"/>
      <c r="GSC84" s="31"/>
      <c r="GSD84" s="31"/>
      <c r="GSE84" s="31"/>
      <c r="GSF84" s="31"/>
      <c r="GSG84" s="31"/>
      <c r="GSH84" s="31"/>
      <c r="GSI84" s="31"/>
      <c r="GSJ84" s="31"/>
      <c r="GSK84" s="31"/>
      <c r="GSL84" s="31"/>
      <c r="GSM84" s="31"/>
      <c r="GSN84" s="31"/>
      <c r="GSO84" s="31"/>
      <c r="GSP84" s="31"/>
      <c r="GSQ84" s="31"/>
      <c r="GSR84" s="31"/>
      <c r="GSS84" s="31"/>
      <c r="GST84" s="31"/>
      <c r="GSU84" s="31"/>
      <c r="GSV84" s="31"/>
      <c r="GSW84" s="31"/>
      <c r="GSX84" s="31"/>
      <c r="GSY84" s="31"/>
      <c r="GSZ84" s="31"/>
      <c r="GTA84" s="31"/>
      <c r="GTB84" s="31"/>
      <c r="GTC84" s="31"/>
      <c r="GTD84" s="31"/>
      <c r="GTE84" s="31"/>
      <c r="GTF84" s="31"/>
      <c r="GTG84" s="31"/>
      <c r="GTH84" s="31"/>
      <c r="GTI84" s="31"/>
      <c r="GTJ84" s="31"/>
      <c r="GTK84" s="31"/>
      <c r="GTL84" s="31"/>
      <c r="GTM84" s="31"/>
      <c r="GTN84" s="31"/>
      <c r="GTO84" s="31"/>
      <c r="GTP84" s="31"/>
      <c r="GTQ84" s="31"/>
      <c r="GTR84" s="31"/>
      <c r="GTS84" s="31"/>
      <c r="GTT84" s="31"/>
      <c r="GTU84" s="31"/>
      <c r="GTV84" s="31"/>
      <c r="GTW84" s="31"/>
      <c r="GTX84" s="31"/>
      <c r="GTY84" s="31"/>
      <c r="GTZ84" s="31"/>
      <c r="GUA84" s="31"/>
      <c r="GUB84" s="31"/>
      <c r="GUC84" s="31"/>
      <c r="GUD84" s="31"/>
      <c r="GUE84" s="31"/>
      <c r="GUF84" s="31"/>
      <c r="GUG84" s="31"/>
      <c r="GUH84" s="31"/>
      <c r="GUI84" s="31"/>
      <c r="GUJ84" s="31"/>
      <c r="GUK84" s="31"/>
      <c r="GUL84" s="31"/>
      <c r="GUM84" s="31"/>
      <c r="GUN84" s="31"/>
      <c r="GUO84" s="31"/>
      <c r="GUP84" s="31"/>
      <c r="GUQ84" s="31"/>
      <c r="GUR84" s="31"/>
      <c r="GUS84" s="31"/>
      <c r="GUT84" s="31"/>
      <c r="GUU84" s="31"/>
      <c r="GUV84" s="31"/>
      <c r="GUW84" s="31"/>
      <c r="GUX84" s="31"/>
      <c r="GUY84" s="31"/>
      <c r="GUZ84" s="31"/>
      <c r="GVA84" s="31"/>
      <c r="GVB84" s="31"/>
      <c r="GVC84" s="31"/>
      <c r="GVD84" s="31"/>
      <c r="GVE84" s="31"/>
      <c r="GVF84" s="31"/>
      <c r="GVG84" s="31"/>
      <c r="GVH84" s="31"/>
      <c r="GVI84" s="31"/>
      <c r="GVJ84" s="31"/>
      <c r="GVK84" s="31"/>
      <c r="GVL84" s="31"/>
      <c r="GVM84" s="31"/>
      <c r="GVN84" s="31"/>
      <c r="GVO84" s="31"/>
      <c r="GVP84" s="31"/>
      <c r="GVQ84" s="31"/>
      <c r="GVR84" s="31"/>
      <c r="GVS84" s="31"/>
      <c r="GVT84" s="31"/>
      <c r="GVU84" s="31"/>
      <c r="GVV84" s="31"/>
      <c r="GVW84" s="31"/>
      <c r="GVX84" s="31"/>
      <c r="GVY84" s="31"/>
      <c r="GVZ84" s="31"/>
      <c r="GWA84" s="31"/>
      <c r="GWB84" s="31"/>
      <c r="GWC84" s="31"/>
      <c r="GWD84" s="31"/>
      <c r="GWE84" s="31"/>
      <c r="GWF84" s="31"/>
      <c r="GWG84" s="31"/>
      <c r="GWH84" s="31"/>
      <c r="GWI84" s="31"/>
      <c r="GWJ84" s="31"/>
      <c r="GWK84" s="31"/>
      <c r="GWL84" s="31"/>
      <c r="GWM84" s="31"/>
      <c r="GWN84" s="31"/>
      <c r="GWO84" s="31"/>
      <c r="GWP84" s="31"/>
      <c r="GWQ84" s="31"/>
      <c r="GWR84" s="31"/>
      <c r="GWS84" s="31"/>
      <c r="GWT84" s="31"/>
      <c r="GWU84" s="31"/>
      <c r="GWV84" s="31"/>
      <c r="GWW84" s="31"/>
      <c r="GWX84" s="31"/>
      <c r="GWY84" s="31"/>
      <c r="GWZ84" s="31"/>
      <c r="GXA84" s="31"/>
      <c r="GXB84" s="31"/>
      <c r="GXC84" s="31"/>
      <c r="GXD84" s="31"/>
      <c r="GXE84" s="31"/>
      <c r="GXF84" s="31"/>
      <c r="GXG84" s="31"/>
      <c r="GXH84" s="31"/>
      <c r="GXI84" s="31"/>
      <c r="GXJ84" s="31"/>
      <c r="GXK84" s="31"/>
      <c r="GXL84" s="31"/>
      <c r="GXM84" s="31"/>
      <c r="GXN84" s="31"/>
      <c r="GXO84" s="31"/>
      <c r="GXP84" s="31"/>
      <c r="GXQ84" s="31"/>
      <c r="GXR84" s="31"/>
      <c r="GXS84" s="31"/>
      <c r="GXT84" s="31"/>
      <c r="GXU84" s="31"/>
      <c r="GXV84" s="31"/>
      <c r="GXW84" s="31"/>
      <c r="GXX84" s="31"/>
      <c r="GXY84" s="31"/>
      <c r="GXZ84" s="31"/>
      <c r="GYA84" s="31"/>
      <c r="GYB84" s="31"/>
      <c r="GYC84" s="31"/>
      <c r="GYD84" s="31"/>
      <c r="GYE84" s="31"/>
      <c r="GYF84" s="31"/>
      <c r="GYG84" s="31"/>
      <c r="GYH84" s="31"/>
      <c r="GYI84" s="31"/>
      <c r="GYJ84" s="31"/>
      <c r="GYK84" s="31"/>
      <c r="GYL84" s="31"/>
      <c r="GYM84" s="31"/>
      <c r="GYN84" s="31"/>
      <c r="GYO84" s="31"/>
      <c r="GYP84" s="31"/>
      <c r="GYQ84" s="31"/>
      <c r="GYR84" s="31"/>
      <c r="GYS84" s="31"/>
      <c r="GYT84" s="31"/>
      <c r="GYU84" s="31"/>
      <c r="GYV84" s="31"/>
      <c r="GYW84" s="31"/>
      <c r="GYX84" s="31"/>
      <c r="GYY84" s="31"/>
      <c r="GYZ84" s="31"/>
      <c r="GZA84" s="31"/>
      <c r="GZB84" s="31"/>
      <c r="GZC84" s="31"/>
      <c r="GZD84" s="31"/>
      <c r="GZE84" s="31"/>
      <c r="GZF84" s="31"/>
      <c r="GZG84" s="31"/>
      <c r="GZH84" s="31"/>
      <c r="GZI84" s="31"/>
      <c r="GZJ84" s="31"/>
      <c r="GZK84" s="31"/>
      <c r="GZL84" s="31"/>
      <c r="GZM84" s="31"/>
      <c r="GZN84" s="31"/>
      <c r="GZO84" s="31"/>
      <c r="GZP84" s="31"/>
      <c r="GZQ84" s="31"/>
      <c r="GZR84" s="31"/>
      <c r="GZS84" s="31"/>
      <c r="GZT84" s="31"/>
      <c r="GZU84" s="31"/>
      <c r="GZV84" s="31"/>
      <c r="GZW84" s="31"/>
      <c r="GZX84" s="31"/>
      <c r="GZY84" s="31"/>
      <c r="GZZ84" s="31"/>
      <c r="HAA84" s="31"/>
      <c r="HAB84" s="31"/>
      <c r="HAC84" s="31"/>
      <c r="HAD84" s="31"/>
      <c r="HAE84" s="31"/>
      <c r="HAF84" s="31"/>
      <c r="HAG84" s="31"/>
      <c r="HAH84" s="31"/>
      <c r="HAI84" s="31"/>
      <c r="HAJ84" s="31"/>
      <c r="HAK84" s="31"/>
      <c r="HAL84" s="31"/>
      <c r="HAM84" s="31"/>
      <c r="HAN84" s="31"/>
      <c r="HAO84" s="31"/>
      <c r="HAP84" s="31"/>
      <c r="HAQ84" s="31"/>
      <c r="HAR84" s="31"/>
      <c r="HAS84" s="31"/>
      <c r="HAT84" s="31"/>
      <c r="HAU84" s="31"/>
      <c r="HAV84" s="31"/>
      <c r="HAW84" s="31"/>
      <c r="HAX84" s="31"/>
      <c r="HAY84" s="31"/>
      <c r="HAZ84" s="31"/>
      <c r="HBA84" s="31"/>
      <c r="HBB84" s="31"/>
      <c r="HBC84" s="31"/>
      <c r="HBD84" s="31"/>
      <c r="HBE84" s="31"/>
      <c r="HBF84" s="31"/>
      <c r="HBG84" s="31"/>
      <c r="HBH84" s="31"/>
      <c r="HBI84" s="31"/>
      <c r="HBJ84" s="31"/>
      <c r="HBK84" s="31"/>
      <c r="HBL84" s="31"/>
      <c r="HBM84" s="31"/>
      <c r="HBN84" s="31"/>
      <c r="HBO84" s="31"/>
      <c r="HBP84" s="31"/>
      <c r="HBQ84" s="31"/>
      <c r="HBR84" s="31"/>
      <c r="HBS84" s="31"/>
      <c r="HBT84" s="31"/>
      <c r="HBU84" s="31"/>
      <c r="HBV84" s="31"/>
      <c r="HBW84" s="31"/>
      <c r="HBX84" s="31"/>
      <c r="HBY84" s="31"/>
      <c r="HBZ84" s="31"/>
      <c r="HCA84" s="31"/>
      <c r="HCB84" s="31"/>
      <c r="HCC84" s="31"/>
      <c r="HCD84" s="31"/>
      <c r="HCE84" s="31"/>
      <c r="HCF84" s="31"/>
      <c r="HCG84" s="31"/>
      <c r="HCH84" s="31"/>
      <c r="HCI84" s="31"/>
      <c r="HCJ84" s="31"/>
      <c r="HCK84" s="31"/>
      <c r="HCL84" s="31"/>
      <c r="HCM84" s="31"/>
      <c r="HCN84" s="31"/>
      <c r="HCO84" s="31"/>
      <c r="HCP84" s="31"/>
      <c r="HCQ84" s="31"/>
      <c r="HCR84" s="31"/>
      <c r="HCS84" s="31"/>
      <c r="HCT84" s="31"/>
      <c r="HCU84" s="31"/>
      <c r="HCV84" s="31"/>
      <c r="HCW84" s="31"/>
      <c r="HCX84" s="31"/>
      <c r="HCY84" s="31"/>
      <c r="HCZ84" s="31"/>
      <c r="HDA84" s="31"/>
      <c r="HDB84" s="31"/>
      <c r="HDC84" s="31"/>
      <c r="HDD84" s="31"/>
      <c r="HDE84" s="31"/>
      <c r="HDF84" s="31"/>
      <c r="HDG84" s="31"/>
      <c r="HDH84" s="31"/>
      <c r="HDI84" s="31"/>
      <c r="HDJ84" s="31"/>
      <c r="HDK84" s="31"/>
      <c r="HDL84" s="31"/>
      <c r="HDM84" s="31"/>
      <c r="HDN84" s="31"/>
      <c r="HDO84" s="31"/>
      <c r="HDP84" s="31"/>
      <c r="HDQ84" s="31"/>
      <c r="HDR84" s="31"/>
      <c r="HDS84" s="31"/>
      <c r="HDT84" s="31"/>
      <c r="HDU84" s="31"/>
      <c r="HDV84" s="31"/>
      <c r="HDW84" s="31"/>
      <c r="HDX84" s="31"/>
      <c r="HDY84" s="31"/>
      <c r="HDZ84" s="31"/>
      <c r="HEA84" s="31"/>
      <c r="HEB84" s="31"/>
      <c r="HEC84" s="31"/>
      <c r="HED84" s="31"/>
      <c r="HEE84" s="31"/>
      <c r="HEF84" s="31"/>
      <c r="HEG84" s="31"/>
      <c r="HEH84" s="31"/>
      <c r="HEI84" s="31"/>
      <c r="HEJ84" s="31"/>
      <c r="HEK84" s="31"/>
      <c r="HEL84" s="31"/>
      <c r="HEM84" s="31"/>
      <c r="HEN84" s="31"/>
      <c r="HEO84" s="31"/>
      <c r="HEP84" s="31"/>
      <c r="HEQ84" s="31"/>
      <c r="HER84" s="31"/>
      <c r="HES84" s="31"/>
      <c r="HET84" s="31"/>
      <c r="HEU84" s="31"/>
      <c r="HEV84" s="31"/>
      <c r="HEW84" s="31"/>
      <c r="HEX84" s="31"/>
      <c r="HEY84" s="31"/>
      <c r="HEZ84" s="31"/>
      <c r="HFA84" s="31"/>
      <c r="HFB84" s="31"/>
      <c r="HFC84" s="31"/>
      <c r="HFD84" s="31"/>
      <c r="HFE84" s="31"/>
      <c r="HFF84" s="31"/>
      <c r="HFG84" s="31"/>
      <c r="HFH84" s="31"/>
      <c r="HFI84" s="31"/>
      <c r="HFJ84" s="31"/>
      <c r="HFK84" s="31"/>
      <c r="HFL84" s="31"/>
      <c r="HFM84" s="31"/>
      <c r="HFN84" s="31"/>
      <c r="HFO84" s="31"/>
      <c r="HFP84" s="31"/>
      <c r="HFQ84" s="31"/>
      <c r="HFR84" s="31"/>
      <c r="HFS84" s="31"/>
      <c r="HFT84" s="31"/>
      <c r="HFU84" s="31"/>
      <c r="HFV84" s="31"/>
      <c r="HFW84" s="31"/>
      <c r="HFX84" s="31"/>
      <c r="HFY84" s="31"/>
      <c r="HFZ84" s="31"/>
      <c r="HGA84" s="31"/>
      <c r="HGB84" s="31"/>
      <c r="HGC84" s="31"/>
      <c r="HGD84" s="31"/>
      <c r="HGE84" s="31"/>
      <c r="HGF84" s="31"/>
      <c r="HGG84" s="31"/>
      <c r="HGH84" s="31"/>
      <c r="HGI84" s="31"/>
      <c r="HGJ84" s="31"/>
      <c r="HGK84" s="31"/>
      <c r="HGL84" s="31"/>
      <c r="HGM84" s="31"/>
      <c r="HGN84" s="31"/>
      <c r="HGO84" s="31"/>
      <c r="HGP84" s="31"/>
      <c r="HGQ84" s="31"/>
      <c r="HGR84" s="31"/>
      <c r="HGS84" s="31"/>
      <c r="HGT84" s="31"/>
      <c r="HGU84" s="31"/>
      <c r="HGV84" s="31"/>
      <c r="HGW84" s="31"/>
      <c r="HGX84" s="31"/>
      <c r="HGY84" s="31"/>
      <c r="HGZ84" s="31"/>
      <c r="HHA84" s="31"/>
      <c r="HHB84" s="31"/>
      <c r="HHC84" s="31"/>
      <c r="HHD84" s="31"/>
      <c r="HHE84" s="31"/>
      <c r="HHF84" s="31"/>
      <c r="HHG84" s="31"/>
      <c r="HHH84" s="31"/>
      <c r="HHI84" s="31"/>
      <c r="HHJ84" s="31"/>
      <c r="HHK84" s="31"/>
      <c r="HHL84" s="31"/>
      <c r="HHM84" s="31"/>
      <c r="HHN84" s="31"/>
      <c r="HHO84" s="31"/>
      <c r="HHP84" s="31"/>
      <c r="HHQ84" s="31"/>
      <c r="HHR84" s="31"/>
      <c r="HHS84" s="31"/>
      <c r="HHT84" s="31"/>
      <c r="HHU84" s="31"/>
      <c r="HHV84" s="31"/>
      <c r="HHW84" s="31"/>
      <c r="HHX84" s="31"/>
      <c r="HHY84" s="31"/>
      <c r="HHZ84" s="31"/>
      <c r="HIA84" s="31"/>
      <c r="HIB84" s="31"/>
      <c r="HIC84" s="31"/>
      <c r="HID84" s="31"/>
      <c r="HIE84" s="31"/>
      <c r="HIF84" s="31"/>
      <c r="HIG84" s="31"/>
      <c r="HIH84" s="31"/>
      <c r="HII84" s="31"/>
      <c r="HIJ84" s="31"/>
      <c r="HIK84" s="31"/>
      <c r="HIL84" s="31"/>
      <c r="HIM84" s="31"/>
      <c r="HIN84" s="31"/>
      <c r="HIO84" s="31"/>
      <c r="HIP84" s="31"/>
      <c r="HIQ84" s="31"/>
      <c r="HIR84" s="31"/>
      <c r="HIS84" s="31"/>
      <c r="HIT84" s="31"/>
      <c r="HIU84" s="31"/>
      <c r="HIV84" s="31"/>
      <c r="HIW84" s="31"/>
      <c r="HIX84" s="31"/>
      <c r="HIY84" s="31"/>
      <c r="HIZ84" s="31"/>
      <c r="HJA84" s="31"/>
      <c r="HJB84" s="31"/>
      <c r="HJC84" s="31"/>
      <c r="HJD84" s="31"/>
      <c r="HJE84" s="31"/>
      <c r="HJF84" s="31"/>
      <c r="HJG84" s="31"/>
      <c r="HJH84" s="31"/>
      <c r="HJI84" s="31"/>
      <c r="HJJ84" s="31"/>
      <c r="HJK84" s="31"/>
      <c r="HJL84" s="31"/>
      <c r="HJM84" s="31"/>
      <c r="HJN84" s="31"/>
      <c r="HJO84" s="31"/>
      <c r="HJP84" s="31"/>
      <c r="HJQ84" s="31"/>
      <c r="HJR84" s="31"/>
      <c r="HJS84" s="31"/>
      <c r="HJT84" s="31"/>
      <c r="HJU84" s="31"/>
      <c r="HJV84" s="31"/>
      <c r="HJW84" s="31"/>
      <c r="HJX84" s="31"/>
      <c r="HJY84" s="31"/>
      <c r="HJZ84" s="31"/>
      <c r="HKA84" s="31"/>
      <c r="HKB84" s="31"/>
      <c r="HKC84" s="31"/>
      <c r="HKD84" s="31"/>
      <c r="HKE84" s="31"/>
      <c r="HKF84" s="31"/>
      <c r="HKG84" s="31"/>
      <c r="HKH84" s="31"/>
      <c r="HKI84" s="31"/>
      <c r="HKJ84" s="31"/>
      <c r="HKK84" s="31"/>
      <c r="HKL84" s="31"/>
      <c r="HKM84" s="31"/>
      <c r="HKN84" s="31"/>
      <c r="HKO84" s="31"/>
      <c r="HKP84" s="31"/>
      <c r="HKQ84" s="31"/>
      <c r="HKR84" s="31"/>
      <c r="HKS84" s="31"/>
      <c r="HKT84" s="31"/>
      <c r="HKU84" s="31"/>
      <c r="HKV84" s="31"/>
      <c r="HKW84" s="31"/>
      <c r="HKX84" s="31"/>
      <c r="HKY84" s="31"/>
      <c r="HKZ84" s="31"/>
      <c r="HLA84" s="31"/>
      <c r="HLB84" s="31"/>
      <c r="HLC84" s="31"/>
      <c r="HLD84" s="31"/>
      <c r="HLE84" s="31"/>
      <c r="HLF84" s="31"/>
      <c r="HLG84" s="31"/>
      <c r="HLH84" s="31"/>
      <c r="HLI84" s="31"/>
      <c r="HLJ84" s="31"/>
      <c r="HLK84" s="31"/>
      <c r="HLL84" s="31"/>
      <c r="HLM84" s="31"/>
      <c r="HLN84" s="31"/>
      <c r="HLO84" s="31"/>
      <c r="HLP84" s="31"/>
      <c r="HLQ84" s="31"/>
      <c r="HLR84" s="31"/>
      <c r="HLS84" s="31"/>
      <c r="HLT84" s="31"/>
      <c r="HLU84" s="31"/>
      <c r="HLV84" s="31"/>
      <c r="HLW84" s="31"/>
      <c r="HLX84" s="31"/>
      <c r="HLY84" s="31"/>
      <c r="HLZ84" s="31"/>
      <c r="HMA84" s="31"/>
      <c r="HMB84" s="31"/>
      <c r="HMC84" s="31"/>
      <c r="HMD84" s="31"/>
      <c r="HME84" s="31"/>
      <c r="HMF84" s="31"/>
      <c r="HMG84" s="31"/>
      <c r="HMH84" s="31"/>
      <c r="HMI84" s="31"/>
      <c r="HMJ84" s="31"/>
      <c r="HMK84" s="31"/>
      <c r="HML84" s="31"/>
      <c r="HMM84" s="31"/>
      <c r="HMN84" s="31"/>
      <c r="HMO84" s="31"/>
      <c r="HMP84" s="31"/>
      <c r="HMQ84" s="31"/>
      <c r="HMR84" s="31"/>
      <c r="HMS84" s="31"/>
      <c r="HMT84" s="31"/>
      <c r="HMU84" s="31"/>
      <c r="HMV84" s="31"/>
      <c r="HMW84" s="31"/>
      <c r="HMX84" s="31"/>
      <c r="HMY84" s="31"/>
      <c r="HMZ84" s="31"/>
      <c r="HNA84" s="31"/>
      <c r="HNB84" s="31"/>
      <c r="HNC84" s="31"/>
      <c r="HND84" s="31"/>
      <c r="HNE84" s="31"/>
      <c r="HNF84" s="31"/>
      <c r="HNG84" s="31"/>
      <c r="HNH84" s="31"/>
      <c r="HNI84" s="31"/>
      <c r="HNJ84" s="31"/>
      <c r="HNK84" s="31"/>
      <c r="HNL84" s="31"/>
      <c r="HNM84" s="31"/>
      <c r="HNN84" s="31"/>
      <c r="HNO84" s="31"/>
      <c r="HNP84" s="31"/>
      <c r="HNQ84" s="31"/>
      <c r="HNR84" s="31"/>
      <c r="HNS84" s="31"/>
      <c r="HNT84" s="31"/>
      <c r="HNU84" s="31"/>
      <c r="HNV84" s="31"/>
      <c r="HNW84" s="31"/>
      <c r="HNX84" s="31"/>
      <c r="HNY84" s="31"/>
      <c r="HNZ84" s="31"/>
      <c r="HOA84" s="31"/>
      <c r="HOB84" s="31"/>
      <c r="HOC84" s="31"/>
      <c r="HOD84" s="31"/>
      <c r="HOE84" s="31"/>
      <c r="HOF84" s="31"/>
      <c r="HOG84" s="31"/>
      <c r="HOH84" s="31"/>
      <c r="HOI84" s="31"/>
      <c r="HOJ84" s="31"/>
      <c r="HOK84" s="31"/>
      <c r="HOL84" s="31"/>
      <c r="HOM84" s="31"/>
      <c r="HON84" s="31"/>
      <c r="HOO84" s="31"/>
      <c r="HOP84" s="31"/>
      <c r="HOQ84" s="31"/>
      <c r="HOR84" s="31"/>
      <c r="HOS84" s="31"/>
      <c r="HOT84" s="31"/>
      <c r="HOU84" s="31"/>
      <c r="HOV84" s="31"/>
      <c r="HOW84" s="31"/>
      <c r="HOX84" s="31"/>
      <c r="HOY84" s="31"/>
      <c r="HOZ84" s="31"/>
      <c r="HPA84" s="31"/>
      <c r="HPB84" s="31"/>
      <c r="HPC84" s="31"/>
      <c r="HPD84" s="31"/>
      <c r="HPE84" s="31"/>
      <c r="HPF84" s="31"/>
      <c r="HPG84" s="31"/>
      <c r="HPH84" s="31"/>
      <c r="HPI84" s="31"/>
      <c r="HPJ84" s="31"/>
      <c r="HPK84" s="31"/>
      <c r="HPL84" s="31"/>
      <c r="HPM84" s="31"/>
      <c r="HPN84" s="31"/>
      <c r="HPO84" s="31"/>
      <c r="HPP84" s="31"/>
      <c r="HPQ84" s="31"/>
      <c r="HPR84" s="31"/>
      <c r="HPS84" s="31"/>
      <c r="HPT84" s="31"/>
      <c r="HPU84" s="31"/>
      <c r="HPV84" s="31"/>
      <c r="HPW84" s="31"/>
      <c r="HPX84" s="31"/>
      <c r="HPY84" s="31"/>
      <c r="HPZ84" s="31"/>
      <c r="HQA84" s="31"/>
      <c r="HQB84" s="31"/>
      <c r="HQC84" s="31"/>
      <c r="HQD84" s="31"/>
      <c r="HQE84" s="31"/>
      <c r="HQF84" s="31"/>
      <c r="HQG84" s="31"/>
      <c r="HQH84" s="31"/>
      <c r="HQI84" s="31"/>
      <c r="HQJ84" s="31"/>
      <c r="HQK84" s="31"/>
      <c r="HQL84" s="31"/>
      <c r="HQM84" s="31"/>
      <c r="HQN84" s="31"/>
      <c r="HQO84" s="31"/>
      <c r="HQP84" s="31"/>
      <c r="HQQ84" s="31"/>
      <c r="HQR84" s="31"/>
      <c r="HQS84" s="31"/>
      <c r="HQT84" s="31"/>
      <c r="HQU84" s="31"/>
      <c r="HQV84" s="31"/>
      <c r="HQW84" s="31"/>
      <c r="HQX84" s="31"/>
      <c r="HQY84" s="31"/>
      <c r="HQZ84" s="31"/>
      <c r="HRA84" s="31"/>
      <c r="HRB84" s="31"/>
      <c r="HRC84" s="31"/>
      <c r="HRD84" s="31"/>
      <c r="HRE84" s="31"/>
      <c r="HRF84" s="31"/>
      <c r="HRG84" s="31"/>
      <c r="HRH84" s="31"/>
      <c r="HRI84" s="31"/>
      <c r="HRJ84" s="31"/>
      <c r="HRK84" s="31"/>
      <c r="HRL84" s="31"/>
      <c r="HRM84" s="31"/>
      <c r="HRN84" s="31"/>
      <c r="HRO84" s="31"/>
      <c r="HRP84" s="31"/>
      <c r="HRQ84" s="31"/>
      <c r="HRR84" s="31"/>
      <c r="HRS84" s="31"/>
      <c r="HRT84" s="31"/>
      <c r="HRU84" s="31"/>
      <c r="HRV84" s="31"/>
      <c r="HRW84" s="31"/>
      <c r="HRX84" s="31"/>
      <c r="HRY84" s="31"/>
      <c r="HRZ84" s="31"/>
      <c r="HSA84" s="31"/>
      <c r="HSB84" s="31"/>
      <c r="HSC84" s="31"/>
      <c r="HSD84" s="31"/>
      <c r="HSE84" s="31"/>
      <c r="HSF84" s="31"/>
      <c r="HSG84" s="31"/>
      <c r="HSH84" s="31"/>
      <c r="HSI84" s="31"/>
      <c r="HSJ84" s="31"/>
      <c r="HSK84" s="31"/>
      <c r="HSL84" s="31"/>
      <c r="HSM84" s="31"/>
      <c r="HSN84" s="31"/>
      <c r="HSO84" s="31"/>
      <c r="HSP84" s="31"/>
      <c r="HSQ84" s="31"/>
      <c r="HSR84" s="31"/>
      <c r="HSS84" s="31"/>
      <c r="HST84" s="31"/>
      <c r="HSU84" s="31"/>
      <c r="HSV84" s="31"/>
      <c r="HSW84" s="31"/>
      <c r="HSX84" s="31"/>
      <c r="HSY84" s="31"/>
      <c r="HSZ84" s="31"/>
      <c r="HTA84" s="31"/>
      <c r="HTB84" s="31"/>
      <c r="HTC84" s="31"/>
      <c r="HTD84" s="31"/>
      <c r="HTE84" s="31"/>
      <c r="HTF84" s="31"/>
      <c r="HTG84" s="31"/>
      <c r="HTH84" s="31"/>
      <c r="HTI84" s="31"/>
      <c r="HTJ84" s="31"/>
      <c r="HTK84" s="31"/>
      <c r="HTL84" s="31"/>
      <c r="HTM84" s="31"/>
      <c r="HTN84" s="31"/>
      <c r="HTO84" s="31"/>
      <c r="HTP84" s="31"/>
      <c r="HTQ84" s="31"/>
      <c r="HTR84" s="31"/>
      <c r="HTS84" s="31"/>
      <c r="HTT84" s="31"/>
      <c r="HTU84" s="31"/>
      <c r="HTV84" s="31"/>
      <c r="HTW84" s="31"/>
      <c r="HTX84" s="31"/>
      <c r="HTY84" s="31"/>
      <c r="HTZ84" s="31"/>
      <c r="HUA84" s="31"/>
      <c r="HUB84" s="31"/>
      <c r="HUC84" s="31"/>
      <c r="HUD84" s="31"/>
      <c r="HUE84" s="31"/>
      <c r="HUF84" s="31"/>
      <c r="HUG84" s="31"/>
      <c r="HUH84" s="31"/>
      <c r="HUI84" s="31"/>
      <c r="HUJ84" s="31"/>
      <c r="HUK84" s="31"/>
      <c r="HUL84" s="31"/>
      <c r="HUM84" s="31"/>
      <c r="HUN84" s="31"/>
      <c r="HUO84" s="31"/>
      <c r="HUP84" s="31"/>
      <c r="HUQ84" s="31"/>
      <c r="HUR84" s="31"/>
      <c r="HUS84" s="31"/>
      <c r="HUT84" s="31"/>
      <c r="HUU84" s="31"/>
      <c r="HUV84" s="31"/>
      <c r="HUW84" s="31"/>
      <c r="HUX84" s="31"/>
      <c r="HUY84" s="31"/>
      <c r="HUZ84" s="31"/>
      <c r="HVA84" s="31"/>
      <c r="HVB84" s="31"/>
      <c r="HVC84" s="31"/>
      <c r="HVD84" s="31"/>
      <c r="HVE84" s="31"/>
      <c r="HVF84" s="31"/>
      <c r="HVG84" s="31"/>
      <c r="HVH84" s="31"/>
      <c r="HVI84" s="31"/>
      <c r="HVJ84" s="31"/>
      <c r="HVK84" s="31"/>
      <c r="HVL84" s="31"/>
      <c r="HVM84" s="31"/>
      <c r="HVN84" s="31"/>
      <c r="HVO84" s="31"/>
      <c r="HVP84" s="31"/>
      <c r="HVQ84" s="31"/>
      <c r="HVR84" s="31"/>
      <c r="HVS84" s="31"/>
      <c r="HVT84" s="31"/>
      <c r="HVU84" s="31"/>
      <c r="HVV84" s="31"/>
      <c r="HVW84" s="31"/>
      <c r="HVX84" s="31"/>
      <c r="HVY84" s="31"/>
      <c r="HVZ84" s="31"/>
      <c r="HWA84" s="31"/>
      <c r="HWB84" s="31"/>
      <c r="HWC84" s="31"/>
      <c r="HWD84" s="31"/>
      <c r="HWE84" s="31"/>
      <c r="HWF84" s="31"/>
      <c r="HWG84" s="31"/>
      <c r="HWH84" s="31"/>
      <c r="HWI84" s="31"/>
      <c r="HWJ84" s="31"/>
      <c r="HWK84" s="31"/>
      <c r="HWL84" s="31"/>
      <c r="HWM84" s="31"/>
      <c r="HWN84" s="31"/>
      <c r="HWO84" s="31"/>
      <c r="HWP84" s="31"/>
      <c r="HWQ84" s="31"/>
      <c r="HWR84" s="31"/>
      <c r="HWS84" s="31"/>
      <c r="HWT84" s="31"/>
      <c r="HWU84" s="31"/>
      <c r="HWV84" s="31"/>
      <c r="HWW84" s="31"/>
      <c r="HWX84" s="31"/>
      <c r="HWY84" s="31"/>
      <c r="HWZ84" s="31"/>
      <c r="HXA84" s="31"/>
      <c r="HXB84" s="31"/>
      <c r="HXC84" s="31"/>
      <c r="HXD84" s="31"/>
      <c r="HXE84" s="31"/>
      <c r="HXF84" s="31"/>
      <c r="HXG84" s="31"/>
      <c r="HXH84" s="31"/>
      <c r="HXI84" s="31"/>
      <c r="HXJ84" s="31"/>
      <c r="HXK84" s="31"/>
      <c r="HXL84" s="31"/>
      <c r="HXM84" s="31"/>
      <c r="HXN84" s="31"/>
      <c r="HXO84" s="31"/>
      <c r="HXP84" s="31"/>
      <c r="HXQ84" s="31"/>
      <c r="HXR84" s="31"/>
      <c r="HXS84" s="31"/>
      <c r="HXT84" s="31"/>
      <c r="HXU84" s="31"/>
      <c r="HXV84" s="31"/>
      <c r="HXW84" s="31"/>
      <c r="HXX84" s="31"/>
      <c r="HXY84" s="31"/>
      <c r="HXZ84" s="31"/>
      <c r="HYA84" s="31"/>
      <c r="HYB84" s="31"/>
      <c r="HYC84" s="31"/>
      <c r="HYD84" s="31"/>
      <c r="HYE84" s="31"/>
      <c r="HYF84" s="31"/>
      <c r="HYG84" s="31"/>
      <c r="HYH84" s="31"/>
      <c r="HYI84" s="31"/>
      <c r="HYJ84" s="31"/>
      <c r="HYK84" s="31"/>
      <c r="HYL84" s="31"/>
      <c r="HYM84" s="31"/>
      <c r="HYN84" s="31"/>
      <c r="HYO84" s="31"/>
      <c r="HYP84" s="31"/>
      <c r="HYQ84" s="31"/>
      <c r="HYR84" s="31"/>
      <c r="HYS84" s="31"/>
      <c r="HYT84" s="31"/>
      <c r="HYU84" s="31"/>
      <c r="HYV84" s="31"/>
      <c r="HYW84" s="31"/>
      <c r="HYX84" s="31"/>
      <c r="HYY84" s="31"/>
      <c r="HYZ84" s="31"/>
      <c r="HZA84" s="31"/>
      <c r="HZB84" s="31"/>
      <c r="HZC84" s="31"/>
      <c r="HZD84" s="31"/>
      <c r="HZE84" s="31"/>
      <c r="HZF84" s="31"/>
      <c r="HZG84" s="31"/>
      <c r="HZH84" s="31"/>
      <c r="HZI84" s="31"/>
      <c r="HZJ84" s="31"/>
      <c r="HZK84" s="31"/>
      <c r="HZL84" s="31"/>
      <c r="HZM84" s="31"/>
      <c r="HZN84" s="31"/>
      <c r="HZO84" s="31"/>
      <c r="HZP84" s="31"/>
      <c r="HZQ84" s="31"/>
      <c r="HZR84" s="31"/>
      <c r="HZS84" s="31"/>
      <c r="HZT84" s="31"/>
      <c r="HZU84" s="31"/>
      <c r="HZV84" s="31"/>
      <c r="HZW84" s="31"/>
      <c r="HZX84" s="31"/>
      <c r="HZY84" s="31"/>
      <c r="HZZ84" s="31"/>
      <c r="IAA84" s="31"/>
      <c r="IAB84" s="31"/>
      <c r="IAC84" s="31"/>
      <c r="IAD84" s="31"/>
      <c r="IAE84" s="31"/>
      <c r="IAF84" s="31"/>
      <c r="IAG84" s="31"/>
      <c r="IAH84" s="31"/>
      <c r="IAI84" s="31"/>
      <c r="IAJ84" s="31"/>
      <c r="IAK84" s="31"/>
      <c r="IAL84" s="31"/>
      <c r="IAM84" s="31"/>
      <c r="IAN84" s="31"/>
      <c r="IAO84" s="31"/>
      <c r="IAP84" s="31"/>
      <c r="IAQ84" s="31"/>
      <c r="IAR84" s="31"/>
      <c r="IAS84" s="31"/>
      <c r="IAT84" s="31"/>
      <c r="IAU84" s="31"/>
      <c r="IAV84" s="31"/>
      <c r="IAW84" s="31"/>
      <c r="IAX84" s="31"/>
      <c r="IAY84" s="31"/>
      <c r="IAZ84" s="31"/>
      <c r="IBA84" s="31"/>
      <c r="IBB84" s="31"/>
      <c r="IBC84" s="31"/>
      <c r="IBD84" s="31"/>
      <c r="IBE84" s="31"/>
      <c r="IBF84" s="31"/>
      <c r="IBG84" s="31"/>
      <c r="IBH84" s="31"/>
      <c r="IBI84" s="31"/>
      <c r="IBJ84" s="31"/>
      <c r="IBK84" s="31"/>
      <c r="IBL84" s="31"/>
      <c r="IBM84" s="31"/>
      <c r="IBN84" s="31"/>
      <c r="IBO84" s="31"/>
      <c r="IBP84" s="31"/>
      <c r="IBQ84" s="31"/>
      <c r="IBR84" s="31"/>
      <c r="IBS84" s="31"/>
      <c r="IBT84" s="31"/>
      <c r="IBU84" s="31"/>
      <c r="IBV84" s="31"/>
      <c r="IBW84" s="31"/>
      <c r="IBX84" s="31"/>
      <c r="IBY84" s="31"/>
      <c r="IBZ84" s="31"/>
      <c r="ICA84" s="31"/>
      <c r="ICB84" s="31"/>
      <c r="ICC84" s="31"/>
      <c r="ICD84" s="31"/>
      <c r="ICE84" s="31"/>
      <c r="ICF84" s="31"/>
      <c r="ICG84" s="31"/>
      <c r="ICH84" s="31"/>
      <c r="ICI84" s="31"/>
      <c r="ICJ84" s="31"/>
      <c r="ICK84" s="31"/>
      <c r="ICL84" s="31"/>
      <c r="ICM84" s="31"/>
      <c r="ICN84" s="31"/>
      <c r="ICO84" s="31"/>
      <c r="ICP84" s="31"/>
      <c r="ICQ84" s="31"/>
      <c r="ICR84" s="31"/>
      <c r="ICS84" s="31"/>
      <c r="ICT84" s="31"/>
      <c r="ICU84" s="31"/>
      <c r="ICV84" s="31"/>
      <c r="ICW84" s="31"/>
      <c r="ICX84" s="31"/>
      <c r="ICY84" s="31"/>
      <c r="ICZ84" s="31"/>
      <c r="IDA84" s="31"/>
      <c r="IDB84" s="31"/>
      <c r="IDC84" s="31"/>
      <c r="IDD84" s="31"/>
      <c r="IDE84" s="31"/>
      <c r="IDF84" s="31"/>
      <c r="IDG84" s="31"/>
      <c r="IDH84" s="31"/>
      <c r="IDI84" s="31"/>
      <c r="IDJ84" s="31"/>
      <c r="IDK84" s="31"/>
      <c r="IDL84" s="31"/>
      <c r="IDM84" s="31"/>
      <c r="IDN84" s="31"/>
      <c r="IDO84" s="31"/>
      <c r="IDP84" s="31"/>
      <c r="IDQ84" s="31"/>
      <c r="IDR84" s="31"/>
      <c r="IDS84" s="31"/>
      <c r="IDT84" s="31"/>
      <c r="IDU84" s="31"/>
      <c r="IDV84" s="31"/>
      <c r="IDW84" s="31"/>
      <c r="IDX84" s="31"/>
      <c r="IDY84" s="31"/>
      <c r="IDZ84" s="31"/>
      <c r="IEA84" s="31"/>
      <c r="IEB84" s="31"/>
      <c r="IEC84" s="31"/>
      <c r="IED84" s="31"/>
      <c r="IEE84" s="31"/>
      <c r="IEF84" s="31"/>
      <c r="IEG84" s="31"/>
      <c r="IEH84" s="31"/>
      <c r="IEI84" s="31"/>
      <c r="IEJ84" s="31"/>
      <c r="IEK84" s="31"/>
      <c r="IEL84" s="31"/>
      <c r="IEM84" s="31"/>
      <c r="IEN84" s="31"/>
      <c r="IEO84" s="31"/>
      <c r="IEP84" s="31"/>
      <c r="IEQ84" s="31"/>
      <c r="IER84" s="31"/>
      <c r="IES84" s="31"/>
      <c r="IET84" s="31"/>
      <c r="IEU84" s="31"/>
      <c r="IEV84" s="31"/>
      <c r="IEW84" s="31"/>
      <c r="IEX84" s="31"/>
      <c r="IEY84" s="31"/>
      <c r="IEZ84" s="31"/>
      <c r="IFA84" s="31"/>
      <c r="IFB84" s="31"/>
      <c r="IFC84" s="31"/>
      <c r="IFD84" s="31"/>
      <c r="IFE84" s="31"/>
      <c r="IFF84" s="31"/>
      <c r="IFG84" s="31"/>
      <c r="IFH84" s="31"/>
      <c r="IFI84" s="31"/>
      <c r="IFJ84" s="31"/>
      <c r="IFK84" s="31"/>
      <c r="IFL84" s="31"/>
      <c r="IFM84" s="31"/>
      <c r="IFN84" s="31"/>
      <c r="IFO84" s="31"/>
      <c r="IFP84" s="31"/>
      <c r="IFQ84" s="31"/>
      <c r="IFR84" s="31"/>
      <c r="IFS84" s="31"/>
      <c r="IFT84" s="31"/>
      <c r="IFU84" s="31"/>
      <c r="IFV84" s="31"/>
      <c r="IFW84" s="31"/>
      <c r="IFX84" s="31"/>
      <c r="IFY84" s="31"/>
      <c r="IFZ84" s="31"/>
      <c r="IGA84" s="31"/>
      <c r="IGB84" s="31"/>
      <c r="IGC84" s="31"/>
      <c r="IGD84" s="31"/>
      <c r="IGE84" s="31"/>
      <c r="IGF84" s="31"/>
      <c r="IGG84" s="31"/>
      <c r="IGH84" s="31"/>
      <c r="IGI84" s="31"/>
      <c r="IGJ84" s="31"/>
      <c r="IGK84" s="31"/>
      <c r="IGL84" s="31"/>
      <c r="IGM84" s="31"/>
      <c r="IGN84" s="31"/>
      <c r="IGO84" s="31"/>
      <c r="IGP84" s="31"/>
      <c r="IGQ84" s="31"/>
      <c r="IGR84" s="31"/>
      <c r="IGS84" s="31"/>
      <c r="IGT84" s="31"/>
      <c r="IGU84" s="31"/>
      <c r="IGV84" s="31"/>
      <c r="IGW84" s="31"/>
      <c r="IGX84" s="31"/>
      <c r="IGY84" s="31"/>
      <c r="IGZ84" s="31"/>
      <c r="IHA84" s="31"/>
      <c r="IHB84" s="31"/>
      <c r="IHC84" s="31"/>
      <c r="IHD84" s="31"/>
      <c r="IHE84" s="31"/>
      <c r="IHF84" s="31"/>
      <c r="IHG84" s="31"/>
      <c r="IHH84" s="31"/>
      <c r="IHI84" s="31"/>
      <c r="IHJ84" s="31"/>
      <c r="IHK84" s="31"/>
      <c r="IHL84" s="31"/>
      <c r="IHM84" s="31"/>
      <c r="IHN84" s="31"/>
      <c r="IHO84" s="31"/>
      <c r="IHP84" s="31"/>
      <c r="IHQ84" s="31"/>
      <c r="IHR84" s="31"/>
      <c r="IHS84" s="31"/>
      <c r="IHT84" s="31"/>
      <c r="IHU84" s="31"/>
      <c r="IHV84" s="31"/>
      <c r="IHW84" s="31"/>
      <c r="IHX84" s="31"/>
      <c r="IHY84" s="31"/>
      <c r="IHZ84" s="31"/>
      <c r="IIA84" s="31"/>
      <c r="IIB84" s="31"/>
      <c r="IIC84" s="31"/>
      <c r="IID84" s="31"/>
      <c r="IIE84" s="31"/>
      <c r="IIF84" s="31"/>
      <c r="IIG84" s="31"/>
      <c r="IIH84" s="31"/>
      <c r="III84" s="31"/>
      <c r="IIJ84" s="31"/>
      <c r="IIK84" s="31"/>
      <c r="IIL84" s="31"/>
      <c r="IIM84" s="31"/>
      <c r="IIN84" s="31"/>
      <c r="IIO84" s="31"/>
      <c r="IIP84" s="31"/>
      <c r="IIQ84" s="31"/>
      <c r="IIR84" s="31"/>
      <c r="IIS84" s="31"/>
      <c r="IIT84" s="31"/>
      <c r="IIU84" s="31"/>
      <c r="IIV84" s="31"/>
      <c r="IIW84" s="31"/>
      <c r="IIX84" s="31"/>
      <c r="IIY84" s="31"/>
      <c r="IIZ84" s="31"/>
      <c r="IJA84" s="31"/>
      <c r="IJB84" s="31"/>
      <c r="IJC84" s="31"/>
      <c r="IJD84" s="31"/>
      <c r="IJE84" s="31"/>
      <c r="IJF84" s="31"/>
      <c r="IJG84" s="31"/>
      <c r="IJH84" s="31"/>
      <c r="IJI84" s="31"/>
      <c r="IJJ84" s="31"/>
      <c r="IJK84" s="31"/>
      <c r="IJL84" s="31"/>
      <c r="IJM84" s="31"/>
      <c r="IJN84" s="31"/>
      <c r="IJO84" s="31"/>
      <c r="IJP84" s="31"/>
      <c r="IJQ84" s="31"/>
      <c r="IJR84" s="31"/>
      <c r="IJS84" s="31"/>
      <c r="IJT84" s="31"/>
      <c r="IJU84" s="31"/>
      <c r="IJV84" s="31"/>
      <c r="IJW84" s="31"/>
      <c r="IJX84" s="31"/>
      <c r="IJY84" s="31"/>
      <c r="IJZ84" s="31"/>
      <c r="IKA84" s="31"/>
      <c r="IKB84" s="31"/>
      <c r="IKC84" s="31"/>
      <c r="IKD84" s="31"/>
      <c r="IKE84" s="31"/>
      <c r="IKF84" s="31"/>
      <c r="IKG84" s="31"/>
      <c r="IKH84" s="31"/>
      <c r="IKI84" s="31"/>
      <c r="IKJ84" s="31"/>
      <c r="IKK84" s="31"/>
      <c r="IKL84" s="31"/>
      <c r="IKM84" s="31"/>
      <c r="IKN84" s="31"/>
      <c r="IKO84" s="31"/>
      <c r="IKP84" s="31"/>
      <c r="IKQ84" s="31"/>
      <c r="IKR84" s="31"/>
      <c r="IKS84" s="31"/>
      <c r="IKT84" s="31"/>
      <c r="IKU84" s="31"/>
      <c r="IKV84" s="31"/>
      <c r="IKW84" s="31"/>
      <c r="IKX84" s="31"/>
      <c r="IKY84" s="31"/>
      <c r="IKZ84" s="31"/>
      <c r="ILA84" s="31"/>
      <c r="ILB84" s="31"/>
      <c r="ILC84" s="31"/>
      <c r="ILD84" s="31"/>
      <c r="ILE84" s="31"/>
      <c r="ILF84" s="31"/>
      <c r="ILG84" s="31"/>
      <c r="ILH84" s="31"/>
      <c r="ILI84" s="31"/>
      <c r="ILJ84" s="31"/>
      <c r="ILK84" s="31"/>
      <c r="ILL84" s="31"/>
      <c r="ILM84" s="31"/>
      <c r="ILN84" s="31"/>
      <c r="ILO84" s="31"/>
      <c r="ILP84" s="31"/>
      <c r="ILQ84" s="31"/>
      <c r="ILR84" s="31"/>
      <c r="ILS84" s="31"/>
      <c r="ILT84" s="31"/>
      <c r="ILU84" s="31"/>
      <c r="ILV84" s="31"/>
      <c r="ILW84" s="31"/>
      <c r="ILX84" s="31"/>
      <c r="ILY84" s="31"/>
      <c r="ILZ84" s="31"/>
      <c r="IMA84" s="31"/>
      <c r="IMB84" s="31"/>
      <c r="IMC84" s="31"/>
      <c r="IMD84" s="31"/>
      <c r="IME84" s="31"/>
      <c r="IMF84" s="31"/>
      <c r="IMG84" s="31"/>
      <c r="IMH84" s="31"/>
      <c r="IMI84" s="31"/>
      <c r="IMJ84" s="31"/>
      <c r="IMK84" s="31"/>
      <c r="IML84" s="31"/>
      <c r="IMM84" s="31"/>
      <c r="IMN84" s="31"/>
      <c r="IMO84" s="31"/>
      <c r="IMP84" s="31"/>
      <c r="IMQ84" s="31"/>
      <c r="IMR84" s="31"/>
      <c r="IMS84" s="31"/>
      <c r="IMT84" s="31"/>
      <c r="IMU84" s="31"/>
      <c r="IMV84" s="31"/>
      <c r="IMW84" s="31"/>
      <c r="IMX84" s="31"/>
      <c r="IMY84" s="31"/>
      <c r="IMZ84" s="31"/>
      <c r="INA84" s="31"/>
      <c r="INB84" s="31"/>
      <c r="INC84" s="31"/>
      <c r="IND84" s="31"/>
      <c r="INE84" s="31"/>
      <c r="INF84" s="31"/>
      <c r="ING84" s="31"/>
      <c r="INH84" s="31"/>
      <c r="INI84" s="31"/>
      <c r="INJ84" s="31"/>
      <c r="INK84" s="31"/>
      <c r="INL84" s="31"/>
      <c r="INM84" s="31"/>
      <c r="INN84" s="31"/>
      <c r="INO84" s="31"/>
      <c r="INP84" s="31"/>
      <c r="INQ84" s="31"/>
      <c r="INR84" s="31"/>
      <c r="INS84" s="31"/>
      <c r="INT84" s="31"/>
      <c r="INU84" s="31"/>
      <c r="INV84" s="31"/>
      <c r="INW84" s="31"/>
      <c r="INX84" s="31"/>
      <c r="INY84" s="31"/>
      <c r="INZ84" s="31"/>
      <c r="IOA84" s="31"/>
      <c r="IOB84" s="31"/>
      <c r="IOC84" s="31"/>
      <c r="IOD84" s="31"/>
      <c r="IOE84" s="31"/>
      <c r="IOF84" s="31"/>
      <c r="IOG84" s="31"/>
      <c r="IOH84" s="31"/>
      <c r="IOI84" s="31"/>
      <c r="IOJ84" s="31"/>
      <c r="IOK84" s="31"/>
      <c r="IOL84" s="31"/>
      <c r="IOM84" s="31"/>
      <c r="ION84" s="31"/>
      <c r="IOO84" s="31"/>
      <c r="IOP84" s="31"/>
      <c r="IOQ84" s="31"/>
      <c r="IOR84" s="31"/>
      <c r="IOS84" s="31"/>
      <c r="IOT84" s="31"/>
      <c r="IOU84" s="31"/>
      <c r="IOV84" s="31"/>
      <c r="IOW84" s="31"/>
      <c r="IOX84" s="31"/>
      <c r="IOY84" s="31"/>
      <c r="IOZ84" s="31"/>
      <c r="IPA84" s="31"/>
      <c r="IPB84" s="31"/>
      <c r="IPC84" s="31"/>
      <c r="IPD84" s="31"/>
      <c r="IPE84" s="31"/>
      <c r="IPF84" s="31"/>
      <c r="IPG84" s="31"/>
      <c r="IPH84" s="31"/>
      <c r="IPI84" s="31"/>
      <c r="IPJ84" s="31"/>
      <c r="IPK84" s="31"/>
      <c r="IPL84" s="31"/>
      <c r="IPM84" s="31"/>
      <c r="IPN84" s="31"/>
      <c r="IPO84" s="31"/>
      <c r="IPP84" s="31"/>
      <c r="IPQ84" s="31"/>
      <c r="IPR84" s="31"/>
      <c r="IPS84" s="31"/>
      <c r="IPT84" s="31"/>
      <c r="IPU84" s="31"/>
      <c r="IPV84" s="31"/>
      <c r="IPW84" s="31"/>
      <c r="IPX84" s="31"/>
      <c r="IPY84" s="31"/>
      <c r="IPZ84" s="31"/>
      <c r="IQA84" s="31"/>
      <c r="IQB84" s="31"/>
      <c r="IQC84" s="31"/>
      <c r="IQD84" s="31"/>
      <c r="IQE84" s="31"/>
      <c r="IQF84" s="31"/>
      <c r="IQG84" s="31"/>
      <c r="IQH84" s="31"/>
      <c r="IQI84" s="31"/>
      <c r="IQJ84" s="31"/>
      <c r="IQK84" s="31"/>
      <c r="IQL84" s="31"/>
      <c r="IQM84" s="31"/>
      <c r="IQN84" s="31"/>
      <c r="IQO84" s="31"/>
      <c r="IQP84" s="31"/>
      <c r="IQQ84" s="31"/>
      <c r="IQR84" s="31"/>
      <c r="IQS84" s="31"/>
      <c r="IQT84" s="31"/>
      <c r="IQU84" s="31"/>
      <c r="IQV84" s="31"/>
      <c r="IQW84" s="31"/>
      <c r="IQX84" s="31"/>
      <c r="IQY84" s="31"/>
      <c r="IQZ84" s="31"/>
      <c r="IRA84" s="31"/>
      <c r="IRB84" s="31"/>
      <c r="IRC84" s="31"/>
      <c r="IRD84" s="31"/>
      <c r="IRE84" s="31"/>
      <c r="IRF84" s="31"/>
      <c r="IRG84" s="31"/>
      <c r="IRH84" s="31"/>
      <c r="IRI84" s="31"/>
      <c r="IRJ84" s="31"/>
      <c r="IRK84" s="31"/>
      <c r="IRL84" s="31"/>
      <c r="IRM84" s="31"/>
      <c r="IRN84" s="31"/>
      <c r="IRO84" s="31"/>
      <c r="IRP84" s="31"/>
      <c r="IRQ84" s="31"/>
      <c r="IRR84" s="31"/>
      <c r="IRS84" s="31"/>
      <c r="IRT84" s="31"/>
      <c r="IRU84" s="31"/>
      <c r="IRV84" s="31"/>
      <c r="IRW84" s="31"/>
      <c r="IRX84" s="31"/>
      <c r="IRY84" s="31"/>
      <c r="IRZ84" s="31"/>
      <c r="ISA84" s="31"/>
      <c r="ISB84" s="31"/>
      <c r="ISC84" s="31"/>
      <c r="ISD84" s="31"/>
      <c r="ISE84" s="31"/>
      <c r="ISF84" s="31"/>
      <c r="ISG84" s="31"/>
      <c r="ISH84" s="31"/>
      <c r="ISI84" s="31"/>
      <c r="ISJ84" s="31"/>
      <c r="ISK84" s="31"/>
      <c r="ISL84" s="31"/>
      <c r="ISM84" s="31"/>
      <c r="ISN84" s="31"/>
      <c r="ISO84" s="31"/>
      <c r="ISP84" s="31"/>
      <c r="ISQ84" s="31"/>
      <c r="ISR84" s="31"/>
      <c r="ISS84" s="31"/>
      <c r="IST84" s="31"/>
      <c r="ISU84" s="31"/>
      <c r="ISV84" s="31"/>
      <c r="ISW84" s="31"/>
      <c r="ISX84" s="31"/>
      <c r="ISY84" s="31"/>
      <c r="ISZ84" s="31"/>
      <c r="ITA84" s="31"/>
      <c r="ITB84" s="31"/>
      <c r="ITC84" s="31"/>
      <c r="ITD84" s="31"/>
      <c r="ITE84" s="31"/>
      <c r="ITF84" s="31"/>
      <c r="ITG84" s="31"/>
      <c r="ITH84" s="31"/>
      <c r="ITI84" s="31"/>
      <c r="ITJ84" s="31"/>
      <c r="ITK84" s="31"/>
      <c r="ITL84" s="31"/>
      <c r="ITM84" s="31"/>
      <c r="ITN84" s="31"/>
      <c r="ITO84" s="31"/>
      <c r="ITP84" s="31"/>
      <c r="ITQ84" s="31"/>
      <c r="ITR84" s="31"/>
      <c r="ITS84" s="31"/>
      <c r="ITT84" s="31"/>
      <c r="ITU84" s="31"/>
      <c r="ITV84" s="31"/>
      <c r="ITW84" s="31"/>
      <c r="ITX84" s="31"/>
      <c r="ITY84" s="31"/>
      <c r="ITZ84" s="31"/>
      <c r="IUA84" s="31"/>
      <c r="IUB84" s="31"/>
      <c r="IUC84" s="31"/>
      <c r="IUD84" s="31"/>
      <c r="IUE84" s="31"/>
      <c r="IUF84" s="31"/>
      <c r="IUG84" s="31"/>
      <c r="IUH84" s="31"/>
      <c r="IUI84" s="31"/>
      <c r="IUJ84" s="31"/>
      <c r="IUK84" s="31"/>
      <c r="IUL84" s="31"/>
      <c r="IUM84" s="31"/>
      <c r="IUN84" s="31"/>
      <c r="IUO84" s="31"/>
      <c r="IUP84" s="31"/>
      <c r="IUQ84" s="31"/>
      <c r="IUR84" s="31"/>
      <c r="IUS84" s="31"/>
      <c r="IUT84" s="31"/>
      <c r="IUU84" s="31"/>
      <c r="IUV84" s="31"/>
      <c r="IUW84" s="31"/>
      <c r="IUX84" s="31"/>
      <c r="IUY84" s="31"/>
      <c r="IUZ84" s="31"/>
      <c r="IVA84" s="31"/>
      <c r="IVB84" s="31"/>
      <c r="IVC84" s="31"/>
      <c r="IVD84" s="31"/>
      <c r="IVE84" s="31"/>
      <c r="IVF84" s="31"/>
      <c r="IVG84" s="31"/>
      <c r="IVH84" s="31"/>
      <c r="IVI84" s="31"/>
      <c r="IVJ84" s="31"/>
      <c r="IVK84" s="31"/>
      <c r="IVL84" s="31"/>
      <c r="IVM84" s="31"/>
      <c r="IVN84" s="31"/>
      <c r="IVO84" s="31"/>
      <c r="IVP84" s="31"/>
      <c r="IVQ84" s="31"/>
      <c r="IVR84" s="31"/>
      <c r="IVS84" s="31"/>
      <c r="IVT84" s="31"/>
      <c r="IVU84" s="31"/>
      <c r="IVV84" s="31"/>
      <c r="IVW84" s="31"/>
      <c r="IVX84" s="31"/>
      <c r="IVY84" s="31"/>
      <c r="IVZ84" s="31"/>
      <c r="IWA84" s="31"/>
      <c r="IWB84" s="31"/>
      <c r="IWC84" s="31"/>
      <c r="IWD84" s="31"/>
      <c r="IWE84" s="31"/>
      <c r="IWF84" s="31"/>
      <c r="IWG84" s="31"/>
      <c r="IWH84" s="31"/>
      <c r="IWI84" s="31"/>
      <c r="IWJ84" s="31"/>
      <c r="IWK84" s="31"/>
      <c r="IWL84" s="31"/>
      <c r="IWM84" s="31"/>
      <c r="IWN84" s="31"/>
      <c r="IWO84" s="31"/>
      <c r="IWP84" s="31"/>
      <c r="IWQ84" s="31"/>
      <c r="IWR84" s="31"/>
      <c r="IWS84" s="31"/>
      <c r="IWT84" s="31"/>
      <c r="IWU84" s="31"/>
      <c r="IWV84" s="31"/>
      <c r="IWW84" s="31"/>
      <c r="IWX84" s="31"/>
      <c r="IWY84" s="31"/>
      <c r="IWZ84" s="31"/>
      <c r="IXA84" s="31"/>
      <c r="IXB84" s="31"/>
      <c r="IXC84" s="31"/>
      <c r="IXD84" s="31"/>
      <c r="IXE84" s="31"/>
      <c r="IXF84" s="31"/>
      <c r="IXG84" s="31"/>
      <c r="IXH84" s="31"/>
      <c r="IXI84" s="31"/>
      <c r="IXJ84" s="31"/>
      <c r="IXK84" s="31"/>
      <c r="IXL84" s="31"/>
      <c r="IXM84" s="31"/>
      <c r="IXN84" s="31"/>
      <c r="IXO84" s="31"/>
      <c r="IXP84" s="31"/>
      <c r="IXQ84" s="31"/>
      <c r="IXR84" s="31"/>
      <c r="IXS84" s="31"/>
      <c r="IXT84" s="31"/>
      <c r="IXU84" s="31"/>
      <c r="IXV84" s="31"/>
      <c r="IXW84" s="31"/>
      <c r="IXX84" s="31"/>
      <c r="IXY84" s="31"/>
      <c r="IXZ84" s="31"/>
      <c r="IYA84" s="31"/>
      <c r="IYB84" s="31"/>
      <c r="IYC84" s="31"/>
      <c r="IYD84" s="31"/>
      <c r="IYE84" s="31"/>
      <c r="IYF84" s="31"/>
      <c r="IYG84" s="31"/>
      <c r="IYH84" s="31"/>
      <c r="IYI84" s="31"/>
      <c r="IYJ84" s="31"/>
      <c r="IYK84" s="31"/>
      <c r="IYL84" s="31"/>
      <c r="IYM84" s="31"/>
      <c r="IYN84" s="31"/>
      <c r="IYO84" s="31"/>
      <c r="IYP84" s="31"/>
      <c r="IYQ84" s="31"/>
      <c r="IYR84" s="31"/>
      <c r="IYS84" s="31"/>
      <c r="IYT84" s="31"/>
      <c r="IYU84" s="31"/>
      <c r="IYV84" s="31"/>
      <c r="IYW84" s="31"/>
      <c r="IYX84" s="31"/>
      <c r="IYY84" s="31"/>
      <c r="IYZ84" s="31"/>
      <c r="IZA84" s="31"/>
      <c r="IZB84" s="31"/>
      <c r="IZC84" s="31"/>
      <c r="IZD84" s="31"/>
      <c r="IZE84" s="31"/>
      <c r="IZF84" s="31"/>
      <c r="IZG84" s="31"/>
      <c r="IZH84" s="31"/>
      <c r="IZI84" s="31"/>
      <c r="IZJ84" s="31"/>
      <c r="IZK84" s="31"/>
      <c r="IZL84" s="31"/>
      <c r="IZM84" s="31"/>
      <c r="IZN84" s="31"/>
      <c r="IZO84" s="31"/>
      <c r="IZP84" s="31"/>
      <c r="IZQ84" s="31"/>
      <c r="IZR84" s="31"/>
      <c r="IZS84" s="31"/>
      <c r="IZT84" s="31"/>
      <c r="IZU84" s="31"/>
      <c r="IZV84" s="31"/>
      <c r="IZW84" s="31"/>
      <c r="IZX84" s="31"/>
      <c r="IZY84" s="31"/>
      <c r="IZZ84" s="31"/>
      <c r="JAA84" s="31"/>
      <c r="JAB84" s="31"/>
      <c r="JAC84" s="31"/>
      <c r="JAD84" s="31"/>
      <c r="JAE84" s="31"/>
      <c r="JAF84" s="31"/>
      <c r="JAG84" s="31"/>
      <c r="JAH84" s="31"/>
      <c r="JAI84" s="31"/>
      <c r="JAJ84" s="31"/>
      <c r="JAK84" s="31"/>
      <c r="JAL84" s="31"/>
      <c r="JAM84" s="31"/>
      <c r="JAN84" s="31"/>
      <c r="JAO84" s="31"/>
      <c r="JAP84" s="31"/>
      <c r="JAQ84" s="31"/>
      <c r="JAR84" s="31"/>
      <c r="JAS84" s="31"/>
      <c r="JAT84" s="31"/>
      <c r="JAU84" s="31"/>
      <c r="JAV84" s="31"/>
      <c r="JAW84" s="31"/>
      <c r="JAX84" s="31"/>
      <c r="JAY84" s="31"/>
      <c r="JAZ84" s="31"/>
      <c r="JBA84" s="31"/>
      <c r="JBB84" s="31"/>
      <c r="JBC84" s="31"/>
      <c r="JBD84" s="31"/>
      <c r="JBE84" s="31"/>
      <c r="JBF84" s="31"/>
      <c r="JBG84" s="31"/>
      <c r="JBH84" s="31"/>
      <c r="JBI84" s="31"/>
      <c r="JBJ84" s="31"/>
      <c r="JBK84" s="31"/>
      <c r="JBL84" s="31"/>
      <c r="JBM84" s="31"/>
      <c r="JBN84" s="31"/>
      <c r="JBO84" s="31"/>
      <c r="JBP84" s="31"/>
      <c r="JBQ84" s="31"/>
      <c r="JBR84" s="31"/>
      <c r="JBS84" s="31"/>
      <c r="JBT84" s="31"/>
      <c r="JBU84" s="31"/>
      <c r="JBV84" s="31"/>
      <c r="JBW84" s="31"/>
      <c r="JBX84" s="31"/>
      <c r="JBY84" s="31"/>
      <c r="JBZ84" s="31"/>
      <c r="JCA84" s="31"/>
      <c r="JCB84" s="31"/>
      <c r="JCC84" s="31"/>
      <c r="JCD84" s="31"/>
      <c r="JCE84" s="31"/>
      <c r="JCF84" s="31"/>
      <c r="JCG84" s="31"/>
      <c r="JCH84" s="31"/>
      <c r="JCI84" s="31"/>
      <c r="JCJ84" s="31"/>
      <c r="JCK84" s="31"/>
      <c r="JCL84" s="31"/>
      <c r="JCM84" s="31"/>
      <c r="JCN84" s="31"/>
      <c r="JCO84" s="31"/>
      <c r="JCP84" s="31"/>
      <c r="JCQ84" s="31"/>
      <c r="JCR84" s="31"/>
      <c r="JCS84" s="31"/>
      <c r="JCT84" s="31"/>
      <c r="JCU84" s="31"/>
      <c r="JCV84" s="31"/>
      <c r="JCW84" s="31"/>
      <c r="JCX84" s="31"/>
      <c r="JCY84" s="31"/>
      <c r="JCZ84" s="31"/>
      <c r="JDA84" s="31"/>
      <c r="JDB84" s="31"/>
      <c r="JDC84" s="31"/>
      <c r="JDD84" s="31"/>
      <c r="JDE84" s="31"/>
      <c r="JDF84" s="31"/>
      <c r="JDG84" s="31"/>
      <c r="JDH84" s="31"/>
      <c r="JDI84" s="31"/>
      <c r="JDJ84" s="31"/>
      <c r="JDK84" s="31"/>
      <c r="JDL84" s="31"/>
      <c r="JDM84" s="31"/>
      <c r="JDN84" s="31"/>
      <c r="JDO84" s="31"/>
      <c r="JDP84" s="31"/>
      <c r="JDQ84" s="31"/>
      <c r="JDR84" s="31"/>
      <c r="JDS84" s="31"/>
      <c r="JDT84" s="31"/>
      <c r="JDU84" s="31"/>
      <c r="JDV84" s="31"/>
      <c r="JDW84" s="31"/>
      <c r="JDX84" s="31"/>
      <c r="JDY84" s="31"/>
      <c r="JDZ84" s="31"/>
      <c r="JEA84" s="31"/>
      <c r="JEB84" s="31"/>
      <c r="JEC84" s="31"/>
      <c r="JED84" s="31"/>
      <c r="JEE84" s="31"/>
      <c r="JEF84" s="31"/>
      <c r="JEG84" s="31"/>
      <c r="JEH84" s="31"/>
      <c r="JEI84" s="31"/>
      <c r="JEJ84" s="31"/>
      <c r="JEK84" s="31"/>
      <c r="JEL84" s="31"/>
      <c r="JEM84" s="31"/>
      <c r="JEN84" s="31"/>
      <c r="JEO84" s="31"/>
      <c r="JEP84" s="31"/>
      <c r="JEQ84" s="31"/>
      <c r="JER84" s="31"/>
      <c r="JES84" s="31"/>
      <c r="JET84" s="31"/>
      <c r="JEU84" s="31"/>
      <c r="JEV84" s="31"/>
      <c r="JEW84" s="31"/>
      <c r="JEX84" s="31"/>
      <c r="JEY84" s="31"/>
      <c r="JEZ84" s="31"/>
      <c r="JFA84" s="31"/>
      <c r="JFB84" s="31"/>
      <c r="JFC84" s="31"/>
      <c r="JFD84" s="31"/>
      <c r="JFE84" s="31"/>
      <c r="JFF84" s="31"/>
      <c r="JFG84" s="31"/>
      <c r="JFH84" s="31"/>
      <c r="JFI84" s="31"/>
      <c r="JFJ84" s="31"/>
      <c r="JFK84" s="31"/>
      <c r="JFL84" s="31"/>
      <c r="JFM84" s="31"/>
      <c r="JFN84" s="31"/>
      <c r="JFO84" s="31"/>
      <c r="JFP84" s="31"/>
      <c r="JFQ84" s="31"/>
      <c r="JFR84" s="31"/>
      <c r="JFS84" s="31"/>
      <c r="JFT84" s="31"/>
      <c r="JFU84" s="31"/>
      <c r="JFV84" s="31"/>
      <c r="JFW84" s="31"/>
      <c r="JFX84" s="31"/>
      <c r="JFY84" s="31"/>
      <c r="JFZ84" s="31"/>
      <c r="JGA84" s="31"/>
      <c r="JGB84" s="31"/>
      <c r="JGC84" s="31"/>
      <c r="JGD84" s="31"/>
      <c r="JGE84" s="31"/>
      <c r="JGF84" s="31"/>
      <c r="JGG84" s="31"/>
      <c r="JGH84" s="31"/>
      <c r="JGI84" s="31"/>
      <c r="JGJ84" s="31"/>
      <c r="JGK84" s="31"/>
      <c r="JGL84" s="31"/>
      <c r="JGM84" s="31"/>
      <c r="JGN84" s="31"/>
      <c r="JGO84" s="31"/>
      <c r="JGP84" s="31"/>
      <c r="JGQ84" s="31"/>
      <c r="JGR84" s="31"/>
      <c r="JGS84" s="31"/>
      <c r="JGT84" s="31"/>
      <c r="JGU84" s="31"/>
      <c r="JGV84" s="31"/>
      <c r="JGW84" s="31"/>
      <c r="JGX84" s="31"/>
      <c r="JGY84" s="31"/>
      <c r="JGZ84" s="31"/>
      <c r="JHA84" s="31"/>
      <c r="JHB84" s="31"/>
      <c r="JHC84" s="31"/>
      <c r="JHD84" s="31"/>
      <c r="JHE84" s="31"/>
      <c r="JHF84" s="31"/>
      <c r="JHG84" s="31"/>
      <c r="JHH84" s="31"/>
      <c r="JHI84" s="31"/>
      <c r="JHJ84" s="31"/>
      <c r="JHK84" s="31"/>
      <c r="JHL84" s="31"/>
      <c r="JHM84" s="31"/>
      <c r="JHN84" s="31"/>
      <c r="JHO84" s="31"/>
      <c r="JHP84" s="31"/>
      <c r="JHQ84" s="31"/>
      <c r="JHR84" s="31"/>
      <c r="JHS84" s="31"/>
      <c r="JHT84" s="31"/>
      <c r="JHU84" s="31"/>
      <c r="JHV84" s="31"/>
      <c r="JHW84" s="31"/>
      <c r="JHX84" s="31"/>
      <c r="JHY84" s="31"/>
      <c r="JHZ84" s="31"/>
      <c r="JIA84" s="31"/>
      <c r="JIB84" s="31"/>
      <c r="JIC84" s="31"/>
      <c r="JID84" s="31"/>
      <c r="JIE84" s="31"/>
      <c r="JIF84" s="31"/>
      <c r="JIG84" s="31"/>
      <c r="JIH84" s="31"/>
      <c r="JII84" s="31"/>
      <c r="JIJ84" s="31"/>
      <c r="JIK84" s="31"/>
      <c r="JIL84" s="31"/>
      <c r="JIM84" s="31"/>
      <c r="JIN84" s="31"/>
      <c r="JIO84" s="31"/>
      <c r="JIP84" s="31"/>
      <c r="JIQ84" s="31"/>
      <c r="JIR84" s="31"/>
      <c r="JIS84" s="31"/>
      <c r="JIT84" s="31"/>
      <c r="JIU84" s="31"/>
      <c r="JIV84" s="31"/>
      <c r="JIW84" s="31"/>
      <c r="JIX84" s="31"/>
      <c r="JIY84" s="31"/>
      <c r="JIZ84" s="31"/>
      <c r="JJA84" s="31"/>
      <c r="JJB84" s="31"/>
      <c r="JJC84" s="31"/>
      <c r="JJD84" s="31"/>
      <c r="JJE84" s="31"/>
      <c r="JJF84" s="31"/>
      <c r="JJG84" s="31"/>
      <c r="JJH84" s="31"/>
      <c r="JJI84" s="31"/>
      <c r="JJJ84" s="31"/>
      <c r="JJK84" s="31"/>
      <c r="JJL84" s="31"/>
      <c r="JJM84" s="31"/>
      <c r="JJN84" s="31"/>
      <c r="JJO84" s="31"/>
      <c r="JJP84" s="31"/>
      <c r="JJQ84" s="31"/>
      <c r="JJR84" s="31"/>
      <c r="JJS84" s="31"/>
      <c r="JJT84" s="31"/>
      <c r="JJU84" s="31"/>
      <c r="JJV84" s="31"/>
      <c r="JJW84" s="31"/>
      <c r="JJX84" s="31"/>
      <c r="JJY84" s="31"/>
      <c r="JJZ84" s="31"/>
      <c r="JKA84" s="31"/>
      <c r="JKB84" s="31"/>
      <c r="JKC84" s="31"/>
      <c r="JKD84" s="31"/>
      <c r="JKE84" s="31"/>
      <c r="JKF84" s="31"/>
      <c r="JKG84" s="31"/>
      <c r="JKH84" s="31"/>
      <c r="JKI84" s="31"/>
      <c r="JKJ84" s="31"/>
      <c r="JKK84" s="31"/>
      <c r="JKL84" s="31"/>
      <c r="JKM84" s="31"/>
      <c r="JKN84" s="31"/>
      <c r="JKO84" s="31"/>
      <c r="JKP84" s="31"/>
      <c r="JKQ84" s="31"/>
      <c r="JKR84" s="31"/>
      <c r="JKS84" s="31"/>
      <c r="JKT84" s="31"/>
      <c r="JKU84" s="31"/>
      <c r="JKV84" s="31"/>
      <c r="JKW84" s="31"/>
      <c r="JKX84" s="31"/>
      <c r="JKY84" s="31"/>
      <c r="JKZ84" s="31"/>
      <c r="JLA84" s="31"/>
      <c r="JLB84" s="31"/>
      <c r="JLC84" s="31"/>
      <c r="JLD84" s="31"/>
      <c r="JLE84" s="31"/>
      <c r="JLF84" s="31"/>
      <c r="JLG84" s="31"/>
      <c r="JLH84" s="31"/>
      <c r="JLI84" s="31"/>
      <c r="JLJ84" s="31"/>
      <c r="JLK84" s="31"/>
      <c r="JLL84" s="31"/>
      <c r="JLM84" s="31"/>
      <c r="JLN84" s="31"/>
      <c r="JLO84" s="31"/>
      <c r="JLP84" s="31"/>
      <c r="JLQ84" s="31"/>
      <c r="JLR84" s="31"/>
      <c r="JLS84" s="31"/>
      <c r="JLT84" s="31"/>
      <c r="JLU84" s="31"/>
      <c r="JLV84" s="31"/>
      <c r="JLW84" s="31"/>
      <c r="JLX84" s="31"/>
      <c r="JLY84" s="31"/>
      <c r="JLZ84" s="31"/>
      <c r="JMA84" s="31"/>
      <c r="JMB84" s="31"/>
      <c r="JMC84" s="31"/>
      <c r="JMD84" s="31"/>
      <c r="JME84" s="31"/>
      <c r="JMF84" s="31"/>
      <c r="JMG84" s="31"/>
      <c r="JMH84" s="31"/>
      <c r="JMI84" s="31"/>
      <c r="JMJ84" s="31"/>
      <c r="JMK84" s="31"/>
      <c r="JML84" s="31"/>
      <c r="JMM84" s="31"/>
      <c r="JMN84" s="31"/>
      <c r="JMO84" s="31"/>
      <c r="JMP84" s="31"/>
      <c r="JMQ84" s="31"/>
      <c r="JMR84" s="31"/>
      <c r="JMS84" s="31"/>
      <c r="JMT84" s="31"/>
      <c r="JMU84" s="31"/>
      <c r="JMV84" s="31"/>
      <c r="JMW84" s="31"/>
      <c r="JMX84" s="31"/>
      <c r="JMY84" s="31"/>
      <c r="JMZ84" s="31"/>
      <c r="JNA84" s="31"/>
      <c r="JNB84" s="31"/>
      <c r="JNC84" s="31"/>
      <c r="JND84" s="31"/>
      <c r="JNE84" s="31"/>
      <c r="JNF84" s="31"/>
      <c r="JNG84" s="31"/>
      <c r="JNH84" s="31"/>
      <c r="JNI84" s="31"/>
      <c r="JNJ84" s="31"/>
      <c r="JNK84" s="31"/>
      <c r="JNL84" s="31"/>
      <c r="JNM84" s="31"/>
      <c r="JNN84" s="31"/>
      <c r="JNO84" s="31"/>
      <c r="JNP84" s="31"/>
      <c r="JNQ84" s="31"/>
      <c r="JNR84" s="31"/>
      <c r="JNS84" s="31"/>
      <c r="JNT84" s="31"/>
      <c r="JNU84" s="31"/>
      <c r="JNV84" s="31"/>
      <c r="JNW84" s="31"/>
      <c r="JNX84" s="31"/>
      <c r="JNY84" s="31"/>
      <c r="JNZ84" s="31"/>
      <c r="JOA84" s="31"/>
      <c r="JOB84" s="31"/>
      <c r="JOC84" s="31"/>
      <c r="JOD84" s="31"/>
      <c r="JOE84" s="31"/>
      <c r="JOF84" s="31"/>
      <c r="JOG84" s="31"/>
      <c r="JOH84" s="31"/>
      <c r="JOI84" s="31"/>
      <c r="JOJ84" s="31"/>
      <c r="JOK84" s="31"/>
      <c r="JOL84" s="31"/>
      <c r="JOM84" s="31"/>
      <c r="JON84" s="31"/>
      <c r="JOO84" s="31"/>
      <c r="JOP84" s="31"/>
      <c r="JOQ84" s="31"/>
      <c r="JOR84" s="31"/>
      <c r="JOS84" s="31"/>
      <c r="JOT84" s="31"/>
      <c r="JOU84" s="31"/>
      <c r="JOV84" s="31"/>
      <c r="JOW84" s="31"/>
      <c r="JOX84" s="31"/>
      <c r="JOY84" s="31"/>
      <c r="JOZ84" s="31"/>
      <c r="JPA84" s="31"/>
      <c r="JPB84" s="31"/>
      <c r="JPC84" s="31"/>
      <c r="JPD84" s="31"/>
      <c r="JPE84" s="31"/>
      <c r="JPF84" s="31"/>
      <c r="JPG84" s="31"/>
      <c r="JPH84" s="31"/>
      <c r="JPI84" s="31"/>
      <c r="JPJ84" s="31"/>
      <c r="JPK84" s="31"/>
      <c r="JPL84" s="31"/>
      <c r="JPM84" s="31"/>
      <c r="JPN84" s="31"/>
      <c r="JPO84" s="31"/>
      <c r="JPP84" s="31"/>
      <c r="JPQ84" s="31"/>
      <c r="JPR84" s="31"/>
      <c r="JPS84" s="31"/>
      <c r="JPT84" s="31"/>
      <c r="JPU84" s="31"/>
      <c r="JPV84" s="31"/>
      <c r="JPW84" s="31"/>
      <c r="JPX84" s="31"/>
      <c r="JPY84" s="31"/>
      <c r="JPZ84" s="31"/>
      <c r="JQA84" s="31"/>
      <c r="JQB84" s="31"/>
      <c r="JQC84" s="31"/>
      <c r="JQD84" s="31"/>
      <c r="JQE84" s="31"/>
      <c r="JQF84" s="31"/>
      <c r="JQG84" s="31"/>
      <c r="JQH84" s="31"/>
      <c r="JQI84" s="31"/>
      <c r="JQJ84" s="31"/>
      <c r="JQK84" s="31"/>
      <c r="JQL84" s="31"/>
      <c r="JQM84" s="31"/>
      <c r="JQN84" s="31"/>
      <c r="JQO84" s="31"/>
      <c r="JQP84" s="31"/>
      <c r="JQQ84" s="31"/>
      <c r="JQR84" s="31"/>
      <c r="JQS84" s="31"/>
      <c r="JQT84" s="31"/>
      <c r="JQU84" s="31"/>
      <c r="JQV84" s="31"/>
      <c r="JQW84" s="31"/>
      <c r="JQX84" s="31"/>
      <c r="JQY84" s="31"/>
      <c r="JQZ84" s="31"/>
      <c r="JRA84" s="31"/>
      <c r="JRB84" s="31"/>
      <c r="JRC84" s="31"/>
      <c r="JRD84" s="31"/>
      <c r="JRE84" s="31"/>
      <c r="JRF84" s="31"/>
      <c r="JRG84" s="31"/>
      <c r="JRH84" s="31"/>
      <c r="JRI84" s="31"/>
      <c r="JRJ84" s="31"/>
      <c r="JRK84" s="31"/>
      <c r="JRL84" s="31"/>
      <c r="JRM84" s="31"/>
      <c r="JRN84" s="31"/>
      <c r="JRO84" s="31"/>
      <c r="JRP84" s="31"/>
      <c r="JRQ84" s="31"/>
      <c r="JRR84" s="31"/>
      <c r="JRS84" s="31"/>
      <c r="JRT84" s="31"/>
      <c r="JRU84" s="31"/>
      <c r="JRV84" s="31"/>
      <c r="JRW84" s="31"/>
      <c r="JRX84" s="31"/>
      <c r="JRY84" s="31"/>
      <c r="JRZ84" s="31"/>
      <c r="JSA84" s="31"/>
      <c r="JSB84" s="31"/>
      <c r="JSC84" s="31"/>
      <c r="JSD84" s="31"/>
      <c r="JSE84" s="31"/>
      <c r="JSF84" s="31"/>
      <c r="JSG84" s="31"/>
      <c r="JSH84" s="31"/>
      <c r="JSI84" s="31"/>
      <c r="JSJ84" s="31"/>
      <c r="JSK84" s="31"/>
      <c r="JSL84" s="31"/>
      <c r="JSM84" s="31"/>
      <c r="JSN84" s="31"/>
      <c r="JSO84" s="31"/>
      <c r="JSP84" s="31"/>
      <c r="JSQ84" s="31"/>
      <c r="JSR84" s="31"/>
      <c r="JSS84" s="31"/>
      <c r="JST84" s="31"/>
      <c r="JSU84" s="31"/>
      <c r="JSV84" s="31"/>
      <c r="JSW84" s="31"/>
      <c r="JSX84" s="31"/>
      <c r="JSY84" s="31"/>
      <c r="JSZ84" s="31"/>
      <c r="JTA84" s="31"/>
      <c r="JTB84" s="31"/>
      <c r="JTC84" s="31"/>
      <c r="JTD84" s="31"/>
      <c r="JTE84" s="31"/>
      <c r="JTF84" s="31"/>
      <c r="JTG84" s="31"/>
      <c r="JTH84" s="31"/>
      <c r="JTI84" s="31"/>
      <c r="JTJ84" s="31"/>
      <c r="JTK84" s="31"/>
      <c r="JTL84" s="31"/>
      <c r="JTM84" s="31"/>
      <c r="JTN84" s="31"/>
      <c r="JTO84" s="31"/>
      <c r="JTP84" s="31"/>
      <c r="JTQ84" s="31"/>
      <c r="JTR84" s="31"/>
      <c r="JTS84" s="31"/>
      <c r="JTT84" s="31"/>
      <c r="JTU84" s="31"/>
      <c r="JTV84" s="31"/>
      <c r="JTW84" s="31"/>
      <c r="JTX84" s="31"/>
      <c r="JTY84" s="31"/>
      <c r="JTZ84" s="31"/>
      <c r="JUA84" s="31"/>
      <c r="JUB84" s="31"/>
      <c r="JUC84" s="31"/>
      <c r="JUD84" s="31"/>
      <c r="JUE84" s="31"/>
      <c r="JUF84" s="31"/>
      <c r="JUG84" s="31"/>
      <c r="JUH84" s="31"/>
      <c r="JUI84" s="31"/>
      <c r="JUJ84" s="31"/>
      <c r="JUK84" s="31"/>
      <c r="JUL84" s="31"/>
      <c r="JUM84" s="31"/>
      <c r="JUN84" s="31"/>
      <c r="JUO84" s="31"/>
      <c r="JUP84" s="31"/>
      <c r="JUQ84" s="31"/>
      <c r="JUR84" s="31"/>
      <c r="JUS84" s="31"/>
      <c r="JUT84" s="31"/>
      <c r="JUU84" s="31"/>
      <c r="JUV84" s="31"/>
      <c r="JUW84" s="31"/>
      <c r="JUX84" s="31"/>
      <c r="JUY84" s="31"/>
      <c r="JUZ84" s="31"/>
      <c r="JVA84" s="31"/>
      <c r="JVB84" s="31"/>
      <c r="JVC84" s="31"/>
      <c r="JVD84" s="31"/>
      <c r="JVE84" s="31"/>
      <c r="JVF84" s="31"/>
      <c r="JVG84" s="31"/>
      <c r="JVH84" s="31"/>
      <c r="JVI84" s="31"/>
      <c r="JVJ84" s="31"/>
      <c r="JVK84" s="31"/>
      <c r="JVL84" s="31"/>
      <c r="JVM84" s="31"/>
      <c r="JVN84" s="31"/>
      <c r="JVO84" s="31"/>
      <c r="JVP84" s="31"/>
      <c r="JVQ84" s="31"/>
      <c r="JVR84" s="31"/>
      <c r="JVS84" s="31"/>
      <c r="JVT84" s="31"/>
      <c r="JVU84" s="31"/>
      <c r="JVV84" s="31"/>
      <c r="JVW84" s="31"/>
      <c r="JVX84" s="31"/>
      <c r="JVY84" s="31"/>
      <c r="JVZ84" s="31"/>
      <c r="JWA84" s="31"/>
      <c r="JWB84" s="31"/>
      <c r="JWC84" s="31"/>
      <c r="JWD84" s="31"/>
      <c r="JWE84" s="31"/>
      <c r="JWF84" s="31"/>
      <c r="JWG84" s="31"/>
      <c r="JWH84" s="31"/>
      <c r="JWI84" s="31"/>
      <c r="JWJ84" s="31"/>
      <c r="JWK84" s="31"/>
      <c r="JWL84" s="31"/>
      <c r="JWM84" s="31"/>
      <c r="JWN84" s="31"/>
      <c r="JWO84" s="31"/>
      <c r="JWP84" s="31"/>
      <c r="JWQ84" s="31"/>
      <c r="JWR84" s="31"/>
      <c r="JWS84" s="31"/>
      <c r="JWT84" s="31"/>
      <c r="JWU84" s="31"/>
      <c r="JWV84" s="31"/>
      <c r="JWW84" s="31"/>
      <c r="JWX84" s="31"/>
      <c r="JWY84" s="31"/>
      <c r="JWZ84" s="31"/>
      <c r="JXA84" s="31"/>
      <c r="JXB84" s="31"/>
      <c r="JXC84" s="31"/>
      <c r="JXD84" s="31"/>
      <c r="JXE84" s="31"/>
      <c r="JXF84" s="31"/>
      <c r="JXG84" s="31"/>
      <c r="JXH84" s="31"/>
      <c r="JXI84" s="31"/>
      <c r="JXJ84" s="31"/>
      <c r="JXK84" s="31"/>
      <c r="JXL84" s="31"/>
      <c r="JXM84" s="31"/>
      <c r="JXN84" s="31"/>
      <c r="JXO84" s="31"/>
      <c r="JXP84" s="31"/>
      <c r="JXQ84" s="31"/>
      <c r="JXR84" s="31"/>
      <c r="JXS84" s="31"/>
      <c r="JXT84" s="31"/>
      <c r="JXU84" s="31"/>
      <c r="JXV84" s="31"/>
      <c r="JXW84" s="31"/>
      <c r="JXX84" s="31"/>
      <c r="JXY84" s="31"/>
      <c r="JXZ84" s="31"/>
      <c r="JYA84" s="31"/>
      <c r="JYB84" s="31"/>
      <c r="JYC84" s="31"/>
      <c r="JYD84" s="31"/>
      <c r="JYE84" s="31"/>
      <c r="JYF84" s="31"/>
      <c r="JYG84" s="31"/>
      <c r="JYH84" s="31"/>
      <c r="JYI84" s="31"/>
      <c r="JYJ84" s="31"/>
      <c r="JYK84" s="31"/>
      <c r="JYL84" s="31"/>
      <c r="JYM84" s="31"/>
      <c r="JYN84" s="31"/>
      <c r="JYO84" s="31"/>
      <c r="JYP84" s="31"/>
      <c r="JYQ84" s="31"/>
      <c r="JYR84" s="31"/>
      <c r="JYS84" s="31"/>
      <c r="JYT84" s="31"/>
      <c r="JYU84" s="31"/>
      <c r="JYV84" s="31"/>
      <c r="JYW84" s="31"/>
      <c r="JYX84" s="31"/>
      <c r="JYY84" s="31"/>
      <c r="JYZ84" s="31"/>
      <c r="JZA84" s="31"/>
      <c r="JZB84" s="31"/>
      <c r="JZC84" s="31"/>
      <c r="JZD84" s="31"/>
      <c r="JZE84" s="31"/>
      <c r="JZF84" s="31"/>
      <c r="JZG84" s="31"/>
      <c r="JZH84" s="31"/>
      <c r="JZI84" s="31"/>
      <c r="JZJ84" s="31"/>
      <c r="JZK84" s="31"/>
      <c r="JZL84" s="31"/>
      <c r="JZM84" s="31"/>
      <c r="JZN84" s="31"/>
      <c r="JZO84" s="31"/>
      <c r="JZP84" s="31"/>
      <c r="JZQ84" s="31"/>
      <c r="JZR84" s="31"/>
      <c r="JZS84" s="31"/>
      <c r="JZT84" s="31"/>
      <c r="JZU84" s="31"/>
      <c r="JZV84" s="31"/>
      <c r="JZW84" s="31"/>
      <c r="JZX84" s="31"/>
      <c r="JZY84" s="31"/>
      <c r="JZZ84" s="31"/>
      <c r="KAA84" s="31"/>
      <c r="KAB84" s="31"/>
      <c r="KAC84" s="31"/>
      <c r="KAD84" s="31"/>
      <c r="KAE84" s="31"/>
      <c r="KAF84" s="31"/>
      <c r="KAG84" s="31"/>
      <c r="KAH84" s="31"/>
      <c r="KAI84" s="31"/>
      <c r="KAJ84" s="31"/>
      <c r="KAK84" s="31"/>
      <c r="KAL84" s="31"/>
      <c r="KAM84" s="31"/>
      <c r="KAN84" s="31"/>
      <c r="KAO84" s="31"/>
      <c r="KAP84" s="31"/>
      <c r="KAQ84" s="31"/>
      <c r="KAR84" s="31"/>
      <c r="KAS84" s="31"/>
      <c r="KAT84" s="31"/>
      <c r="KAU84" s="31"/>
      <c r="KAV84" s="31"/>
      <c r="KAW84" s="31"/>
      <c r="KAX84" s="31"/>
      <c r="KAY84" s="31"/>
      <c r="KAZ84" s="31"/>
      <c r="KBA84" s="31"/>
      <c r="KBB84" s="31"/>
      <c r="KBC84" s="31"/>
      <c r="KBD84" s="31"/>
      <c r="KBE84" s="31"/>
      <c r="KBF84" s="31"/>
      <c r="KBG84" s="31"/>
      <c r="KBH84" s="31"/>
      <c r="KBI84" s="31"/>
      <c r="KBJ84" s="31"/>
      <c r="KBK84" s="31"/>
      <c r="KBL84" s="31"/>
      <c r="KBM84" s="31"/>
      <c r="KBN84" s="31"/>
      <c r="KBO84" s="31"/>
      <c r="KBP84" s="31"/>
      <c r="KBQ84" s="31"/>
      <c r="KBR84" s="31"/>
      <c r="KBS84" s="31"/>
      <c r="KBT84" s="31"/>
      <c r="KBU84" s="31"/>
      <c r="KBV84" s="31"/>
      <c r="KBW84" s="31"/>
      <c r="KBX84" s="31"/>
      <c r="KBY84" s="31"/>
      <c r="KBZ84" s="31"/>
      <c r="KCA84" s="31"/>
      <c r="KCB84" s="31"/>
      <c r="KCC84" s="31"/>
      <c r="KCD84" s="31"/>
      <c r="KCE84" s="31"/>
      <c r="KCF84" s="31"/>
      <c r="KCG84" s="31"/>
      <c r="KCH84" s="31"/>
      <c r="KCI84" s="31"/>
      <c r="KCJ84" s="31"/>
      <c r="KCK84" s="31"/>
      <c r="KCL84" s="31"/>
      <c r="KCM84" s="31"/>
      <c r="KCN84" s="31"/>
      <c r="KCO84" s="31"/>
      <c r="KCP84" s="31"/>
      <c r="KCQ84" s="31"/>
      <c r="KCR84" s="31"/>
      <c r="KCS84" s="31"/>
      <c r="KCT84" s="31"/>
      <c r="KCU84" s="31"/>
      <c r="KCV84" s="31"/>
      <c r="KCW84" s="31"/>
      <c r="KCX84" s="31"/>
      <c r="KCY84" s="31"/>
      <c r="KCZ84" s="31"/>
      <c r="KDA84" s="31"/>
      <c r="KDB84" s="31"/>
      <c r="KDC84" s="31"/>
      <c r="KDD84" s="31"/>
      <c r="KDE84" s="31"/>
      <c r="KDF84" s="31"/>
      <c r="KDG84" s="31"/>
      <c r="KDH84" s="31"/>
      <c r="KDI84" s="31"/>
      <c r="KDJ84" s="31"/>
      <c r="KDK84" s="31"/>
      <c r="KDL84" s="31"/>
      <c r="KDM84" s="31"/>
      <c r="KDN84" s="31"/>
      <c r="KDO84" s="31"/>
      <c r="KDP84" s="31"/>
      <c r="KDQ84" s="31"/>
      <c r="KDR84" s="31"/>
      <c r="KDS84" s="31"/>
      <c r="KDT84" s="31"/>
      <c r="KDU84" s="31"/>
      <c r="KDV84" s="31"/>
      <c r="KDW84" s="31"/>
      <c r="KDX84" s="31"/>
      <c r="KDY84" s="31"/>
      <c r="KDZ84" s="31"/>
      <c r="KEA84" s="31"/>
      <c r="KEB84" s="31"/>
      <c r="KEC84" s="31"/>
      <c r="KED84" s="31"/>
      <c r="KEE84" s="31"/>
      <c r="KEF84" s="31"/>
      <c r="KEG84" s="31"/>
      <c r="KEH84" s="31"/>
      <c r="KEI84" s="31"/>
      <c r="KEJ84" s="31"/>
      <c r="KEK84" s="31"/>
      <c r="KEL84" s="31"/>
      <c r="KEM84" s="31"/>
      <c r="KEN84" s="31"/>
      <c r="KEO84" s="31"/>
      <c r="KEP84" s="31"/>
      <c r="KEQ84" s="31"/>
      <c r="KER84" s="31"/>
      <c r="KES84" s="31"/>
      <c r="KET84" s="31"/>
      <c r="KEU84" s="31"/>
      <c r="KEV84" s="31"/>
      <c r="KEW84" s="31"/>
      <c r="KEX84" s="31"/>
      <c r="KEY84" s="31"/>
      <c r="KEZ84" s="31"/>
      <c r="KFA84" s="31"/>
      <c r="KFB84" s="31"/>
      <c r="KFC84" s="31"/>
      <c r="KFD84" s="31"/>
      <c r="KFE84" s="31"/>
      <c r="KFF84" s="31"/>
      <c r="KFG84" s="31"/>
      <c r="KFH84" s="31"/>
      <c r="KFI84" s="31"/>
      <c r="KFJ84" s="31"/>
      <c r="KFK84" s="31"/>
      <c r="KFL84" s="31"/>
      <c r="KFM84" s="31"/>
      <c r="KFN84" s="31"/>
      <c r="KFO84" s="31"/>
      <c r="KFP84" s="31"/>
      <c r="KFQ84" s="31"/>
      <c r="KFR84" s="31"/>
      <c r="KFS84" s="31"/>
      <c r="KFT84" s="31"/>
      <c r="KFU84" s="31"/>
      <c r="KFV84" s="31"/>
      <c r="KFW84" s="31"/>
      <c r="KFX84" s="31"/>
      <c r="KFY84" s="31"/>
      <c r="KFZ84" s="31"/>
      <c r="KGA84" s="31"/>
      <c r="KGB84" s="31"/>
      <c r="KGC84" s="31"/>
      <c r="KGD84" s="31"/>
      <c r="KGE84" s="31"/>
      <c r="KGF84" s="31"/>
      <c r="KGG84" s="31"/>
      <c r="KGH84" s="31"/>
      <c r="KGI84" s="31"/>
      <c r="KGJ84" s="31"/>
      <c r="KGK84" s="31"/>
      <c r="KGL84" s="31"/>
      <c r="KGM84" s="31"/>
      <c r="KGN84" s="31"/>
      <c r="KGO84" s="31"/>
      <c r="KGP84" s="31"/>
      <c r="KGQ84" s="31"/>
      <c r="KGR84" s="31"/>
      <c r="KGS84" s="31"/>
      <c r="KGT84" s="31"/>
      <c r="KGU84" s="31"/>
      <c r="KGV84" s="31"/>
      <c r="KGW84" s="31"/>
      <c r="KGX84" s="31"/>
      <c r="KGY84" s="31"/>
      <c r="KGZ84" s="31"/>
      <c r="KHA84" s="31"/>
      <c r="KHB84" s="31"/>
      <c r="KHC84" s="31"/>
      <c r="KHD84" s="31"/>
      <c r="KHE84" s="31"/>
      <c r="KHF84" s="31"/>
      <c r="KHG84" s="31"/>
      <c r="KHH84" s="31"/>
      <c r="KHI84" s="31"/>
      <c r="KHJ84" s="31"/>
      <c r="KHK84" s="31"/>
      <c r="KHL84" s="31"/>
      <c r="KHM84" s="31"/>
      <c r="KHN84" s="31"/>
      <c r="KHO84" s="31"/>
      <c r="KHP84" s="31"/>
      <c r="KHQ84" s="31"/>
      <c r="KHR84" s="31"/>
      <c r="KHS84" s="31"/>
      <c r="KHT84" s="31"/>
      <c r="KHU84" s="31"/>
      <c r="KHV84" s="31"/>
      <c r="KHW84" s="31"/>
      <c r="KHX84" s="31"/>
      <c r="KHY84" s="31"/>
      <c r="KHZ84" s="31"/>
      <c r="KIA84" s="31"/>
      <c r="KIB84" s="31"/>
      <c r="KIC84" s="31"/>
      <c r="KID84" s="31"/>
      <c r="KIE84" s="31"/>
      <c r="KIF84" s="31"/>
      <c r="KIG84" s="31"/>
      <c r="KIH84" s="31"/>
      <c r="KII84" s="31"/>
      <c r="KIJ84" s="31"/>
      <c r="KIK84" s="31"/>
      <c r="KIL84" s="31"/>
      <c r="KIM84" s="31"/>
      <c r="KIN84" s="31"/>
      <c r="KIO84" s="31"/>
      <c r="KIP84" s="31"/>
      <c r="KIQ84" s="31"/>
      <c r="KIR84" s="31"/>
      <c r="KIS84" s="31"/>
      <c r="KIT84" s="31"/>
      <c r="KIU84" s="31"/>
      <c r="KIV84" s="31"/>
      <c r="KIW84" s="31"/>
      <c r="KIX84" s="31"/>
      <c r="KIY84" s="31"/>
      <c r="KIZ84" s="31"/>
      <c r="KJA84" s="31"/>
      <c r="KJB84" s="31"/>
      <c r="KJC84" s="31"/>
      <c r="KJD84" s="31"/>
      <c r="KJE84" s="31"/>
      <c r="KJF84" s="31"/>
      <c r="KJG84" s="31"/>
      <c r="KJH84" s="31"/>
      <c r="KJI84" s="31"/>
      <c r="KJJ84" s="31"/>
      <c r="KJK84" s="31"/>
      <c r="KJL84" s="31"/>
      <c r="KJM84" s="31"/>
      <c r="KJN84" s="31"/>
      <c r="KJO84" s="31"/>
      <c r="KJP84" s="31"/>
      <c r="KJQ84" s="31"/>
      <c r="KJR84" s="31"/>
      <c r="KJS84" s="31"/>
      <c r="KJT84" s="31"/>
      <c r="KJU84" s="31"/>
      <c r="KJV84" s="31"/>
      <c r="KJW84" s="31"/>
      <c r="KJX84" s="31"/>
      <c r="KJY84" s="31"/>
      <c r="KJZ84" s="31"/>
      <c r="KKA84" s="31"/>
      <c r="KKB84" s="31"/>
      <c r="KKC84" s="31"/>
      <c r="KKD84" s="31"/>
      <c r="KKE84" s="31"/>
      <c r="KKF84" s="31"/>
      <c r="KKG84" s="31"/>
      <c r="KKH84" s="31"/>
      <c r="KKI84" s="31"/>
      <c r="KKJ84" s="31"/>
      <c r="KKK84" s="31"/>
      <c r="KKL84" s="31"/>
      <c r="KKM84" s="31"/>
      <c r="KKN84" s="31"/>
      <c r="KKO84" s="31"/>
      <c r="KKP84" s="31"/>
      <c r="KKQ84" s="31"/>
      <c r="KKR84" s="31"/>
      <c r="KKS84" s="31"/>
      <c r="KKT84" s="31"/>
      <c r="KKU84" s="31"/>
      <c r="KKV84" s="31"/>
      <c r="KKW84" s="31"/>
      <c r="KKX84" s="31"/>
      <c r="KKY84" s="31"/>
      <c r="KKZ84" s="31"/>
      <c r="KLA84" s="31"/>
      <c r="KLB84" s="31"/>
      <c r="KLC84" s="31"/>
      <c r="KLD84" s="31"/>
      <c r="KLE84" s="31"/>
      <c r="KLF84" s="31"/>
      <c r="KLG84" s="31"/>
      <c r="KLH84" s="31"/>
      <c r="KLI84" s="31"/>
      <c r="KLJ84" s="31"/>
      <c r="KLK84" s="31"/>
      <c r="KLL84" s="31"/>
      <c r="KLM84" s="31"/>
      <c r="KLN84" s="31"/>
      <c r="KLO84" s="31"/>
      <c r="KLP84" s="31"/>
      <c r="KLQ84" s="31"/>
      <c r="KLR84" s="31"/>
      <c r="KLS84" s="31"/>
      <c r="KLT84" s="31"/>
      <c r="KLU84" s="31"/>
      <c r="KLV84" s="31"/>
      <c r="KLW84" s="31"/>
      <c r="KLX84" s="31"/>
      <c r="KLY84" s="31"/>
      <c r="KLZ84" s="31"/>
      <c r="KMA84" s="31"/>
      <c r="KMB84" s="31"/>
      <c r="KMC84" s="31"/>
      <c r="KMD84" s="31"/>
      <c r="KME84" s="31"/>
      <c r="KMF84" s="31"/>
      <c r="KMG84" s="31"/>
      <c r="KMH84" s="31"/>
      <c r="KMI84" s="31"/>
      <c r="KMJ84" s="31"/>
      <c r="KMK84" s="31"/>
      <c r="KML84" s="31"/>
      <c r="KMM84" s="31"/>
      <c r="KMN84" s="31"/>
      <c r="KMO84" s="31"/>
      <c r="KMP84" s="31"/>
      <c r="KMQ84" s="31"/>
      <c r="KMR84" s="31"/>
      <c r="KMS84" s="31"/>
      <c r="KMT84" s="31"/>
      <c r="KMU84" s="31"/>
      <c r="KMV84" s="31"/>
      <c r="KMW84" s="31"/>
      <c r="KMX84" s="31"/>
      <c r="KMY84" s="31"/>
      <c r="KMZ84" s="31"/>
      <c r="KNA84" s="31"/>
      <c r="KNB84" s="31"/>
      <c r="KNC84" s="31"/>
      <c r="KND84" s="31"/>
      <c r="KNE84" s="31"/>
      <c r="KNF84" s="31"/>
      <c r="KNG84" s="31"/>
      <c r="KNH84" s="31"/>
      <c r="KNI84" s="31"/>
      <c r="KNJ84" s="31"/>
      <c r="KNK84" s="31"/>
      <c r="KNL84" s="31"/>
      <c r="KNM84" s="31"/>
      <c r="KNN84" s="31"/>
      <c r="KNO84" s="31"/>
      <c r="KNP84" s="31"/>
      <c r="KNQ84" s="31"/>
      <c r="KNR84" s="31"/>
      <c r="KNS84" s="31"/>
      <c r="KNT84" s="31"/>
      <c r="KNU84" s="31"/>
      <c r="KNV84" s="31"/>
      <c r="KNW84" s="31"/>
      <c r="KNX84" s="31"/>
      <c r="KNY84" s="31"/>
      <c r="KNZ84" s="31"/>
      <c r="KOA84" s="31"/>
      <c r="KOB84" s="31"/>
      <c r="KOC84" s="31"/>
      <c r="KOD84" s="31"/>
      <c r="KOE84" s="31"/>
      <c r="KOF84" s="31"/>
      <c r="KOG84" s="31"/>
      <c r="KOH84" s="31"/>
      <c r="KOI84" s="31"/>
      <c r="KOJ84" s="31"/>
      <c r="KOK84" s="31"/>
      <c r="KOL84" s="31"/>
      <c r="KOM84" s="31"/>
      <c r="KON84" s="31"/>
      <c r="KOO84" s="31"/>
      <c r="KOP84" s="31"/>
      <c r="KOQ84" s="31"/>
      <c r="KOR84" s="31"/>
      <c r="KOS84" s="31"/>
      <c r="KOT84" s="31"/>
      <c r="KOU84" s="31"/>
      <c r="KOV84" s="31"/>
      <c r="KOW84" s="31"/>
      <c r="KOX84" s="31"/>
      <c r="KOY84" s="31"/>
      <c r="KOZ84" s="31"/>
      <c r="KPA84" s="31"/>
      <c r="KPB84" s="31"/>
      <c r="KPC84" s="31"/>
      <c r="KPD84" s="31"/>
      <c r="KPE84" s="31"/>
      <c r="KPF84" s="31"/>
      <c r="KPG84" s="31"/>
      <c r="KPH84" s="31"/>
      <c r="KPI84" s="31"/>
      <c r="KPJ84" s="31"/>
      <c r="KPK84" s="31"/>
      <c r="KPL84" s="31"/>
      <c r="KPM84" s="31"/>
      <c r="KPN84" s="31"/>
      <c r="KPO84" s="31"/>
      <c r="KPP84" s="31"/>
      <c r="KPQ84" s="31"/>
      <c r="KPR84" s="31"/>
      <c r="KPS84" s="31"/>
      <c r="KPT84" s="31"/>
      <c r="KPU84" s="31"/>
      <c r="KPV84" s="31"/>
      <c r="KPW84" s="31"/>
      <c r="KPX84" s="31"/>
      <c r="KPY84" s="31"/>
      <c r="KPZ84" s="31"/>
      <c r="KQA84" s="31"/>
      <c r="KQB84" s="31"/>
      <c r="KQC84" s="31"/>
      <c r="KQD84" s="31"/>
      <c r="KQE84" s="31"/>
      <c r="KQF84" s="31"/>
      <c r="KQG84" s="31"/>
      <c r="KQH84" s="31"/>
      <c r="KQI84" s="31"/>
      <c r="KQJ84" s="31"/>
      <c r="KQK84" s="31"/>
      <c r="KQL84" s="31"/>
      <c r="KQM84" s="31"/>
      <c r="KQN84" s="31"/>
      <c r="KQO84" s="31"/>
      <c r="KQP84" s="31"/>
      <c r="KQQ84" s="31"/>
      <c r="KQR84" s="31"/>
      <c r="KQS84" s="31"/>
      <c r="KQT84" s="31"/>
      <c r="KQU84" s="31"/>
      <c r="KQV84" s="31"/>
      <c r="KQW84" s="31"/>
      <c r="KQX84" s="31"/>
      <c r="KQY84" s="31"/>
      <c r="KQZ84" s="31"/>
      <c r="KRA84" s="31"/>
      <c r="KRB84" s="31"/>
      <c r="KRC84" s="31"/>
      <c r="KRD84" s="31"/>
      <c r="KRE84" s="31"/>
      <c r="KRF84" s="31"/>
      <c r="KRG84" s="31"/>
      <c r="KRH84" s="31"/>
      <c r="KRI84" s="31"/>
      <c r="KRJ84" s="31"/>
      <c r="KRK84" s="31"/>
      <c r="KRL84" s="31"/>
      <c r="KRM84" s="31"/>
      <c r="KRN84" s="31"/>
      <c r="KRO84" s="31"/>
      <c r="KRP84" s="31"/>
      <c r="KRQ84" s="31"/>
      <c r="KRR84" s="31"/>
      <c r="KRS84" s="31"/>
      <c r="KRT84" s="31"/>
      <c r="KRU84" s="31"/>
      <c r="KRV84" s="31"/>
      <c r="KRW84" s="31"/>
      <c r="KRX84" s="31"/>
      <c r="KRY84" s="31"/>
      <c r="KRZ84" s="31"/>
      <c r="KSA84" s="31"/>
      <c r="KSB84" s="31"/>
      <c r="KSC84" s="31"/>
      <c r="KSD84" s="31"/>
      <c r="KSE84" s="31"/>
      <c r="KSF84" s="31"/>
      <c r="KSG84" s="31"/>
      <c r="KSH84" s="31"/>
      <c r="KSI84" s="31"/>
      <c r="KSJ84" s="31"/>
      <c r="KSK84" s="31"/>
      <c r="KSL84" s="31"/>
      <c r="KSM84" s="31"/>
      <c r="KSN84" s="31"/>
      <c r="KSO84" s="31"/>
      <c r="KSP84" s="31"/>
      <c r="KSQ84" s="31"/>
      <c r="KSR84" s="31"/>
      <c r="KSS84" s="31"/>
      <c r="KST84" s="31"/>
      <c r="KSU84" s="31"/>
      <c r="KSV84" s="31"/>
      <c r="KSW84" s="31"/>
      <c r="KSX84" s="31"/>
      <c r="KSY84" s="31"/>
      <c r="KSZ84" s="31"/>
      <c r="KTA84" s="31"/>
      <c r="KTB84" s="31"/>
      <c r="KTC84" s="31"/>
      <c r="KTD84" s="31"/>
      <c r="KTE84" s="31"/>
      <c r="KTF84" s="31"/>
      <c r="KTG84" s="31"/>
      <c r="KTH84" s="31"/>
      <c r="KTI84" s="31"/>
      <c r="KTJ84" s="31"/>
      <c r="KTK84" s="31"/>
      <c r="KTL84" s="31"/>
      <c r="KTM84" s="31"/>
      <c r="KTN84" s="31"/>
      <c r="KTO84" s="31"/>
      <c r="KTP84" s="31"/>
      <c r="KTQ84" s="31"/>
      <c r="KTR84" s="31"/>
      <c r="KTS84" s="31"/>
      <c r="KTT84" s="31"/>
      <c r="KTU84" s="31"/>
      <c r="KTV84" s="31"/>
      <c r="KTW84" s="31"/>
      <c r="KTX84" s="31"/>
      <c r="KTY84" s="31"/>
      <c r="KTZ84" s="31"/>
      <c r="KUA84" s="31"/>
      <c r="KUB84" s="31"/>
      <c r="KUC84" s="31"/>
      <c r="KUD84" s="31"/>
      <c r="KUE84" s="31"/>
      <c r="KUF84" s="31"/>
      <c r="KUG84" s="31"/>
      <c r="KUH84" s="31"/>
      <c r="KUI84" s="31"/>
      <c r="KUJ84" s="31"/>
      <c r="KUK84" s="31"/>
      <c r="KUL84" s="31"/>
      <c r="KUM84" s="31"/>
      <c r="KUN84" s="31"/>
      <c r="KUO84" s="31"/>
      <c r="KUP84" s="31"/>
      <c r="KUQ84" s="31"/>
      <c r="KUR84" s="31"/>
      <c r="KUS84" s="31"/>
      <c r="KUT84" s="31"/>
      <c r="KUU84" s="31"/>
      <c r="KUV84" s="31"/>
      <c r="KUW84" s="31"/>
      <c r="KUX84" s="31"/>
      <c r="KUY84" s="31"/>
      <c r="KUZ84" s="31"/>
      <c r="KVA84" s="31"/>
      <c r="KVB84" s="31"/>
      <c r="KVC84" s="31"/>
      <c r="KVD84" s="31"/>
      <c r="KVE84" s="31"/>
      <c r="KVF84" s="31"/>
      <c r="KVG84" s="31"/>
      <c r="KVH84" s="31"/>
      <c r="KVI84" s="31"/>
      <c r="KVJ84" s="31"/>
      <c r="KVK84" s="31"/>
      <c r="KVL84" s="31"/>
      <c r="KVM84" s="31"/>
      <c r="KVN84" s="31"/>
      <c r="KVO84" s="31"/>
      <c r="KVP84" s="31"/>
      <c r="KVQ84" s="31"/>
      <c r="KVR84" s="31"/>
      <c r="KVS84" s="31"/>
      <c r="KVT84" s="31"/>
      <c r="KVU84" s="31"/>
      <c r="KVV84" s="31"/>
      <c r="KVW84" s="31"/>
      <c r="KVX84" s="31"/>
      <c r="KVY84" s="31"/>
      <c r="KVZ84" s="31"/>
      <c r="KWA84" s="31"/>
      <c r="KWB84" s="31"/>
      <c r="KWC84" s="31"/>
      <c r="KWD84" s="31"/>
      <c r="KWE84" s="31"/>
      <c r="KWF84" s="31"/>
      <c r="KWG84" s="31"/>
      <c r="KWH84" s="31"/>
      <c r="KWI84" s="31"/>
      <c r="KWJ84" s="31"/>
      <c r="KWK84" s="31"/>
      <c r="KWL84" s="31"/>
      <c r="KWM84" s="31"/>
      <c r="KWN84" s="31"/>
      <c r="KWO84" s="31"/>
      <c r="KWP84" s="31"/>
      <c r="KWQ84" s="31"/>
      <c r="KWR84" s="31"/>
      <c r="KWS84" s="31"/>
      <c r="KWT84" s="31"/>
      <c r="KWU84" s="31"/>
      <c r="KWV84" s="31"/>
      <c r="KWW84" s="31"/>
      <c r="KWX84" s="31"/>
      <c r="KWY84" s="31"/>
      <c r="KWZ84" s="31"/>
      <c r="KXA84" s="31"/>
      <c r="KXB84" s="31"/>
      <c r="KXC84" s="31"/>
      <c r="KXD84" s="31"/>
      <c r="KXE84" s="31"/>
      <c r="KXF84" s="31"/>
      <c r="KXG84" s="31"/>
      <c r="KXH84" s="31"/>
      <c r="KXI84" s="31"/>
      <c r="KXJ84" s="31"/>
      <c r="KXK84" s="31"/>
      <c r="KXL84" s="31"/>
      <c r="KXM84" s="31"/>
      <c r="KXN84" s="31"/>
      <c r="KXO84" s="31"/>
      <c r="KXP84" s="31"/>
      <c r="KXQ84" s="31"/>
      <c r="KXR84" s="31"/>
      <c r="KXS84" s="31"/>
      <c r="KXT84" s="31"/>
      <c r="KXU84" s="31"/>
      <c r="KXV84" s="31"/>
      <c r="KXW84" s="31"/>
      <c r="KXX84" s="31"/>
      <c r="KXY84" s="31"/>
      <c r="KXZ84" s="31"/>
      <c r="KYA84" s="31"/>
      <c r="KYB84" s="31"/>
      <c r="KYC84" s="31"/>
      <c r="KYD84" s="31"/>
      <c r="KYE84" s="31"/>
      <c r="KYF84" s="31"/>
      <c r="KYG84" s="31"/>
      <c r="KYH84" s="31"/>
      <c r="KYI84" s="31"/>
      <c r="KYJ84" s="31"/>
      <c r="KYK84" s="31"/>
      <c r="KYL84" s="31"/>
      <c r="KYM84" s="31"/>
      <c r="KYN84" s="31"/>
      <c r="KYO84" s="31"/>
      <c r="KYP84" s="31"/>
      <c r="KYQ84" s="31"/>
      <c r="KYR84" s="31"/>
      <c r="KYS84" s="31"/>
      <c r="KYT84" s="31"/>
      <c r="KYU84" s="31"/>
      <c r="KYV84" s="31"/>
      <c r="KYW84" s="31"/>
      <c r="KYX84" s="31"/>
      <c r="KYY84" s="31"/>
      <c r="KYZ84" s="31"/>
      <c r="KZA84" s="31"/>
      <c r="KZB84" s="31"/>
      <c r="KZC84" s="31"/>
      <c r="KZD84" s="31"/>
      <c r="KZE84" s="31"/>
      <c r="KZF84" s="31"/>
      <c r="KZG84" s="31"/>
      <c r="KZH84" s="31"/>
      <c r="KZI84" s="31"/>
      <c r="KZJ84" s="31"/>
      <c r="KZK84" s="31"/>
      <c r="KZL84" s="31"/>
      <c r="KZM84" s="31"/>
      <c r="KZN84" s="31"/>
      <c r="KZO84" s="31"/>
      <c r="KZP84" s="31"/>
      <c r="KZQ84" s="31"/>
      <c r="KZR84" s="31"/>
      <c r="KZS84" s="31"/>
      <c r="KZT84" s="31"/>
      <c r="KZU84" s="31"/>
      <c r="KZV84" s="31"/>
      <c r="KZW84" s="31"/>
      <c r="KZX84" s="31"/>
      <c r="KZY84" s="31"/>
      <c r="KZZ84" s="31"/>
      <c r="LAA84" s="31"/>
      <c r="LAB84" s="31"/>
      <c r="LAC84" s="31"/>
      <c r="LAD84" s="31"/>
      <c r="LAE84" s="31"/>
      <c r="LAF84" s="31"/>
      <c r="LAG84" s="31"/>
      <c r="LAH84" s="31"/>
      <c r="LAI84" s="31"/>
      <c r="LAJ84" s="31"/>
      <c r="LAK84" s="31"/>
      <c r="LAL84" s="31"/>
      <c r="LAM84" s="31"/>
      <c r="LAN84" s="31"/>
      <c r="LAO84" s="31"/>
      <c r="LAP84" s="31"/>
      <c r="LAQ84" s="31"/>
      <c r="LAR84" s="31"/>
      <c r="LAS84" s="31"/>
      <c r="LAT84" s="31"/>
      <c r="LAU84" s="31"/>
      <c r="LAV84" s="31"/>
      <c r="LAW84" s="31"/>
      <c r="LAX84" s="31"/>
      <c r="LAY84" s="31"/>
      <c r="LAZ84" s="31"/>
      <c r="LBA84" s="31"/>
      <c r="LBB84" s="31"/>
      <c r="LBC84" s="31"/>
      <c r="LBD84" s="31"/>
      <c r="LBE84" s="31"/>
      <c r="LBF84" s="31"/>
      <c r="LBG84" s="31"/>
      <c r="LBH84" s="31"/>
      <c r="LBI84" s="31"/>
      <c r="LBJ84" s="31"/>
      <c r="LBK84" s="31"/>
      <c r="LBL84" s="31"/>
      <c r="LBM84" s="31"/>
      <c r="LBN84" s="31"/>
      <c r="LBO84" s="31"/>
      <c r="LBP84" s="31"/>
      <c r="LBQ84" s="31"/>
      <c r="LBR84" s="31"/>
      <c r="LBS84" s="31"/>
      <c r="LBT84" s="31"/>
      <c r="LBU84" s="31"/>
      <c r="LBV84" s="31"/>
      <c r="LBW84" s="31"/>
      <c r="LBX84" s="31"/>
      <c r="LBY84" s="31"/>
      <c r="LBZ84" s="31"/>
      <c r="LCA84" s="31"/>
      <c r="LCB84" s="31"/>
      <c r="LCC84" s="31"/>
      <c r="LCD84" s="31"/>
      <c r="LCE84" s="31"/>
      <c r="LCF84" s="31"/>
      <c r="LCG84" s="31"/>
      <c r="LCH84" s="31"/>
      <c r="LCI84" s="31"/>
      <c r="LCJ84" s="31"/>
      <c r="LCK84" s="31"/>
      <c r="LCL84" s="31"/>
      <c r="LCM84" s="31"/>
      <c r="LCN84" s="31"/>
      <c r="LCO84" s="31"/>
      <c r="LCP84" s="31"/>
      <c r="LCQ84" s="31"/>
      <c r="LCR84" s="31"/>
      <c r="LCS84" s="31"/>
      <c r="LCT84" s="31"/>
      <c r="LCU84" s="31"/>
      <c r="LCV84" s="31"/>
      <c r="LCW84" s="31"/>
      <c r="LCX84" s="31"/>
      <c r="LCY84" s="31"/>
      <c r="LCZ84" s="31"/>
      <c r="LDA84" s="31"/>
      <c r="LDB84" s="31"/>
      <c r="LDC84" s="31"/>
      <c r="LDD84" s="31"/>
      <c r="LDE84" s="31"/>
      <c r="LDF84" s="31"/>
      <c r="LDG84" s="31"/>
      <c r="LDH84" s="31"/>
      <c r="LDI84" s="31"/>
      <c r="LDJ84" s="31"/>
      <c r="LDK84" s="31"/>
      <c r="LDL84" s="31"/>
      <c r="LDM84" s="31"/>
      <c r="LDN84" s="31"/>
      <c r="LDO84" s="31"/>
      <c r="LDP84" s="31"/>
      <c r="LDQ84" s="31"/>
      <c r="LDR84" s="31"/>
      <c r="LDS84" s="31"/>
      <c r="LDT84" s="31"/>
      <c r="LDU84" s="31"/>
      <c r="LDV84" s="31"/>
      <c r="LDW84" s="31"/>
      <c r="LDX84" s="31"/>
      <c r="LDY84" s="31"/>
      <c r="LDZ84" s="31"/>
      <c r="LEA84" s="31"/>
      <c r="LEB84" s="31"/>
      <c r="LEC84" s="31"/>
      <c r="LED84" s="31"/>
      <c r="LEE84" s="31"/>
      <c r="LEF84" s="31"/>
      <c r="LEG84" s="31"/>
      <c r="LEH84" s="31"/>
      <c r="LEI84" s="31"/>
      <c r="LEJ84" s="31"/>
      <c r="LEK84" s="31"/>
      <c r="LEL84" s="31"/>
      <c r="LEM84" s="31"/>
      <c r="LEN84" s="31"/>
      <c r="LEO84" s="31"/>
      <c r="LEP84" s="31"/>
      <c r="LEQ84" s="31"/>
      <c r="LER84" s="31"/>
      <c r="LES84" s="31"/>
      <c r="LET84" s="31"/>
      <c r="LEU84" s="31"/>
      <c r="LEV84" s="31"/>
      <c r="LEW84" s="31"/>
      <c r="LEX84" s="31"/>
      <c r="LEY84" s="31"/>
      <c r="LEZ84" s="31"/>
      <c r="LFA84" s="31"/>
      <c r="LFB84" s="31"/>
      <c r="LFC84" s="31"/>
      <c r="LFD84" s="31"/>
      <c r="LFE84" s="31"/>
      <c r="LFF84" s="31"/>
      <c r="LFG84" s="31"/>
      <c r="LFH84" s="31"/>
      <c r="LFI84" s="31"/>
      <c r="LFJ84" s="31"/>
      <c r="LFK84" s="31"/>
      <c r="LFL84" s="31"/>
      <c r="LFM84" s="31"/>
      <c r="LFN84" s="31"/>
      <c r="LFO84" s="31"/>
      <c r="LFP84" s="31"/>
      <c r="LFQ84" s="31"/>
      <c r="LFR84" s="31"/>
      <c r="LFS84" s="31"/>
      <c r="LFT84" s="31"/>
      <c r="LFU84" s="31"/>
      <c r="LFV84" s="31"/>
      <c r="LFW84" s="31"/>
      <c r="LFX84" s="31"/>
      <c r="LFY84" s="31"/>
      <c r="LFZ84" s="31"/>
      <c r="LGA84" s="31"/>
      <c r="LGB84" s="31"/>
      <c r="LGC84" s="31"/>
      <c r="LGD84" s="31"/>
      <c r="LGE84" s="31"/>
      <c r="LGF84" s="31"/>
      <c r="LGG84" s="31"/>
      <c r="LGH84" s="31"/>
      <c r="LGI84" s="31"/>
      <c r="LGJ84" s="31"/>
      <c r="LGK84" s="31"/>
      <c r="LGL84" s="31"/>
      <c r="LGM84" s="31"/>
      <c r="LGN84" s="31"/>
      <c r="LGO84" s="31"/>
      <c r="LGP84" s="31"/>
      <c r="LGQ84" s="31"/>
      <c r="LGR84" s="31"/>
      <c r="LGS84" s="31"/>
      <c r="LGT84" s="31"/>
      <c r="LGU84" s="31"/>
      <c r="LGV84" s="31"/>
      <c r="LGW84" s="31"/>
      <c r="LGX84" s="31"/>
      <c r="LGY84" s="31"/>
      <c r="LGZ84" s="31"/>
      <c r="LHA84" s="31"/>
      <c r="LHB84" s="31"/>
      <c r="LHC84" s="31"/>
      <c r="LHD84" s="31"/>
      <c r="LHE84" s="31"/>
      <c r="LHF84" s="31"/>
      <c r="LHG84" s="31"/>
      <c r="LHH84" s="31"/>
      <c r="LHI84" s="31"/>
      <c r="LHJ84" s="31"/>
      <c r="LHK84" s="31"/>
      <c r="LHL84" s="31"/>
      <c r="LHM84" s="31"/>
      <c r="LHN84" s="31"/>
      <c r="LHO84" s="31"/>
      <c r="LHP84" s="31"/>
      <c r="LHQ84" s="31"/>
      <c r="LHR84" s="31"/>
      <c r="LHS84" s="31"/>
      <c r="LHT84" s="31"/>
      <c r="LHU84" s="31"/>
      <c r="LHV84" s="31"/>
      <c r="LHW84" s="31"/>
      <c r="LHX84" s="31"/>
      <c r="LHY84" s="31"/>
      <c r="LHZ84" s="31"/>
      <c r="LIA84" s="31"/>
      <c r="LIB84" s="31"/>
      <c r="LIC84" s="31"/>
      <c r="LID84" s="31"/>
      <c r="LIE84" s="31"/>
      <c r="LIF84" s="31"/>
      <c r="LIG84" s="31"/>
      <c r="LIH84" s="31"/>
      <c r="LII84" s="31"/>
      <c r="LIJ84" s="31"/>
      <c r="LIK84" s="31"/>
      <c r="LIL84" s="31"/>
      <c r="LIM84" s="31"/>
      <c r="LIN84" s="31"/>
      <c r="LIO84" s="31"/>
      <c r="LIP84" s="31"/>
      <c r="LIQ84" s="31"/>
      <c r="LIR84" s="31"/>
      <c r="LIS84" s="31"/>
      <c r="LIT84" s="31"/>
      <c r="LIU84" s="31"/>
      <c r="LIV84" s="31"/>
      <c r="LIW84" s="31"/>
      <c r="LIX84" s="31"/>
      <c r="LIY84" s="31"/>
      <c r="LIZ84" s="31"/>
      <c r="LJA84" s="31"/>
      <c r="LJB84" s="31"/>
      <c r="LJC84" s="31"/>
      <c r="LJD84" s="31"/>
      <c r="LJE84" s="31"/>
      <c r="LJF84" s="31"/>
      <c r="LJG84" s="31"/>
      <c r="LJH84" s="31"/>
      <c r="LJI84" s="31"/>
      <c r="LJJ84" s="31"/>
      <c r="LJK84" s="31"/>
      <c r="LJL84" s="31"/>
      <c r="LJM84" s="31"/>
      <c r="LJN84" s="31"/>
      <c r="LJO84" s="31"/>
      <c r="LJP84" s="31"/>
      <c r="LJQ84" s="31"/>
      <c r="LJR84" s="31"/>
      <c r="LJS84" s="31"/>
      <c r="LJT84" s="31"/>
      <c r="LJU84" s="31"/>
      <c r="LJV84" s="31"/>
      <c r="LJW84" s="31"/>
      <c r="LJX84" s="31"/>
      <c r="LJY84" s="31"/>
      <c r="LJZ84" s="31"/>
      <c r="LKA84" s="31"/>
      <c r="LKB84" s="31"/>
      <c r="LKC84" s="31"/>
      <c r="LKD84" s="31"/>
      <c r="LKE84" s="31"/>
      <c r="LKF84" s="31"/>
      <c r="LKG84" s="31"/>
      <c r="LKH84" s="31"/>
      <c r="LKI84" s="31"/>
      <c r="LKJ84" s="31"/>
      <c r="LKK84" s="31"/>
      <c r="LKL84" s="31"/>
      <c r="LKM84" s="31"/>
      <c r="LKN84" s="31"/>
      <c r="LKO84" s="31"/>
      <c r="LKP84" s="31"/>
      <c r="LKQ84" s="31"/>
      <c r="LKR84" s="31"/>
      <c r="LKS84" s="31"/>
      <c r="LKT84" s="31"/>
      <c r="LKU84" s="31"/>
      <c r="LKV84" s="31"/>
      <c r="LKW84" s="31"/>
      <c r="LKX84" s="31"/>
      <c r="LKY84" s="31"/>
      <c r="LKZ84" s="31"/>
      <c r="LLA84" s="31"/>
      <c r="LLB84" s="31"/>
      <c r="LLC84" s="31"/>
      <c r="LLD84" s="31"/>
      <c r="LLE84" s="31"/>
      <c r="LLF84" s="31"/>
      <c r="LLG84" s="31"/>
      <c r="LLH84" s="31"/>
      <c r="LLI84" s="31"/>
      <c r="LLJ84" s="31"/>
      <c r="LLK84" s="31"/>
      <c r="LLL84" s="31"/>
      <c r="LLM84" s="31"/>
      <c r="LLN84" s="31"/>
      <c r="LLO84" s="31"/>
      <c r="LLP84" s="31"/>
      <c r="LLQ84" s="31"/>
      <c r="LLR84" s="31"/>
      <c r="LLS84" s="31"/>
      <c r="LLT84" s="31"/>
      <c r="LLU84" s="31"/>
      <c r="LLV84" s="31"/>
      <c r="LLW84" s="31"/>
      <c r="LLX84" s="31"/>
      <c r="LLY84" s="31"/>
      <c r="LLZ84" s="31"/>
      <c r="LMA84" s="31"/>
      <c r="LMB84" s="31"/>
      <c r="LMC84" s="31"/>
      <c r="LMD84" s="31"/>
      <c r="LME84" s="31"/>
      <c r="LMF84" s="31"/>
      <c r="LMG84" s="31"/>
      <c r="LMH84" s="31"/>
      <c r="LMI84" s="31"/>
      <c r="LMJ84" s="31"/>
      <c r="LMK84" s="31"/>
      <c r="LML84" s="31"/>
      <c r="LMM84" s="31"/>
      <c r="LMN84" s="31"/>
      <c r="LMO84" s="31"/>
      <c r="LMP84" s="31"/>
      <c r="LMQ84" s="31"/>
      <c r="LMR84" s="31"/>
      <c r="LMS84" s="31"/>
      <c r="LMT84" s="31"/>
      <c r="LMU84" s="31"/>
      <c r="LMV84" s="31"/>
      <c r="LMW84" s="31"/>
      <c r="LMX84" s="31"/>
      <c r="LMY84" s="31"/>
      <c r="LMZ84" s="31"/>
      <c r="LNA84" s="31"/>
      <c r="LNB84" s="31"/>
      <c r="LNC84" s="31"/>
      <c r="LND84" s="31"/>
      <c r="LNE84" s="31"/>
      <c r="LNF84" s="31"/>
      <c r="LNG84" s="31"/>
      <c r="LNH84" s="31"/>
      <c r="LNI84" s="31"/>
      <c r="LNJ84" s="31"/>
      <c r="LNK84" s="31"/>
      <c r="LNL84" s="31"/>
      <c r="LNM84" s="31"/>
      <c r="LNN84" s="31"/>
      <c r="LNO84" s="31"/>
      <c r="LNP84" s="31"/>
      <c r="LNQ84" s="31"/>
      <c r="LNR84" s="31"/>
      <c r="LNS84" s="31"/>
      <c r="LNT84" s="31"/>
      <c r="LNU84" s="31"/>
      <c r="LNV84" s="31"/>
      <c r="LNW84" s="31"/>
      <c r="LNX84" s="31"/>
      <c r="LNY84" s="31"/>
      <c r="LNZ84" s="31"/>
      <c r="LOA84" s="31"/>
      <c r="LOB84" s="31"/>
      <c r="LOC84" s="31"/>
      <c r="LOD84" s="31"/>
      <c r="LOE84" s="31"/>
      <c r="LOF84" s="31"/>
      <c r="LOG84" s="31"/>
      <c r="LOH84" s="31"/>
      <c r="LOI84" s="31"/>
      <c r="LOJ84" s="31"/>
      <c r="LOK84" s="31"/>
      <c r="LOL84" s="31"/>
      <c r="LOM84" s="31"/>
      <c r="LON84" s="31"/>
      <c r="LOO84" s="31"/>
      <c r="LOP84" s="31"/>
      <c r="LOQ84" s="31"/>
      <c r="LOR84" s="31"/>
      <c r="LOS84" s="31"/>
      <c r="LOT84" s="31"/>
      <c r="LOU84" s="31"/>
      <c r="LOV84" s="31"/>
      <c r="LOW84" s="31"/>
      <c r="LOX84" s="31"/>
      <c r="LOY84" s="31"/>
      <c r="LOZ84" s="31"/>
      <c r="LPA84" s="31"/>
      <c r="LPB84" s="31"/>
      <c r="LPC84" s="31"/>
      <c r="LPD84" s="31"/>
      <c r="LPE84" s="31"/>
      <c r="LPF84" s="31"/>
      <c r="LPG84" s="31"/>
      <c r="LPH84" s="31"/>
      <c r="LPI84" s="31"/>
      <c r="LPJ84" s="31"/>
      <c r="LPK84" s="31"/>
      <c r="LPL84" s="31"/>
      <c r="LPM84" s="31"/>
      <c r="LPN84" s="31"/>
      <c r="LPO84" s="31"/>
      <c r="LPP84" s="31"/>
      <c r="LPQ84" s="31"/>
      <c r="LPR84" s="31"/>
      <c r="LPS84" s="31"/>
      <c r="LPT84" s="31"/>
      <c r="LPU84" s="31"/>
      <c r="LPV84" s="31"/>
      <c r="LPW84" s="31"/>
      <c r="LPX84" s="31"/>
      <c r="LPY84" s="31"/>
      <c r="LPZ84" s="31"/>
      <c r="LQA84" s="31"/>
      <c r="LQB84" s="31"/>
      <c r="LQC84" s="31"/>
      <c r="LQD84" s="31"/>
      <c r="LQE84" s="31"/>
      <c r="LQF84" s="31"/>
      <c r="LQG84" s="31"/>
      <c r="LQH84" s="31"/>
      <c r="LQI84" s="31"/>
      <c r="LQJ84" s="31"/>
      <c r="LQK84" s="31"/>
      <c r="LQL84" s="31"/>
      <c r="LQM84" s="31"/>
      <c r="LQN84" s="31"/>
      <c r="LQO84" s="31"/>
      <c r="LQP84" s="31"/>
      <c r="LQQ84" s="31"/>
      <c r="LQR84" s="31"/>
      <c r="LQS84" s="31"/>
      <c r="LQT84" s="31"/>
      <c r="LQU84" s="31"/>
      <c r="LQV84" s="31"/>
      <c r="LQW84" s="31"/>
      <c r="LQX84" s="31"/>
      <c r="LQY84" s="31"/>
      <c r="LQZ84" s="31"/>
      <c r="LRA84" s="31"/>
      <c r="LRB84" s="31"/>
      <c r="LRC84" s="31"/>
      <c r="LRD84" s="31"/>
      <c r="LRE84" s="31"/>
      <c r="LRF84" s="31"/>
      <c r="LRG84" s="31"/>
      <c r="LRH84" s="31"/>
      <c r="LRI84" s="31"/>
      <c r="LRJ84" s="31"/>
      <c r="LRK84" s="31"/>
      <c r="LRL84" s="31"/>
      <c r="LRM84" s="31"/>
      <c r="LRN84" s="31"/>
      <c r="LRO84" s="31"/>
      <c r="LRP84" s="31"/>
      <c r="LRQ84" s="31"/>
      <c r="LRR84" s="31"/>
      <c r="LRS84" s="31"/>
      <c r="LRT84" s="31"/>
      <c r="LRU84" s="31"/>
      <c r="LRV84" s="31"/>
      <c r="LRW84" s="31"/>
      <c r="LRX84" s="31"/>
      <c r="LRY84" s="31"/>
      <c r="LRZ84" s="31"/>
      <c r="LSA84" s="31"/>
      <c r="LSB84" s="31"/>
      <c r="LSC84" s="31"/>
      <c r="LSD84" s="31"/>
      <c r="LSE84" s="31"/>
      <c r="LSF84" s="31"/>
      <c r="LSG84" s="31"/>
      <c r="LSH84" s="31"/>
      <c r="LSI84" s="31"/>
      <c r="LSJ84" s="31"/>
      <c r="LSK84" s="31"/>
      <c r="LSL84" s="31"/>
      <c r="LSM84" s="31"/>
      <c r="LSN84" s="31"/>
      <c r="LSO84" s="31"/>
      <c r="LSP84" s="31"/>
      <c r="LSQ84" s="31"/>
      <c r="LSR84" s="31"/>
      <c r="LSS84" s="31"/>
      <c r="LST84" s="31"/>
      <c r="LSU84" s="31"/>
      <c r="LSV84" s="31"/>
      <c r="LSW84" s="31"/>
      <c r="LSX84" s="31"/>
      <c r="LSY84" s="31"/>
      <c r="LSZ84" s="31"/>
      <c r="LTA84" s="31"/>
      <c r="LTB84" s="31"/>
      <c r="LTC84" s="31"/>
      <c r="LTD84" s="31"/>
      <c r="LTE84" s="31"/>
      <c r="LTF84" s="31"/>
      <c r="LTG84" s="31"/>
      <c r="LTH84" s="31"/>
      <c r="LTI84" s="31"/>
      <c r="LTJ84" s="31"/>
      <c r="LTK84" s="31"/>
      <c r="LTL84" s="31"/>
      <c r="LTM84" s="31"/>
      <c r="LTN84" s="31"/>
      <c r="LTO84" s="31"/>
      <c r="LTP84" s="31"/>
      <c r="LTQ84" s="31"/>
      <c r="LTR84" s="31"/>
      <c r="LTS84" s="31"/>
      <c r="LTT84" s="31"/>
      <c r="LTU84" s="31"/>
      <c r="LTV84" s="31"/>
      <c r="LTW84" s="31"/>
      <c r="LTX84" s="31"/>
      <c r="LTY84" s="31"/>
      <c r="LTZ84" s="31"/>
      <c r="LUA84" s="31"/>
      <c r="LUB84" s="31"/>
      <c r="LUC84" s="31"/>
      <c r="LUD84" s="31"/>
      <c r="LUE84" s="31"/>
      <c r="LUF84" s="31"/>
      <c r="LUG84" s="31"/>
      <c r="LUH84" s="31"/>
      <c r="LUI84" s="31"/>
      <c r="LUJ84" s="31"/>
      <c r="LUK84" s="31"/>
      <c r="LUL84" s="31"/>
      <c r="LUM84" s="31"/>
      <c r="LUN84" s="31"/>
      <c r="LUO84" s="31"/>
      <c r="LUP84" s="31"/>
      <c r="LUQ84" s="31"/>
      <c r="LUR84" s="31"/>
      <c r="LUS84" s="31"/>
      <c r="LUT84" s="31"/>
      <c r="LUU84" s="31"/>
      <c r="LUV84" s="31"/>
      <c r="LUW84" s="31"/>
      <c r="LUX84" s="31"/>
      <c r="LUY84" s="31"/>
      <c r="LUZ84" s="31"/>
      <c r="LVA84" s="31"/>
      <c r="LVB84" s="31"/>
      <c r="LVC84" s="31"/>
      <c r="LVD84" s="31"/>
      <c r="LVE84" s="31"/>
      <c r="LVF84" s="31"/>
      <c r="LVG84" s="31"/>
      <c r="LVH84" s="31"/>
      <c r="LVI84" s="31"/>
      <c r="LVJ84" s="31"/>
      <c r="LVK84" s="31"/>
      <c r="LVL84" s="31"/>
      <c r="LVM84" s="31"/>
      <c r="LVN84" s="31"/>
      <c r="LVO84" s="31"/>
      <c r="LVP84" s="31"/>
      <c r="LVQ84" s="31"/>
      <c r="LVR84" s="31"/>
      <c r="LVS84" s="31"/>
      <c r="LVT84" s="31"/>
      <c r="LVU84" s="31"/>
      <c r="LVV84" s="31"/>
      <c r="LVW84" s="31"/>
      <c r="LVX84" s="31"/>
      <c r="LVY84" s="31"/>
      <c r="LVZ84" s="31"/>
      <c r="LWA84" s="31"/>
      <c r="LWB84" s="31"/>
      <c r="LWC84" s="31"/>
      <c r="LWD84" s="31"/>
      <c r="LWE84" s="31"/>
      <c r="LWF84" s="31"/>
      <c r="LWG84" s="31"/>
      <c r="LWH84" s="31"/>
      <c r="LWI84" s="31"/>
      <c r="LWJ84" s="31"/>
      <c r="LWK84" s="31"/>
      <c r="LWL84" s="31"/>
      <c r="LWM84" s="31"/>
      <c r="LWN84" s="31"/>
      <c r="LWO84" s="31"/>
      <c r="LWP84" s="31"/>
      <c r="LWQ84" s="31"/>
      <c r="LWR84" s="31"/>
      <c r="LWS84" s="31"/>
      <c r="LWT84" s="31"/>
      <c r="LWU84" s="31"/>
      <c r="LWV84" s="31"/>
      <c r="LWW84" s="31"/>
      <c r="LWX84" s="31"/>
      <c r="LWY84" s="31"/>
      <c r="LWZ84" s="31"/>
      <c r="LXA84" s="31"/>
      <c r="LXB84" s="31"/>
      <c r="LXC84" s="31"/>
      <c r="LXD84" s="31"/>
      <c r="LXE84" s="31"/>
      <c r="LXF84" s="31"/>
      <c r="LXG84" s="31"/>
      <c r="LXH84" s="31"/>
      <c r="LXI84" s="31"/>
      <c r="LXJ84" s="31"/>
      <c r="LXK84" s="31"/>
      <c r="LXL84" s="31"/>
      <c r="LXM84" s="31"/>
      <c r="LXN84" s="31"/>
      <c r="LXO84" s="31"/>
      <c r="LXP84" s="31"/>
      <c r="LXQ84" s="31"/>
      <c r="LXR84" s="31"/>
      <c r="LXS84" s="31"/>
      <c r="LXT84" s="31"/>
      <c r="LXU84" s="31"/>
      <c r="LXV84" s="31"/>
      <c r="LXW84" s="31"/>
      <c r="LXX84" s="31"/>
      <c r="LXY84" s="31"/>
      <c r="LXZ84" s="31"/>
      <c r="LYA84" s="31"/>
      <c r="LYB84" s="31"/>
      <c r="LYC84" s="31"/>
      <c r="LYD84" s="31"/>
      <c r="LYE84" s="31"/>
      <c r="LYF84" s="31"/>
      <c r="LYG84" s="31"/>
      <c r="LYH84" s="31"/>
      <c r="LYI84" s="31"/>
      <c r="LYJ84" s="31"/>
      <c r="LYK84" s="31"/>
      <c r="LYL84" s="31"/>
      <c r="LYM84" s="31"/>
      <c r="LYN84" s="31"/>
      <c r="LYO84" s="31"/>
      <c r="LYP84" s="31"/>
      <c r="LYQ84" s="31"/>
      <c r="LYR84" s="31"/>
      <c r="LYS84" s="31"/>
      <c r="LYT84" s="31"/>
      <c r="LYU84" s="31"/>
      <c r="LYV84" s="31"/>
      <c r="LYW84" s="31"/>
      <c r="LYX84" s="31"/>
      <c r="LYY84" s="31"/>
      <c r="LYZ84" s="31"/>
      <c r="LZA84" s="31"/>
      <c r="LZB84" s="31"/>
      <c r="LZC84" s="31"/>
      <c r="LZD84" s="31"/>
      <c r="LZE84" s="31"/>
      <c r="LZF84" s="31"/>
      <c r="LZG84" s="31"/>
      <c r="LZH84" s="31"/>
      <c r="LZI84" s="31"/>
      <c r="LZJ84" s="31"/>
      <c r="LZK84" s="31"/>
      <c r="LZL84" s="31"/>
      <c r="LZM84" s="31"/>
      <c r="LZN84" s="31"/>
      <c r="LZO84" s="31"/>
      <c r="LZP84" s="31"/>
      <c r="LZQ84" s="31"/>
      <c r="LZR84" s="31"/>
      <c r="LZS84" s="31"/>
      <c r="LZT84" s="31"/>
      <c r="LZU84" s="31"/>
      <c r="LZV84" s="31"/>
      <c r="LZW84" s="31"/>
      <c r="LZX84" s="31"/>
      <c r="LZY84" s="31"/>
      <c r="LZZ84" s="31"/>
      <c r="MAA84" s="31"/>
      <c r="MAB84" s="31"/>
      <c r="MAC84" s="31"/>
      <c r="MAD84" s="31"/>
      <c r="MAE84" s="31"/>
      <c r="MAF84" s="31"/>
      <c r="MAG84" s="31"/>
      <c r="MAH84" s="31"/>
      <c r="MAI84" s="31"/>
      <c r="MAJ84" s="31"/>
      <c r="MAK84" s="31"/>
      <c r="MAL84" s="31"/>
      <c r="MAM84" s="31"/>
      <c r="MAN84" s="31"/>
      <c r="MAO84" s="31"/>
      <c r="MAP84" s="31"/>
      <c r="MAQ84" s="31"/>
      <c r="MAR84" s="31"/>
      <c r="MAS84" s="31"/>
      <c r="MAT84" s="31"/>
      <c r="MAU84" s="31"/>
      <c r="MAV84" s="31"/>
      <c r="MAW84" s="31"/>
      <c r="MAX84" s="31"/>
      <c r="MAY84" s="31"/>
      <c r="MAZ84" s="31"/>
      <c r="MBA84" s="31"/>
      <c r="MBB84" s="31"/>
      <c r="MBC84" s="31"/>
      <c r="MBD84" s="31"/>
      <c r="MBE84" s="31"/>
      <c r="MBF84" s="31"/>
      <c r="MBG84" s="31"/>
      <c r="MBH84" s="31"/>
      <c r="MBI84" s="31"/>
      <c r="MBJ84" s="31"/>
      <c r="MBK84" s="31"/>
      <c r="MBL84" s="31"/>
      <c r="MBM84" s="31"/>
      <c r="MBN84" s="31"/>
      <c r="MBO84" s="31"/>
      <c r="MBP84" s="31"/>
      <c r="MBQ84" s="31"/>
      <c r="MBR84" s="31"/>
      <c r="MBS84" s="31"/>
      <c r="MBT84" s="31"/>
      <c r="MBU84" s="31"/>
      <c r="MBV84" s="31"/>
      <c r="MBW84" s="31"/>
      <c r="MBX84" s="31"/>
      <c r="MBY84" s="31"/>
      <c r="MBZ84" s="31"/>
      <c r="MCA84" s="31"/>
      <c r="MCB84" s="31"/>
      <c r="MCC84" s="31"/>
      <c r="MCD84" s="31"/>
      <c r="MCE84" s="31"/>
      <c r="MCF84" s="31"/>
      <c r="MCG84" s="31"/>
      <c r="MCH84" s="31"/>
      <c r="MCI84" s="31"/>
      <c r="MCJ84" s="31"/>
      <c r="MCK84" s="31"/>
      <c r="MCL84" s="31"/>
      <c r="MCM84" s="31"/>
      <c r="MCN84" s="31"/>
      <c r="MCO84" s="31"/>
      <c r="MCP84" s="31"/>
      <c r="MCQ84" s="31"/>
      <c r="MCR84" s="31"/>
      <c r="MCS84" s="31"/>
      <c r="MCT84" s="31"/>
      <c r="MCU84" s="31"/>
      <c r="MCV84" s="31"/>
      <c r="MCW84" s="31"/>
      <c r="MCX84" s="31"/>
      <c r="MCY84" s="31"/>
      <c r="MCZ84" s="31"/>
      <c r="MDA84" s="31"/>
      <c r="MDB84" s="31"/>
      <c r="MDC84" s="31"/>
      <c r="MDD84" s="31"/>
      <c r="MDE84" s="31"/>
      <c r="MDF84" s="31"/>
      <c r="MDG84" s="31"/>
      <c r="MDH84" s="31"/>
      <c r="MDI84" s="31"/>
      <c r="MDJ84" s="31"/>
      <c r="MDK84" s="31"/>
      <c r="MDL84" s="31"/>
      <c r="MDM84" s="31"/>
      <c r="MDN84" s="31"/>
      <c r="MDO84" s="31"/>
      <c r="MDP84" s="31"/>
      <c r="MDQ84" s="31"/>
      <c r="MDR84" s="31"/>
      <c r="MDS84" s="31"/>
      <c r="MDT84" s="31"/>
      <c r="MDU84" s="31"/>
      <c r="MDV84" s="31"/>
      <c r="MDW84" s="31"/>
      <c r="MDX84" s="31"/>
      <c r="MDY84" s="31"/>
      <c r="MDZ84" s="31"/>
      <c r="MEA84" s="31"/>
      <c r="MEB84" s="31"/>
      <c r="MEC84" s="31"/>
      <c r="MED84" s="31"/>
      <c r="MEE84" s="31"/>
      <c r="MEF84" s="31"/>
      <c r="MEG84" s="31"/>
      <c r="MEH84" s="31"/>
      <c r="MEI84" s="31"/>
      <c r="MEJ84" s="31"/>
      <c r="MEK84" s="31"/>
      <c r="MEL84" s="31"/>
      <c r="MEM84" s="31"/>
      <c r="MEN84" s="31"/>
      <c r="MEO84" s="31"/>
      <c r="MEP84" s="31"/>
      <c r="MEQ84" s="31"/>
      <c r="MER84" s="31"/>
      <c r="MES84" s="31"/>
      <c r="MET84" s="31"/>
      <c r="MEU84" s="31"/>
      <c r="MEV84" s="31"/>
      <c r="MEW84" s="31"/>
      <c r="MEX84" s="31"/>
      <c r="MEY84" s="31"/>
      <c r="MEZ84" s="31"/>
      <c r="MFA84" s="31"/>
      <c r="MFB84" s="31"/>
      <c r="MFC84" s="31"/>
      <c r="MFD84" s="31"/>
      <c r="MFE84" s="31"/>
      <c r="MFF84" s="31"/>
      <c r="MFG84" s="31"/>
      <c r="MFH84" s="31"/>
      <c r="MFI84" s="31"/>
      <c r="MFJ84" s="31"/>
      <c r="MFK84" s="31"/>
      <c r="MFL84" s="31"/>
      <c r="MFM84" s="31"/>
      <c r="MFN84" s="31"/>
      <c r="MFO84" s="31"/>
      <c r="MFP84" s="31"/>
      <c r="MFQ84" s="31"/>
      <c r="MFR84" s="31"/>
      <c r="MFS84" s="31"/>
      <c r="MFT84" s="31"/>
      <c r="MFU84" s="31"/>
      <c r="MFV84" s="31"/>
      <c r="MFW84" s="31"/>
      <c r="MFX84" s="31"/>
      <c r="MFY84" s="31"/>
      <c r="MFZ84" s="31"/>
      <c r="MGA84" s="31"/>
      <c r="MGB84" s="31"/>
      <c r="MGC84" s="31"/>
      <c r="MGD84" s="31"/>
      <c r="MGE84" s="31"/>
      <c r="MGF84" s="31"/>
      <c r="MGG84" s="31"/>
      <c r="MGH84" s="31"/>
      <c r="MGI84" s="31"/>
      <c r="MGJ84" s="31"/>
      <c r="MGK84" s="31"/>
      <c r="MGL84" s="31"/>
      <c r="MGM84" s="31"/>
      <c r="MGN84" s="31"/>
      <c r="MGO84" s="31"/>
      <c r="MGP84" s="31"/>
      <c r="MGQ84" s="31"/>
      <c r="MGR84" s="31"/>
      <c r="MGS84" s="31"/>
      <c r="MGT84" s="31"/>
      <c r="MGU84" s="31"/>
      <c r="MGV84" s="31"/>
      <c r="MGW84" s="31"/>
      <c r="MGX84" s="31"/>
      <c r="MGY84" s="31"/>
      <c r="MGZ84" s="31"/>
      <c r="MHA84" s="31"/>
      <c r="MHB84" s="31"/>
      <c r="MHC84" s="31"/>
      <c r="MHD84" s="31"/>
      <c r="MHE84" s="31"/>
      <c r="MHF84" s="31"/>
      <c r="MHG84" s="31"/>
      <c r="MHH84" s="31"/>
      <c r="MHI84" s="31"/>
      <c r="MHJ84" s="31"/>
      <c r="MHK84" s="31"/>
      <c r="MHL84" s="31"/>
      <c r="MHM84" s="31"/>
      <c r="MHN84" s="31"/>
      <c r="MHO84" s="31"/>
      <c r="MHP84" s="31"/>
      <c r="MHQ84" s="31"/>
      <c r="MHR84" s="31"/>
      <c r="MHS84" s="31"/>
      <c r="MHT84" s="31"/>
      <c r="MHU84" s="31"/>
      <c r="MHV84" s="31"/>
      <c r="MHW84" s="31"/>
      <c r="MHX84" s="31"/>
      <c r="MHY84" s="31"/>
      <c r="MHZ84" s="31"/>
      <c r="MIA84" s="31"/>
      <c r="MIB84" s="31"/>
      <c r="MIC84" s="31"/>
      <c r="MID84" s="31"/>
      <c r="MIE84" s="31"/>
      <c r="MIF84" s="31"/>
      <c r="MIG84" s="31"/>
      <c r="MIH84" s="31"/>
      <c r="MII84" s="31"/>
      <c r="MIJ84" s="31"/>
      <c r="MIK84" s="31"/>
      <c r="MIL84" s="31"/>
      <c r="MIM84" s="31"/>
      <c r="MIN84" s="31"/>
      <c r="MIO84" s="31"/>
      <c r="MIP84" s="31"/>
      <c r="MIQ84" s="31"/>
      <c r="MIR84" s="31"/>
      <c r="MIS84" s="31"/>
      <c r="MIT84" s="31"/>
      <c r="MIU84" s="31"/>
      <c r="MIV84" s="31"/>
      <c r="MIW84" s="31"/>
      <c r="MIX84" s="31"/>
      <c r="MIY84" s="31"/>
      <c r="MIZ84" s="31"/>
      <c r="MJA84" s="31"/>
      <c r="MJB84" s="31"/>
      <c r="MJC84" s="31"/>
      <c r="MJD84" s="31"/>
      <c r="MJE84" s="31"/>
      <c r="MJF84" s="31"/>
      <c r="MJG84" s="31"/>
      <c r="MJH84" s="31"/>
      <c r="MJI84" s="31"/>
      <c r="MJJ84" s="31"/>
      <c r="MJK84" s="31"/>
      <c r="MJL84" s="31"/>
      <c r="MJM84" s="31"/>
      <c r="MJN84" s="31"/>
      <c r="MJO84" s="31"/>
      <c r="MJP84" s="31"/>
      <c r="MJQ84" s="31"/>
      <c r="MJR84" s="31"/>
      <c r="MJS84" s="31"/>
      <c r="MJT84" s="31"/>
      <c r="MJU84" s="31"/>
      <c r="MJV84" s="31"/>
      <c r="MJW84" s="31"/>
      <c r="MJX84" s="31"/>
      <c r="MJY84" s="31"/>
      <c r="MJZ84" s="31"/>
      <c r="MKA84" s="31"/>
      <c r="MKB84" s="31"/>
      <c r="MKC84" s="31"/>
      <c r="MKD84" s="31"/>
      <c r="MKE84" s="31"/>
      <c r="MKF84" s="31"/>
      <c r="MKG84" s="31"/>
      <c r="MKH84" s="31"/>
      <c r="MKI84" s="31"/>
      <c r="MKJ84" s="31"/>
      <c r="MKK84" s="31"/>
      <c r="MKL84" s="31"/>
      <c r="MKM84" s="31"/>
      <c r="MKN84" s="31"/>
      <c r="MKO84" s="31"/>
      <c r="MKP84" s="31"/>
      <c r="MKQ84" s="31"/>
      <c r="MKR84" s="31"/>
      <c r="MKS84" s="31"/>
      <c r="MKT84" s="31"/>
      <c r="MKU84" s="31"/>
      <c r="MKV84" s="31"/>
      <c r="MKW84" s="31"/>
      <c r="MKX84" s="31"/>
      <c r="MKY84" s="31"/>
      <c r="MKZ84" s="31"/>
      <c r="MLA84" s="31"/>
      <c r="MLB84" s="31"/>
      <c r="MLC84" s="31"/>
      <c r="MLD84" s="31"/>
      <c r="MLE84" s="31"/>
      <c r="MLF84" s="31"/>
      <c r="MLG84" s="31"/>
      <c r="MLH84" s="31"/>
      <c r="MLI84" s="31"/>
      <c r="MLJ84" s="31"/>
      <c r="MLK84" s="31"/>
      <c r="MLL84" s="31"/>
      <c r="MLM84" s="31"/>
      <c r="MLN84" s="31"/>
      <c r="MLO84" s="31"/>
      <c r="MLP84" s="31"/>
      <c r="MLQ84" s="31"/>
      <c r="MLR84" s="31"/>
      <c r="MLS84" s="31"/>
      <c r="MLT84" s="31"/>
      <c r="MLU84" s="31"/>
      <c r="MLV84" s="31"/>
      <c r="MLW84" s="31"/>
      <c r="MLX84" s="31"/>
      <c r="MLY84" s="31"/>
      <c r="MLZ84" s="31"/>
      <c r="MMA84" s="31"/>
      <c r="MMB84" s="31"/>
      <c r="MMC84" s="31"/>
      <c r="MMD84" s="31"/>
      <c r="MME84" s="31"/>
      <c r="MMF84" s="31"/>
      <c r="MMG84" s="31"/>
      <c r="MMH84" s="31"/>
      <c r="MMI84" s="31"/>
      <c r="MMJ84" s="31"/>
      <c r="MMK84" s="31"/>
      <c r="MML84" s="31"/>
      <c r="MMM84" s="31"/>
      <c r="MMN84" s="31"/>
      <c r="MMO84" s="31"/>
      <c r="MMP84" s="31"/>
      <c r="MMQ84" s="31"/>
      <c r="MMR84" s="31"/>
      <c r="MMS84" s="31"/>
      <c r="MMT84" s="31"/>
      <c r="MMU84" s="31"/>
      <c r="MMV84" s="31"/>
      <c r="MMW84" s="31"/>
      <c r="MMX84" s="31"/>
      <c r="MMY84" s="31"/>
      <c r="MMZ84" s="31"/>
      <c r="MNA84" s="31"/>
      <c r="MNB84" s="31"/>
      <c r="MNC84" s="31"/>
      <c r="MND84" s="31"/>
      <c r="MNE84" s="31"/>
      <c r="MNF84" s="31"/>
      <c r="MNG84" s="31"/>
      <c r="MNH84" s="31"/>
      <c r="MNI84" s="31"/>
      <c r="MNJ84" s="31"/>
      <c r="MNK84" s="31"/>
      <c r="MNL84" s="31"/>
      <c r="MNM84" s="31"/>
      <c r="MNN84" s="31"/>
      <c r="MNO84" s="31"/>
      <c r="MNP84" s="31"/>
      <c r="MNQ84" s="31"/>
      <c r="MNR84" s="31"/>
      <c r="MNS84" s="31"/>
      <c r="MNT84" s="31"/>
      <c r="MNU84" s="31"/>
      <c r="MNV84" s="31"/>
      <c r="MNW84" s="31"/>
      <c r="MNX84" s="31"/>
      <c r="MNY84" s="31"/>
      <c r="MNZ84" s="31"/>
      <c r="MOA84" s="31"/>
      <c r="MOB84" s="31"/>
      <c r="MOC84" s="31"/>
      <c r="MOD84" s="31"/>
      <c r="MOE84" s="31"/>
      <c r="MOF84" s="31"/>
      <c r="MOG84" s="31"/>
      <c r="MOH84" s="31"/>
      <c r="MOI84" s="31"/>
      <c r="MOJ84" s="31"/>
      <c r="MOK84" s="31"/>
      <c r="MOL84" s="31"/>
      <c r="MOM84" s="31"/>
      <c r="MON84" s="31"/>
      <c r="MOO84" s="31"/>
      <c r="MOP84" s="31"/>
      <c r="MOQ84" s="31"/>
      <c r="MOR84" s="31"/>
      <c r="MOS84" s="31"/>
      <c r="MOT84" s="31"/>
      <c r="MOU84" s="31"/>
      <c r="MOV84" s="31"/>
      <c r="MOW84" s="31"/>
      <c r="MOX84" s="31"/>
      <c r="MOY84" s="31"/>
      <c r="MOZ84" s="31"/>
      <c r="MPA84" s="31"/>
      <c r="MPB84" s="31"/>
      <c r="MPC84" s="31"/>
      <c r="MPD84" s="31"/>
      <c r="MPE84" s="31"/>
      <c r="MPF84" s="31"/>
      <c r="MPG84" s="31"/>
      <c r="MPH84" s="31"/>
      <c r="MPI84" s="31"/>
      <c r="MPJ84" s="31"/>
      <c r="MPK84" s="31"/>
      <c r="MPL84" s="31"/>
      <c r="MPM84" s="31"/>
      <c r="MPN84" s="31"/>
      <c r="MPO84" s="31"/>
      <c r="MPP84" s="31"/>
      <c r="MPQ84" s="31"/>
      <c r="MPR84" s="31"/>
      <c r="MPS84" s="31"/>
      <c r="MPT84" s="31"/>
      <c r="MPU84" s="31"/>
      <c r="MPV84" s="31"/>
      <c r="MPW84" s="31"/>
      <c r="MPX84" s="31"/>
      <c r="MPY84" s="31"/>
      <c r="MPZ84" s="31"/>
      <c r="MQA84" s="31"/>
      <c r="MQB84" s="31"/>
      <c r="MQC84" s="31"/>
      <c r="MQD84" s="31"/>
      <c r="MQE84" s="31"/>
      <c r="MQF84" s="31"/>
      <c r="MQG84" s="31"/>
      <c r="MQH84" s="31"/>
      <c r="MQI84" s="31"/>
      <c r="MQJ84" s="31"/>
      <c r="MQK84" s="31"/>
      <c r="MQL84" s="31"/>
      <c r="MQM84" s="31"/>
      <c r="MQN84" s="31"/>
      <c r="MQO84" s="31"/>
      <c r="MQP84" s="31"/>
      <c r="MQQ84" s="31"/>
      <c r="MQR84" s="31"/>
      <c r="MQS84" s="31"/>
      <c r="MQT84" s="31"/>
      <c r="MQU84" s="31"/>
      <c r="MQV84" s="31"/>
      <c r="MQW84" s="31"/>
      <c r="MQX84" s="31"/>
      <c r="MQY84" s="31"/>
      <c r="MQZ84" s="31"/>
      <c r="MRA84" s="31"/>
      <c r="MRB84" s="31"/>
      <c r="MRC84" s="31"/>
      <c r="MRD84" s="31"/>
      <c r="MRE84" s="31"/>
      <c r="MRF84" s="31"/>
      <c r="MRG84" s="31"/>
      <c r="MRH84" s="31"/>
      <c r="MRI84" s="31"/>
      <c r="MRJ84" s="31"/>
      <c r="MRK84" s="31"/>
      <c r="MRL84" s="31"/>
      <c r="MRM84" s="31"/>
      <c r="MRN84" s="31"/>
      <c r="MRO84" s="31"/>
      <c r="MRP84" s="31"/>
      <c r="MRQ84" s="31"/>
      <c r="MRR84" s="31"/>
      <c r="MRS84" s="31"/>
      <c r="MRT84" s="31"/>
      <c r="MRU84" s="31"/>
      <c r="MRV84" s="31"/>
      <c r="MRW84" s="31"/>
      <c r="MRX84" s="31"/>
      <c r="MRY84" s="31"/>
      <c r="MRZ84" s="31"/>
      <c r="MSA84" s="31"/>
      <c r="MSB84" s="31"/>
      <c r="MSC84" s="31"/>
      <c r="MSD84" s="31"/>
      <c r="MSE84" s="31"/>
      <c r="MSF84" s="31"/>
      <c r="MSG84" s="31"/>
      <c r="MSH84" s="31"/>
      <c r="MSI84" s="31"/>
      <c r="MSJ84" s="31"/>
      <c r="MSK84" s="31"/>
      <c r="MSL84" s="31"/>
      <c r="MSM84" s="31"/>
      <c r="MSN84" s="31"/>
      <c r="MSO84" s="31"/>
      <c r="MSP84" s="31"/>
      <c r="MSQ84" s="31"/>
      <c r="MSR84" s="31"/>
      <c r="MSS84" s="31"/>
      <c r="MST84" s="31"/>
      <c r="MSU84" s="31"/>
      <c r="MSV84" s="31"/>
      <c r="MSW84" s="31"/>
      <c r="MSX84" s="31"/>
      <c r="MSY84" s="31"/>
      <c r="MSZ84" s="31"/>
      <c r="MTA84" s="31"/>
      <c r="MTB84" s="31"/>
      <c r="MTC84" s="31"/>
      <c r="MTD84" s="31"/>
      <c r="MTE84" s="31"/>
      <c r="MTF84" s="31"/>
      <c r="MTG84" s="31"/>
      <c r="MTH84" s="31"/>
      <c r="MTI84" s="31"/>
      <c r="MTJ84" s="31"/>
      <c r="MTK84" s="31"/>
      <c r="MTL84" s="31"/>
      <c r="MTM84" s="31"/>
      <c r="MTN84" s="31"/>
      <c r="MTO84" s="31"/>
      <c r="MTP84" s="31"/>
      <c r="MTQ84" s="31"/>
      <c r="MTR84" s="31"/>
      <c r="MTS84" s="31"/>
      <c r="MTT84" s="31"/>
      <c r="MTU84" s="31"/>
      <c r="MTV84" s="31"/>
      <c r="MTW84" s="31"/>
      <c r="MTX84" s="31"/>
      <c r="MTY84" s="31"/>
      <c r="MTZ84" s="31"/>
      <c r="MUA84" s="31"/>
      <c r="MUB84" s="31"/>
      <c r="MUC84" s="31"/>
      <c r="MUD84" s="31"/>
      <c r="MUE84" s="31"/>
      <c r="MUF84" s="31"/>
      <c r="MUG84" s="31"/>
      <c r="MUH84" s="31"/>
      <c r="MUI84" s="31"/>
      <c r="MUJ84" s="31"/>
      <c r="MUK84" s="31"/>
      <c r="MUL84" s="31"/>
      <c r="MUM84" s="31"/>
      <c r="MUN84" s="31"/>
      <c r="MUO84" s="31"/>
      <c r="MUP84" s="31"/>
      <c r="MUQ84" s="31"/>
      <c r="MUR84" s="31"/>
      <c r="MUS84" s="31"/>
      <c r="MUT84" s="31"/>
      <c r="MUU84" s="31"/>
      <c r="MUV84" s="31"/>
      <c r="MUW84" s="31"/>
      <c r="MUX84" s="31"/>
      <c r="MUY84" s="31"/>
      <c r="MUZ84" s="31"/>
      <c r="MVA84" s="31"/>
      <c r="MVB84" s="31"/>
      <c r="MVC84" s="31"/>
      <c r="MVD84" s="31"/>
      <c r="MVE84" s="31"/>
      <c r="MVF84" s="31"/>
      <c r="MVG84" s="31"/>
      <c r="MVH84" s="31"/>
      <c r="MVI84" s="31"/>
      <c r="MVJ84" s="31"/>
      <c r="MVK84" s="31"/>
      <c r="MVL84" s="31"/>
      <c r="MVM84" s="31"/>
      <c r="MVN84" s="31"/>
      <c r="MVO84" s="31"/>
      <c r="MVP84" s="31"/>
      <c r="MVQ84" s="31"/>
      <c r="MVR84" s="31"/>
      <c r="MVS84" s="31"/>
      <c r="MVT84" s="31"/>
      <c r="MVU84" s="31"/>
      <c r="MVV84" s="31"/>
      <c r="MVW84" s="31"/>
      <c r="MVX84" s="31"/>
      <c r="MVY84" s="31"/>
      <c r="MVZ84" s="31"/>
      <c r="MWA84" s="31"/>
      <c r="MWB84" s="31"/>
      <c r="MWC84" s="31"/>
      <c r="MWD84" s="31"/>
      <c r="MWE84" s="31"/>
      <c r="MWF84" s="31"/>
      <c r="MWG84" s="31"/>
      <c r="MWH84" s="31"/>
      <c r="MWI84" s="31"/>
      <c r="MWJ84" s="31"/>
      <c r="MWK84" s="31"/>
      <c r="MWL84" s="31"/>
      <c r="MWM84" s="31"/>
      <c r="MWN84" s="31"/>
      <c r="MWO84" s="31"/>
      <c r="MWP84" s="31"/>
      <c r="MWQ84" s="31"/>
      <c r="MWR84" s="31"/>
      <c r="MWS84" s="31"/>
      <c r="MWT84" s="31"/>
      <c r="MWU84" s="31"/>
      <c r="MWV84" s="31"/>
      <c r="MWW84" s="31"/>
      <c r="MWX84" s="31"/>
      <c r="MWY84" s="31"/>
      <c r="MWZ84" s="31"/>
      <c r="MXA84" s="31"/>
      <c r="MXB84" s="31"/>
      <c r="MXC84" s="31"/>
      <c r="MXD84" s="31"/>
      <c r="MXE84" s="31"/>
      <c r="MXF84" s="31"/>
      <c r="MXG84" s="31"/>
      <c r="MXH84" s="31"/>
      <c r="MXI84" s="31"/>
      <c r="MXJ84" s="31"/>
      <c r="MXK84" s="31"/>
      <c r="MXL84" s="31"/>
      <c r="MXM84" s="31"/>
      <c r="MXN84" s="31"/>
      <c r="MXO84" s="31"/>
      <c r="MXP84" s="31"/>
      <c r="MXQ84" s="31"/>
      <c r="MXR84" s="31"/>
      <c r="MXS84" s="31"/>
      <c r="MXT84" s="31"/>
      <c r="MXU84" s="31"/>
      <c r="MXV84" s="31"/>
      <c r="MXW84" s="31"/>
      <c r="MXX84" s="31"/>
      <c r="MXY84" s="31"/>
      <c r="MXZ84" s="31"/>
      <c r="MYA84" s="31"/>
      <c r="MYB84" s="31"/>
      <c r="MYC84" s="31"/>
      <c r="MYD84" s="31"/>
      <c r="MYE84" s="31"/>
      <c r="MYF84" s="31"/>
      <c r="MYG84" s="31"/>
      <c r="MYH84" s="31"/>
      <c r="MYI84" s="31"/>
      <c r="MYJ84" s="31"/>
      <c r="MYK84" s="31"/>
      <c r="MYL84" s="31"/>
      <c r="MYM84" s="31"/>
      <c r="MYN84" s="31"/>
      <c r="MYO84" s="31"/>
      <c r="MYP84" s="31"/>
      <c r="MYQ84" s="31"/>
      <c r="MYR84" s="31"/>
      <c r="MYS84" s="31"/>
      <c r="MYT84" s="31"/>
      <c r="MYU84" s="31"/>
      <c r="MYV84" s="31"/>
      <c r="MYW84" s="31"/>
      <c r="MYX84" s="31"/>
      <c r="MYY84" s="31"/>
      <c r="MYZ84" s="31"/>
      <c r="MZA84" s="31"/>
      <c r="MZB84" s="31"/>
      <c r="MZC84" s="31"/>
      <c r="MZD84" s="31"/>
      <c r="MZE84" s="31"/>
      <c r="MZF84" s="31"/>
      <c r="MZG84" s="31"/>
      <c r="MZH84" s="31"/>
      <c r="MZI84" s="31"/>
      <c r="MZJ84" s="31"/>
      <c r="MZK84" s="31"/>
      <c r="MZL84" s="31"/>
      <c r="MZM84" s="31"/>
      <c r="MZN84" s="31"/>
      <c r="MZO84" s="31"/>
      <c r="MZP84" s="31"/>
      <c r="MZQ84" s="31"/>
      <c r="MZR84" s="31"/>
      <c r="MZS84" s="31"/>
      <c r="MZT84" s="31"/>
      <c r="MZU84" s="31"/>
      <c r="MZV84" s="31"/>
      <c r="MZW84" s="31"/>
      <c r="MZX84" s="31"/>
      <c r="MZY84" s="31"/>
      <c r="MZZ84" s="31"/>
      <c r="NAA84" s="31"/>
      <c r="NAB84" s="31"/>
      <c r="NAC84" s="31"/>
      <c r="NAD84" s="31"/>
      <c r="NAE84" s="31"/>
      <c r="NAF84" s="31"/>
      <c r="NAG84" s="31"/>
      <c r="NAH84" s="31"/>
      <c r="NAI84" s="31"/>
      <c r="NAJ84" s="31"/>
      <c r="NAK84" s="31"/>
      <c r="NAL84" s="31"/>
      <c r="NAM84" s="31"/>
      <c r="NAN84" s="31"/>
      <c r="NAO84" s="31"/>
      <c r="NAP84" s="31"/>
      <c r="NAQ84" s="31"/>
      <c r="NAR84" s="31"/>
      <c r="NAS84" s="31"/>
      <c r="NAT84" s="31"/>
      <c r="NAU84" s="31"/>
      <c r="NAV84" s="31"/>
      <c r="NAW84" s="31"/>
      <c r="NAX84" s="31"/>
      <c r="NAY84" s="31"/>
      <c r="NAZ84" s="31"/>
      <c r="NBA84" s="31"/>
      <c r="NBB84" s="31"/>
      <c r="NBC84" s="31"/>
      <c r="NBD84" s="31"/>
      <c r="NBE84" s="31"/>
      <c r="NBF84" s="31"/>
      <c r="NBG84" s="31"/>
      <c r="NBH84" s="31"/>
      <c r="NBI84" s="31"/>
      <c r="NBJ84" s="31"/>
      <c r="NBK84" s="31"/>
      <c r="NBL84" s="31"/>
      <c r="NBM84" s="31"/>
      <c r="NBN84" s="31"/>
      <c r="NBO84" s="31"/>
      <c r="NBP84" s="31"/>
      <c r="NBQ84" s="31"/>
      <c r="NBR84" s="31"/>
      <c r="NBS84" s="31"/>
      <c r="NBT84" s="31"/>
      <c r="NBU84" s="31"/>
      <c r="NBV84" s="31"/>
      <c r="NBW84" s="31"/>
      <c r="NBX84" s="31"/>
      <c r="NBY84" s="31"/>
      <c r="NBZ84" s="31"/>
      <c r="NCA84" s="31"/>
      <c r="NCB84" s="31"/>
      <c r="NCC84" s="31"/>
      <c r="NCD84" s="31"/>
      <c r="NCE84" s="31"/>
      <c r="NCF84" s="31"/>
      <c r="NCG84" s="31"/>
      <c r="NCH84" s="31"/>
      <c r="NCI84" s="31"/>
      <c r="NCJ84" s="31"/>
      <c r="NCK84" s="31"/>
      <c r="NCL84" s="31"/>
      <c r="NCM84" s="31"/>
      <c r="NCN84" s="31"/>
      <c r="NCO84" s="31"/>
      <c r="NCP84" s="31"/>
      <c r="NCQ84" s="31"/>
      <c r="NCR84" s="31"/>
      <c r="NCS84" s="31"/>
      <c r="NCT84" s="31"/>
      <c r="NCU84" s="31"/>
      <c r="NCV84" s="31"/>
      <c r="NCW84" s="31"/>
      <c r="NCX84" s="31"/>
      <c r="NCY84" s="31"/>
      <c r="NCZ84" s="31"/>
      <c r="NDA84" s="31"/>
      <c r="NDB84" s="31"/>
      <c r="NDC84" s="31"/>
      <c r="NDD84" s="31"/>
      <c r="NDE84" s="31"/>
      <c r="NDF84" s="31"/>
      <c r="NDG84" s="31"/>
      <c r="NDH84" s="31"/>
      <c r="NDI84" s="31"/>
      <c r="NDJ84" s="31"/>
      <c r="NDK84" s="31"/>
      <c r="NDL84" s="31"/>
      <c r="NDM84" s="31"/>
      <c r="NDN84" s="31"/>
      <c r="NDO84" s="31"/>
      <c r="NDP84" s="31"/>
      <c r="NDQ84" s="31"/>
      <c r="NDR84" s="31"/>
      <c r="NDS84" s="31"/>
      <c r="NDT84" s="31"/>
      <c r="NDU84" s="31"/>
      <c r="NDV84" s="31"/>
      <c r="NDW84" s="31"/>
      <c r="NDX84" s="31"/>
      <c r="NDY84" s="31"/>
      <c r="NDZ84" s="31"/>
      <c r="NEA84" s="31"/>
      <c r="NEB84" s="31"/>
      <c r="NEC84" s="31"/>
      <c r="NED84" s="31"/>
      <c r="NEE84" s="31"/>
      <c r="NEF84" s="31"/>
      <c r="NEG84" s="31"/>
      <c r="NEH84" s="31"/>
      <c r="NEI84" s="31"/>
      <c r="NEJ84" s="31"/>
      <c r="NEK84" s="31"/>
      <c r="NEL84" s="31"/>
      <c r="NEM84" s="31"/>
      <c r="NEN84" s="31"/>
      <c r="NEO84" s="31"/>
      <c r="NEP84" s="31"/>
      <c r="NEQ84" s="31"/>
      <c r="NER84" s="31"/>
      <c r="NES84" s="31"/>
      <c r="NET84" s="31"/>
      <c r="NEU84" s="31"/>
      <c r="NEV84" s="31"/>
      <c r="NEW84" s="31"/>
      <c r="NEX84" s="31"/>
      <c r="NEY84" s="31"/>
      <c r="NEZ84" s="31"/>
      <c r="NFA84" s="31"/>
      <c r="NFB84" s="31"/>
      <c r="NFC84" s="31"/>
      <c r="NFD84" s="31"/>
      <c r="NFE84" s="31"/>
      <c r="NFF84" s="31"/>
      <c r="NFG84" s="31"/>
      <c r="NFH84" s="31"/>
      <c r="NFI84" s="31"/>
      <c r="NFJ84" s="31"/>
      <c r="NFK84" s="31"/>
      <c r="NFL84" s="31"/>
      <c r="NFM84" s="31"/>
      <c r="NFN84" s="31"/>
      <c r="NFO84" s="31"/>
      <c r="NFP84" s="31"/>
      <c r="NFQ84" s="31"/>
      <c r="NFR84" s="31"/>
      <c r="NFS84" s="31"/>
      <c r="NFT84" s="31"/>
      <c r="NFU84" s="31"/>
      <c r="NFV84" s="31"/>
      <c r="NFW84" s="31"/>
      <c r="NFX84" s="31"/>
      <c r="NFY84" s="31"/>
      <c r="NFZ84" s="31"/>
      <c r="NGA84" s="31"/>
      <c r="NGB84" s="31"/>
      <c r="NGC84" s="31"/>
      <c r="NGD84" s="31"/>
      <c r="NGE84" s="31"/>
      <c r="NGF84" s="31"/>
      <c r="NGG84" s="31"/>
      <c r="NGH84" s="31"/>
      <c r="NGI84" s="31"/>
      <c r="NGJ84" s="31"/>
      <c r="NGK84" s="31"/>
      <c r="NGL84" s="31"/>
      <c r="NGM84" s="31"/>
      <c r="NGN84" s="31"/>
      <c r="NGO84" s="31"/>
      <c r="NGP84" s="31"/>
      <c r="NGQ84" s="31"/>
      <c r="NGR84" s="31"/>
      <c r="NGS84" s="31"/>
      <c r="NGT84" s="31"/>
      <c r="NGU84" s="31"/>
      <c r="NGV84" s="31"/>
      <c r="NGW84" s="31"/>
      <c r="NGX84" s="31"/>
      <c r="NGY84" s="31"/>
      <c r="NGZ84" s="31"/>
      <c r="NHA84" s="31"/>
      <c r="NHB84" s="31"/>
      <c r="NHC84" s="31"/>
      <c r="NHD84" s="31"/>
      <c r="NHE84" s="31"/>
      <c r="NHF84" s="31"/>
      <c r="NHG84" s="31"/>
      <c r="NHH84" s="31"/>
      <c r="NHI84" s="31"/>
      <c r="NHJ84" s="31"/>
      <c r="NHK84" s="31"/>
      <c r="NHL84" s="31"/>
      <c r="NHM84" s="31"/>
      <c r="NHN84" s="31"/>
      <c r="NHO84" s="31"/>
      <c r="NHP84" s="31"/>
      <c r="NHQ84" s="31"/>
      <c r="NHR84" s="31"/>
      <c r="NHS84" s="31"/>
      <c r="NHT84" s="31"/>
      <c r="NHU84" s="31"/>
      <c r="NHV84" s="31"/>
      <c r="NHW84" s="31"/>
      <c r="NHX84" s="31"/>
      <c r="NHY84" s="31"/>
      <c r="NHZ84" s="31"/>
      <c r="NIA84" s="31"/>
      <c r="NIB84" s="31"/>
      <c r="NIC84" s="31"/>
      <c r="NID84" s="31"/>
      <c r="NIE84" s="31"/>
      <c r="NIF84" s="31"/>
      <c r="NIG84" s="31"/>
      <c r="NIH84" s="31"/>
      <c r="NII84" s="31"/>
      <c r="NIJ84" s="31"/>
      <c r="NIK84" s="31"/>
      <c r="NIL84" s="31"/>
      <c r="NIM84" s="31"/>
      <c r="NIN84" s="31"/>
      <c r="NIO84" s="31"/>
      <c r="NIP84" s="31"/>
      <c r="NIQ84" s="31"/>
      <c r="NIR84" s="31"/>
      <c r="NIS84" s="31"/>
      <c r="NIT84" s="31"/>
      <c r="NIU84" s="31"/>
      <c r="NIV84" s="31"/>
      <c r="NIW84" s="31"/>
      <c r="NIX84" s="31"/>
      <c r="NIY84" s="31"/>
      <c r="NIZ84" s="31"/>
      <c r="NJA84" s="31"/>
      <c r="NJB84" s="31"/>
      <c r="NJC84" s="31"/>
      <c r="NJD84" s="31"/>
      <c r="NJE84" s="31"/>
      <c r="NJF84" s="31"/>
      <c r="NJG84" s="31"/>
      <c r="NJH84" s="31"/>
      <c r="NJI84" s="31"/>
      <c r="NJJ84" s="31"/>
      <c r="NJK84" s="31"/>
      <c r="NJL84" s="31"/>
      <c r="NJM84" s="31"/>
      <c r="NJN84" s="31"/>
      <c r="NJO84" s="31"/>
      <c r="NJP84" s="31"/>
      <c r="NJQ84" s="31"/>
      <c r="NJR84" s="31"/>
      <c r="NJS84" s="31"/>
      <c r="NJT84" s="31"/>
      <c r="NJU84" s="31"/>
      <c r="NJV84" s="31"/>
      <c r="NJW84" s="31"/>
      <c r="NJX84" s="31"/>
      <c r="NJY84" s="31"/>
      <c r="NJZ84" s="31"/>
      <c r="NKA84" s="31"/>
      <c r="NKB84" s="31"/>
      <c r="NKC84" s="31"/>
      <c r="NKD84" s="31"/>
      <c r="NKE84" s="31"/>
      <c r="NKF84" s="31"/>
      <c r="NKG84" s="31"/>
      <c r="NKH84" s="31"/>
      <c r="NKI84" s="31"/>
      <c r="NKJ84" s="31"/>
      <c r="NKK84" s="31"/>
      <c r="NKL84" s="31"/>
      <c r="NKM84" s="31"/>
      <c r="NKN84" s="31"/>
      <c r="NKO84" s="31"/>
      <c r="NKP84" s="31"/>
      <c r="NKQ84" s="31"/>
      <c r="NKR84" s="31"/>
      <c r="NKS84" s="31"/>
      <c r="NKT84" s="31"/>
      <c r="NKU84" s="31"/>
      <c r="NKV84" s="31"/>
      <c r="NKW84" s="31"/>
      <c r="NKX84" s="31"/>
      <c r="NKY84" s="31"/>
      <c r="NKZ84" s="31"/>
      <c r="NLA84" s="31"/>
      <c r="NLB84" s="31"/>
      <c r="NLC84" s="31"/>
      <c r="NLD84" s="31"/>
      <c r="NLE84" s="31"/>
      <c r="NLF84" s="31"/>
      <c r="NLG84" s="31"/>
      <c r="NLH84" s="31"/>
      <c r="NLI84" s="31"/>
      <c r="NLJ84" s="31"/>
      <c r="NLK84" s="31"/>
      <c r="NLL84" s="31"/>
      <c r="NLM84" s="31"/>
      <c r="NLN84" s="31"/>
      <c r="NLO84" s="31"/>
      <c r="NLP84" s="31"/>
      <c r="NLQ84" s="31"/>
      <c r="NLR84" s="31"/>
      <c r="NLS84" s="31"/>
      <c r="NLT84" s="31"/>
      <c r="NLU84" s="31"/>
      <c r="NLV84" s="31"/>
      <c r="NLW84" s="31"/>
      <c r="NLX84" s="31"/>
      <c r="NLY84" s="31"/>
      <c r="NLZ84" s="31"/>
      <c r="NMA84" s="31"/>
      <c r="NMB84" s="31"/>
      <c r="NMC84" s="31"/>
      <c r="NMD84" s="31"/>
      <c r="NME84" s="31"/>
      <c r="NMF84" s="31"/>
      <c r="NMG84" s="31"/>
      <c r="NMH84" s="31"/>
      <c r="NMI84" s="31"/>
      <c r="NMJ84" s="31"/>
      <c r="NMK84" s="31"/>
      <c r="NML84" s="31"/>
      <c r="NMM84" s="31"/>
      <c r="NMN84" s="31"/>
      <c r="NMO84" s="31"/>
      <c r="NMP84" s="31"/>
      <c r="NMQ84" s="31"/>
      <c r="NMR84" s="31"/>
      <c r="NMS84" s="31"/>
      <c r="NMT84" s="31"/>
      <c r="NMU84" s="31"/>
      <c r="NMV84" s="31"/>
      <c r="NMW84" s="31"/>
      <c r="NMX84" s="31"/>
      <c r="NMY84" s="31"/>
      <c r="NMZ84" s="31"/>
      <c r="NNA84" s="31"/>
      <c r="NNB84" s="31"/>
      <c r="NNC84" s="31"/>
      <c r="NND84" s="31"/>
      <c r="NNE84" s="31"/>
      <c r="NNF84" s="31"/>
      <c r="NNG84" s="31"/>
      <c r="NNH84" s="31"/>
      <c r="NNI84" s="31"/>
      <c r="NNJ84" s="31"/>
      <c r="NNK84" s="31"/>
      <c r="NNL84" s="31"/>
      <c r="NNM84" s="31"/>
      <c r="NNN84" s="31"/>
      <c r="NNO84" s="31"/>
      <c r="NNP84" s="31"/>
      <c r="NNQ84" s="31"/>
      <c r="NNR84" s="31"/>
      <c r="NNS84" s="31"/>
      <c r="NNT84" s="31"/>
      <c r="NNU84" s="31"/>
      <c r="NNV84" s="31"/>
      <c r="NNW84" s="31"/>
      <c r="NNX84" s="31"/>
      <c r="NNY84" s="31"/>
      <c r="NNZ84" s="31"/>
      <c r="NOA84" s="31"/>
      <c r="NOB84" s="31"/>
      <c r="NOC84" s="31"/>
      <c r="NOD84" s="31"/>
      <c r="NOE84" s="31"/>
      <c r="NOF84" s="31"/>
      <c r="NOG84" s="31"/>
      <c r="NOH84" s="31"/>
      <c r="NOI84" s="31"/>
      <c r="NOJ84" s="31"/>
      <c r="NOK84" s="31"/>
      <c r="NOL84" s="31"/>
      <c r="NOM84" s="31"/>
      <c r="NON84" s="31"/>
      <c r="NOO84" s="31"/>
      <c r="NOP84" s="31"/>
      <c r="NOQ84" s="31"/>
      <c r="NOR84" s="31"/>
      <c r="NOS84" s="31"/>
      <c r="NOT84" s="31"/>
      <c r="NOU84" s="31"/>
      <c r="NOV84" s="31"/>
      <c r="NOW84" s="31"/>
      <c r="NOX84" s="31"/>
      <c r="NOY84" s="31"/>
      <c r="NOZ84" s="31"/>
      <c r="NPA84" s="31"/>
      <c r="NPB84" s="31"/>
      <c r="NPC84" s="31"/>
      <c r="NPD84" s="31"/>
      <c r="NPE84" s="31"/>
      <c r="NPF84" s="31"/>
      <c r="NPG84" s="31"/>
      <c r="NPH84" s="31"/>
      <c r="NPI84" s="31"/>
      <c r="NPJ84" s="31"/>
      <c r="NPK84" s="31"/>
      <c r="NPL84" s="31"/>
      <c r="NPM84" s="31"/>
      <c r="NPN84" s="31"/>
      <c r="NPO84" s="31"/>
      <c r="NPP84" s="31"/>
      <c r="NPQ84" s="31"/>
      <c r="NPR84" s="31"/>
      <c r="NPS84" s="31"/>
      <c r="NPT84" s="31"/>
      <c r="NPU84" s="31"/>
      <c r="NPV84" s="31"/>
      <c r="NPW84" s="31"/>
      <c r="NPX84" s="31"/>
      <c r="NPY84" s="31"/>
      <c r="NPZ84" s="31"/>
      <c r="NQA84" s="31"/>
      <c r="NQB84" s="31"/>
      <c r="NQC84" s="31"/>
      <c r="NQD84" s="31"/>
      <c r="NQE84" s="31"/>
      <c r="NQF84" s="31"/>
      <c r="NQG84" s="31"/>
      <c r="NQH84" s="31"/>
      <c r="NQI84" s="31"/>
      <c r="NQJ84" s="31"/>
      <c r="NQK84" s="31"/>
      <c r="NQL84" s="31"/>
      <c r="NQM84" s="31"/>
      <c r="NQN84" s="31"/>
      <c r="NQO84" s="31"/>
      <c r="NQP84" s="31"/>
      <c r="NQQ84" s="31"/>
      <c r="NQR84" s="31"/>
      <c r="NQS84" s="31"/>
      <c r="NQT84" s="31"/>
      <c r="NQU84" s="31"/>
      <c r="NQV84" s="31"/>
      <c r="NQW84" s="31"/>
      <c r="NQX84" s="31"/>
      <c r="NQY84" s="31"/>
      <c r="NQZ84" s="31"/>
      <c r="NRA84" s="31"/>
      <c r="NRB84" s="31"/>
      <c r="NRC84" s="31"/>
      <c r="NRD84" s="31"/>
      <c r="NRE84" s="31"/>
      <c r="NRF84" s="31"/>
      <c r="NRG84" s="31"/>
      <c r="NRH84" s="31"/>
      <c r="NRI84" s="31"/>
      <c r="NRJ84" s="31"/>
      <c r="NRK84" s="31"/>
      <c r="NRL84" s="31"/>
      <c r="NRM84" s="31"/>
      <c r="NRN84" s="31"/>
      <c r="NRO84" s="31"/>
      <c r="NRP84" s="31"/>
      <c r="NRQ84" s="31"/>
      <c r="NRR84" s="31"/>
      <c r="NRS84" s="31"/>
      <c r="NRT84" s="31"/>
      <c r="NRU84" s="31"/>
      <c r="NRV84" s="31"/>
      <c r="NRW84" s="31"/>
      <c r="NRX84" s="31"/>
      <c r="NRY84" s="31"/>
      <c r="NRZ84" s="31"/>
      <c r="NSA84" s="31"/>
      <c r="NSB84" s="31"/>
      <c r="NSC84" s="31"/>
      <c r="NSD84" s="31"/>
      <c r="NSE84" s="31"/>
      <c r="NSF84" s="31"/>
      <c r="NSG84" s="31"/>
      <c r="NSH84" s="31"/>
      <c r="NSI84" s="31"/>
      <c r="NSJ84" s="31"/>
      <c r="NSK84" s="31"/>
      <c r="NSL84" s="31"/>
      <c r="NSM84" s="31"/>
      <c r="NSN84" s="31"/>
      <c r="NSO84" s="31"/>
      <c r="NSP84" s="31"/>
      <c r="NSQ84" s="31"/>
      <c r="NSR84" s="31"/>
      <c r="NSS84" s="31"/>
      <c r="NST84" s="31"/>
      <c r="NSU84" s="31"/>
      <c r="NSV84" s="31"/>
      <c r="NSW84" s="31"/>
      <c r="NSX84" s="31"/>
      <c r="NSY84" s="31"/>
      <c r="NSZ84" s="31"/>
      <c r="NTA84" s="31"/>
      <c r="NTB84" s="31"/>
      <c r="NTC84" s="31"/>
      <c r="NTD84" s="31"/>
      <c r="NTE84" s="31"/>
      <c r="NTF84" s="31"/>
      <c r="NTG84" s="31"/>
      <c r="NTH84" s="31"/>
      <c r="NTI84" s="31"/>
      <c r="NTJ84" s="31"/>
      <c r="NTK84" s="31"/>
      <c r="NTL84" s="31"/>
      <c r="NTM84" s="31"/>
      <c r="NTN84" s="31"/>
      <c r="NTO84" s="31"/>
      <c r="NTP84" s="31"/>
      <c r="NTQ84" s="31"/>
      <c r="NTR84" s="31"/>
      <c r="NTS84" s="31"/>
      <c r="NTT84" s="31"/>
      <c r="NTU84" s="31"/>
      <c r="NTV84" s="31"/>
      <c r="NTW84" s="31"/>
      <c r="NTX84" s="31"/>
      <c r="NTY84" s="31"/>
      <c r="NTZ84" s="31"/>
      <c r="NUA84" s="31"/>
      <c r="NUB84" s="31"/>
      <c r="NUC84" s="31"/>
      <c r="NUD84" s="31"/>
      <c r="NUE84" s="31"/>
      <c r="NUF84" s="31"/>
      <c r="NUG84" s="31"/>
      <c r="NUH84" s="31"/>
      <c r="NUI84" s="31"/>
      <c r="NUJ84" s="31"/>
      <c r="NUK84" s="31"/>
      <c r="NUL84" s="31"/>
      <c r="NUM84" s="31"/>
      <c r="NUN84" s="31"/>
      <c r="NUO84" s="31"/>
      <c r="NUP84" s="31"/>
      <c r="NUQ84" s="31"/>
      <c r="NUR84" s="31"/>
      <c r="NUS84" s="31"/>
      <c r="NUT84" s="31"/>
      <c r="NUU84" s="31"/>
      <c r="NUV84" s="31"/>
      <c r="NUW84" s="31"/>
      <c r="NUX84" s="31"/>
      <c r="NUY84" s="31"/>
      <c r="NUZ84" s="31"/>
      <c r="NVA84" s="31"/>
      <c r="NVB84" s="31"/>
      <c r="NVC84" s="31"/>
      <c r="NVD84" s="31"/>
      <c r="NVE84" s="31"/>
      <c r="NVF84" s="31"/>
      <c r="NVG84" s="31"/>
      <c r="NVH84" s="31"/>
      <c r="NVI84" s="31"/>
      <c r="NVJ84" s="31"/>
      <c r="NVK84" s="31"/>
      <c r="NVL84" s="31"/>
      <c r="NVM84" s="31"/>
      <c r="NVN84" s="31"/>
      <c r="NVO84" s="31"/>
      <c r="NVP84" s="31"/>
      <c r="NVQ84" s="31"/>
      <c r="NVR84" s="31"/>
      <c r="NVS84" s="31"/>
      <c r="NVT84" s="31"/>
      <c r="NVU84" s="31"/>
      <c r="NVV84" s="31"/>
      <c r="NVW84" s="31"/>
      <c r="NVX84" s="31"/>
      <c r="NVY84" s="31"/>
      <c r="NVZ84" s="31"/>
      <c r="NWA84" s="31"/>
      <c r="NWB84" s="31"/>
      <c r="NWC84" s="31"/>
      <c r="NWD84" s="31"/>
      <c r="NWE84" s="31"/>
      <c r="NWF84" s="31"/>
      <c r="NWG84" s="31"/>
      <c r="NWH84" s="31"/>
      <c r="NWI84" s="31"/>
      <c r="NWJ84" s="31"/>
      <c r="NWK84" s="31"/>
      <c r="NWL84" s="31"/>
      <c r="NWM84" s="31"/>
      <c r="NWN84" s="31"/>
      <c r="NWO84" s="31"/>
      <c r="NWP84" s="31"/>
      <c r="NWQ84" s="31"/>
      <c r="NWR84" s="31"/>
      <c r="NWS84" s="31"/>
      <c r="NWT84" s="31"/>
      <c r="NWU84" s="31"/>
      <c r="NWV84" s="31"/>
      <c r="NWW84" s="31"/>
      <c r="NWX84" s="31"/>
      <c r="NWY84" s="31"/>
      <c r="NWZ84" s="31"/>
      <c r="NXA84" s="31"/>
      <c r="NXB84" s="31"/>
      <c r="NXC84" s="31"/>
      <c r="NXD84" s="31"/>
      <c r="NXE84" s="31"/>
      <c r="NXF84" s="31"/>
      <c r="NXG84" s="31"/>
      <c r="NXH84" s="31"/>
      <c r="NXI84" s="31"/>
      <c r="NXJ84" s="31"/>
      <c r="NXK84" s="31"/>
      <c r="NXL84" s="31"/>
      <c r="NXM84" s="31"/>
      <c r="NXN84" s="31"/>
      <c r="NXO84" s="31"/>
      <c r="NXP84" s="31"/>
      <c r="NXQ84" s="31"/>
      <c r="NXR84" s="31"/>
      <c r="NXS84" s="31"/>
      <c r="NXT84" s="31"/>
      <c r="NXU84" s="31"/>
      <c r="NXV84" s="31"/>
      <c r="NXW84" s="31"/>
      <c r="NXX84" s="31"/>
      <c r="NXY84" s="31"/>
      <c r="NXZ84" s="31"/>
      <c r="NYA84" s="31"/>
      <c r="NYB84" s="31"/>
      <c r="NYC84" s="31"/>
      <c r="NYD84" s="31"/>
      <c r="NYE84" s="31"/>
      <c r="NYF84" s="31"/>
      <c r="NYG84" s="31"/>
      <c r="NYH84" s="31"/>
      <c r="NYI84" s="31"/>
      <c r="NYJ84" s="31"/>
      <c r="NYK84" s="31"/>
      <c r="NYL84" s="31"/>
      <c r="NYM84" s="31"/>
      <c r="NYN84" s="31"/>
      <c r="NYO84" s="31"/>
      <c r="NYP84" s="31"/>
      <c r="NYQ84" s="31"/>
      <c r="NYR84" s="31"/>
      <c r="NYS84" s="31"/>
      <c r="NYT84" s="31"/>
      <c r="NYU84" s="31"/>
      <c r="NYV84" s="31"/>
      <c r="NYW84" s="31"/>
      <c r="NYX84" s="31"/>
      <c r="NYY84" s="31"/>
      <c r="NYZ84" s="31"/>
      <c r="NZA84" s="31"/>
      <c r="NZB84" s="31"/>
      <c r="NZC84" s="31"/>
      <c r="NZD84" s="31"/>
      <c r="NZE84" s="31"/>
      <c r="NZF84" s="31"/>
      <c r="NZG84" s="31"/>
      <c r="NZH84" s="31"/>
      <c r="NZI84" s="31"/>
      <c r="NZJ84" s="31"/>
      <c r="NZK84" s="31"/>
      <c r="NZL84" s="31"/>
      <c r="NZM84" s="31"/>
      <c r="NZN84" s="31"/>
      <c r="NZO84" s="31"/>
      <c r="NZP84" s="31"/>
      <c r="NZQ84" s="31"/>
      <c r="NZR84" s="31"/>
      <c r="NZS84" s="31"/>
      <c r="NZT84" s="31"/>
      <c r="NZU84" s="31"/>
      <c r="NZV84" s="31"/>
      <c r="NZW84" s="31"/>
      <c r="NZX84" s="31"/>
      <c r="NZY84" s="31"/>
      <c r="NZZ84" s="31"/>
      <c r="OAA84" s="31"/>
      <c r="OAB84" s="31"/>
      <c r="OAC84" s="31"/>
      <c r="OAD84" s="31"/>
      <c r="OAE84" s="31"/>
      <c r="OAF84" s="31"/>
      <c r="OAG84" s="31"/>
      <c r="OAH84" s="31"/>
      <c r="OAI84" s="31"/>
      <c r="OAJ84" s="31"/>
      <c r="OAK84" s="31"/>
      <c r="OAL84" s="31"/>
      <c r="OAM84" s="31"/>
      <c r="OAN84" s="31"/>
      <c r="OAO84" s="31"/>
      <c r="OAP84" s="31"/>
      <c r="OAQ84" s="31"/>
      <c r="OAR84" s="31"/>
      <c r="OAS84" s="31"/>
      <c r="OAT84" s="31"/>
      <c r="OAU84" s="31"/>
      <c r="OAV84" s="31"/>
      <c r="OAW84" s="31"/>
      <c r="OAX84" s="31"/>
      <c r="OAY84" s="31"/>
      <c r="OAZ84" s="31"/>
      <c r="OBA84" s="31"/>
      <c r="OBB84" s="31"/>
      <c r="OBC84" s="31"/>
      <c r="OBD84" s="31"/>
      <c r="OBE84" s="31"/>
      <c r="OBF84" s="31"/>
      <c r="OBG84" s="31"/>
      <c r="OBH84" s="31"/>
      <c r="OBI84" s="31"/>
      <c r="OBJ84" s="31"/>
      <c r="OBK84" s="31"/>
      <c r="OBL84" s="31"/>
      <c r="OBM84" s="31"/>
      <c r="OBN84" s="31"/>
      <c r="OBO84" s="31"/>
      <c r="OBP84" s="31"/>
      <c r="OBQ84" s="31"/>
      <c r="OBR84" s="31"/>
      <c r="OBS84" s="31"/>
      <c r="OBT84" s="31"/>
      <c r="OBU84" s="31"/>
      <c r="OBV84" s="31"/>
      <c r="OBW84" s="31"/>
      <c r="OBX84" s="31"/>
      <c r="OBY84" s="31"/>
      <c r="OBZ84" s="31"/>
      <c r="OCA84" s="31"/>
      <c r="OCB84" s="31"/>
      <c r="OCC84" s="31"/>
      <c r="OCD84" s="31"/>
      <c r="OCE84" s="31"/>
      <c r="OCF84" s="31"/>
      <c r="OCG84" s="31"/>
      <c r="OCH84" s="31"/>
      <c r="OCI84" s="31"/>
      <c r="OCJ84" s="31"/>
      <c r="OCK84" s="31"/>
      <c r="OCL84" s="31"/>
      <c r="OCM84" s="31"/>
      <c r="OCN84" s="31"/>
      <c r="OCO84" s="31"/>
      <c r="OCP84" s="31"/>
      <c r="OCQ84" s="31"/>
      <c r="OCR84" s="31"/>
      <c r="OCS84" s="31"/>
      <c r="OCT84" s="31"/>
      <c r="OCU84" s="31"/>
      <c r="OCV84" s="31"/>
      <c r="OCW84" s="31"/>
      <c r="OCX84" s="31"/>
      <c r="OCY84" s="31"/>
      <c r="OCZ84" s="31"/>
      <c r="ODA84" s="31"/>
      <c r="ODB84" s="31"/>
      <c r="ODC84" s="31"/>
      <c r="ODD84" s="31"/>
      <c r="ODE84" s="31"/>
      <c r="ODF84" s="31"/>
      <c r="ODG84" s="31"/>
      <c r="ODH84" s="31"/>
      <c r="ODI84" s="31"/>
      <c r="ODJ84" s="31"/>
      <c r="ODK84" s="31"/>
      <c r="ODL84" s="31"/>
      <c r="ODM84" s="31"/>
      <c r="ODN84" s="31"/>
      <c r="ODO84" s="31"/>
      <c r="ODP84" s="31"/>
      <c r="ODQ84" s="31"/>
      <c r="ODR84" s="31"/>
      <c r="ODS84" s="31"/>
      <c r="ODT84" s="31"/>
      <c r="ODU84" s="31"/>
      <c r="ODV84" s="31"/>
      <c r="ODW84" s="31"/>
      <c r="ODX84" s="31"/>
      <c r="ODY84" s="31"/>
      <c r="ODZ84" s="31"/>
      <c r="OEA84" s="31"/>
      <c r="OEB84" s="31"/>
      <c r="OEC84" s="31"/>
      <c r="OED84" s="31"/>
      <c r="OEE84" s="31"/>
      <c r="OEF84" s="31"/>
      <c r="OEG84" s="31"/>
      <c r="OEH84" s="31"/>
      <c r="OEI84" s="31"/>
      <c r="OEJ84" s="31"/>
      <c r="OEK84" s="31"/>
      <c r="OEL84" s="31"/>
      <c r="OEM84" s="31"/>
      <c r="OEN84" s="31"/>
      <c r="OEO84" s="31"/>
      <c r="OEP84" s="31"/>
      <c r="OEQ84" s="31"/>
      <c r="OER84" s="31"/>
      <c r="OES84" s="31"/>
      <c r="OET84" s="31"/>
      <c r="OEU84" s="31"/>
      <c r="OEV84" s="31"/>
      <c r="OEW84" s="31"/>
      <c r="OEX84" s="31"/>
      <c r="OEY84" s="31"/>
      <c r="OEZ84" s="31"/>
      <c r="OFA84" s="31"/>
      <c r="OFB84" s="31"/>
      <c r="OFC84" s="31"/>
      <c r="OFD84" s="31"/>
      <c r="OFE84" s="31"/>
      <c r="OFF84" s="31"/>
      <c r="OFG84" s="31"/>
      <c r="OFH84" s="31"/>
      <c r="OFI84" s="31"/>
      <c r="OFJ84" s="31"/>
      <c r="OFK84" s="31"/>
      <c r="OFL84" s="31"/>
      <c r="OFM84" s="31"/>
      <c r="OFN84" s="31"/>
      <c r="OFO84" s="31"/>
      <c r="OFP84" s="31"/>
      <c r="OFQ84" s="31"/>
      <c r="OFR84" s="31"/>
      <c r="OFS84" s="31"/>
      <c r="OFT84" s="31"/>
      <c r="OFU84" s="31"/>
      <c r="OFV84" s="31"/>
      <c r="OFW84" s="31"/>
      <c r="OFX84" s="31"/>
      <c r="OFY84" s="31"/>
      <c r="OFZ84" s="31"/>
      <c r="OGA84" s="31"/>
      <c r="OGB84" s="31"/>
      <c r="OGC84" s="31"/>
      <c r="OGD84" s="31"/>
      <c r="OGE84" s="31"/>
      <c r="OGF84" s="31"/>
      <c r="OGG84" s="31"/>
      <c r="OGH84" s="31"/>
      <c r="OGI84" s="31"/>
      <c r="OGJ84" s="31"/>
      <c r="OGK84" s="31"/>
      <c r="OGL84" s="31"/>
      <c r="OGM84" s="31"/>
      <c r="OGN84" s="31"/>
      <c r="OGO84" s="31"/>
      <c r="OGP84" s="31"/>
      <c r="OGQ84" s="31"/>
      <c r="OGR84" s="31"/>
      <c r="OGS84" s="31"/>
      <c r="OGT84" s="31"/>
      <c r="OGU84" s="31"/>
      <c r="OGV84" s="31"/>
      <c r="OGW84" s="31"/>
      <c r="OGX84" s="31"/>
      <c r="OGY84" s="31"/>
      <c r="OGZ84" s="31"/>
      <c r="OHA84" s="31"/>
      <c r="OHB84" s="31"/>
      <c r="OHC84" s="31"/>
      <c r="OHD84" s="31"/>
      <c r="OHE84" s="31"/>
      <c r="OHF84" s="31"/>
      <c r="OHG84" s="31"/>
      <c r="OHH84" s="31"/>
      <c r="OHI84" s="31"/>
      <c r="OHJ84" s="31"/>
      <c r="OHK84" s="31"/>
      <c r="OHL84" s="31"/>
      <c r="OHM84" s="31"/>
      <c r="OHN84" s="31"/>
      <c r="OHO84" s="31"/>
      <c r="OHP84" s="31"/>
      <c r="OHQ84" s="31"/>
      <c r="OHR84" s="31"/>
      <c r="OHS84" s="31"/>
      <c r="OHT84" s="31"/>
      <c r="OHU84" s="31"/>
      <c r="OHV84" s="31"/>
      <c r="OHW84" s="31"/>
      <c r="OHX84" s="31"/>
      <c r="OHY84" s="31"/>
      <c r="OHZ84" s="31"/>
      <c r="OIA84" s="31"/>
      <c r="OIB84" s="31"/>
      <c r="OIC84" s="31"/>
      <c r="OID84" s="31"/>
      <c r="OIE84" s="31"/>
      <c r="OIF84" s="31"/>
      <c r="OIG84" s="31"/>
      <c r="OIH84" s="31"/>
      <c r="OII84" s="31"/>
      <c r="OIJ84" s="31"/>
      <c r="OIK84" s="31"/>
      <c r="OIL84" s="31"/>
      <c r="OIM84" s="31"/>
      <c r="OIN84" s="31"/>
      <c r="OIO84" s="31"/>
      <c r="OIP84" s="31"/>
      <c r="OIQ84" s="31"/>
      <c r="OIR84" s="31"/>
      <c r="OIS84" s="31"/>
      <c r="OIT84" s="31"/>
      <c r="OIU84" s="31"/>
      <c r="OIV84" s="31"/>
      <c r="OIW84" s="31"/>
      <c r="OIX84" s="31"/>
      <c r="OIY84" s="31"/>
      <c r="OIZ84" s="31"/>
      <c r="OJA84" s="31"/>
      <c r="OJB84" s="31"/>
      <c r="OJC84" s="31"/>
      <c r="OJD84" s="31"/>
      <c r="OJE84" s="31"/>
      <c r="OJF84" s="31"/>
      <c r="OJG84" s="31"/>
      <c r="OJH84" s="31"/>
      <c r="OJI84" s="31"/>
      <c r="OJJ84" s="31"/>
      <c r="OJK84" s="31"/>
      <c r="OJL84" s="31"/>
      <c r="OJM84" s="31"/>
      <c r="OJN84" s="31"/>
      <c r="OJO84" s="31"/>
      <c r="OJP84" s="31"/>
      <c r="OJQ84" s="31"/>
      <c r="OJR84" s="31"/>
      <c r="OJS84" s="31"/>
      <c r="OJT84" s="31"/>
      <c r="OJU84" s="31"/>
      <c r="OJV84" s="31"/>
      <c r="OJW84" s="31"/>
      <c r="OJX84" s="31"/>
      <c r="OJY84" s="31"/>
      <c r="OJZ84" s="31"/>
      <c r="OKA84" s="31"/>
      <c r="OKB84" s="31"/>
      <c r="OKC84" s="31"/>
      <c r="OKD84" s="31"/>
      <c r="OKE84" s="31"/>
      <c r="OKF84" s="31"/>
      <c r="OKG84" s="31"/>
      <c r="OKH84" s="31"/>
      <c r="OKI84" s="31"/>
      <c r="OKJ84" s="31"/>
      <c r="OKK84" s="31"/>
      <c r="OKL84" s="31"/>
      <c r="OKM84" s="31"/>
      <c r="OKN84" s="31"/>
      <c r="OKO84" s="31"/>
      <c r="OKP84" s="31"/>
      <c r="OKQ84" s="31"/>
      <c r="OKR84" s="31"/>
      <c r="OKS84" s="31"/>
      <c r="OKT84" s="31"/>
      <c r="OKU84" s="31"/>
      <c r="OKV84" s="31"/>
      <c r="OKW84" s="31"/>
      <c r="OKX84" s="31"/>
      <c r="OKY84" s="31"/>
      <c r="OKZ84" s="31"/>
      <c r="OLA84" s="31"/>
      <c r="OLB84" s="31"/>
      <c r="OLC84" s="31"/>
      <c r="OLD84" s="31"/>
      <c r="OLE84" s="31"/>
      <c r="OLF84" s="31"/>
      <c r="OLG84" s="31"/>
      <c r="OLH84" s="31"/>
      <c r="OLI84" s="31"/>
      <c r="OLJ84" s="31"/>
      <c r="OLK84" s="31"/>
      <c r="OLL84" s="31"/>
      <c r="OLM84" s="31"/>
      <c r="OLN84" s="31"/>
      <c r="OLO84" s="31"/>
      <c r="OLP84" s="31"/>
      <c r="OLQ84" s="31"/>
      <c r="OLR84" s="31"/>
      <c r="OLS84" s="31"/>
      <c r="OLT84" s="31"/>
      <c r="OLU84" s="31"/>
      <c r="OLV84" s="31"/>
      <c r="OLW84" s="31"/>
      <c r="OLX84" s="31"/>
      <c r="OLY84" s="31"/>
      <c r="OLZ84" s="31"/>
      <c r="OMA84" s="31"/>
      <c r="OMB84" s="31"/>
      <c r="OMC84" s="31"/>
      <c r="OMD84" s="31"/>
      <c r="OME84" s="31"/>
      <c r="OMF84" s="31"/>
      <c r="OMG84" s="31"/>
      <c r="OMH84" s="31"/>
      <c r="OMI84" s="31"/>
      <c r="OMJ84" s="31"/>
      <c r="OMK84" s="31"/>
      <c r="OML84" s="31"/>
      <c r="OMM84" s="31"/>
      <c r="OMN84" s="31"/>
      <c r="OMO84" s="31"/>
      <c r="OMP84" s="31"/>
      <c r="OMQ84" s="31"/>
      <c r="OMR84" s="31"/>
      <c r="OMS84" s="31"/>
      <c r="OMT84" s="31"/>
      <c r="OMU84" s="31"/>
      <c r="OMV84" s="31"/>
      <c r="OMW84" s="31"/>
      <c r="OMX84" s="31"/>
      <c r="OMY84" s="31"/>
      <c r="OMZ84" s="31"/>
      <c r="ONA84" s="31"/>
      <c r="ONB84" s="31"/>
      <c r="ONC84" s="31"/>
      <c r="OND84" s="31"/>
      <c r="ONE84" s="31"/>
      <c r="ONF84" s="31"/>
      <c r="ONG84" s="31"/>
      <c r="ONH84" s="31"/>
      <c r="ONI84" s="31"/>
      <c r="ONJ84" s="31"/>
      <c r="ONK84" s="31"/>
      <c r="ONL84" s="31"/>
      <c r="ONM84" s="31"/>
      <c r="ONN84" s="31"/>
      <c r="ONO84" s="31"/>
      <c r="ONP84" s="31"/>
      <c r="ONQ84" s="31"/>
      <c r="ONR84" s="31"/>
      <c r="ONS84" s="31"/>
      <c r="ONT84" s="31"/>
      <c r="ONU84" s="31"/>
      <c r="ONV84" s="31"/>
      <c r="ONW84" s="31"/>
      <c r="ONX84" s="31"/>
      <c r="ONY84" s="31"/>
      <c r="ONZ84" s="31"/>
      <c r="OOA84" s="31"/>
      <c r="OOB84" s="31"/>
      <c r="OOC84" s="31"/>
      <c r="OOD84" s="31"/>
      <c r="OOE84" s="31"/>
      <c r="OOF84" s="31"/>
      <c r="OOG84" s="31"/>
      <c r="OOH84" s="31"/>
      <c r="OOI84" s="31"/>
      <c r="OOJ84" s="31"/>
      <c r="OOK84" s="31"/>
      <c r="OOL84" s="31"/>
      <c r="OOM84" s="31"/>
      <c r="OON84" s="31"/>
      <c r="OOO84" s="31"/>
      <c r="OOP84" s="31"/>
      <c r="OOQ84" s="31"/>
      <c r="OOR84" s="31"/>
      <c r="OOS84" s="31"/>
      <c r="OOT84" s="31"/>
      <c r="OOU84" s="31"/>
      <c r="OOV84" s="31"/>
      <c r="OOW84" s="31"/>
      <c r="OOX84" s="31"/>
      <c r="OOY84" s="31"/>
      <c r="OOZ84" s="31"/>
      <c r="OPA84" s="31"/>
      <c r="OPB84" s="31"/>
      <c r="OPC84" s="31"/>
      <c r="OPD84" s="31"/>
      <c r="OPE84" s="31"/>
      <c r="OPF84" s="31"/>
      <c r="OPG84" s="31"/>
      <c r="OPH84" s="31"/>
      <c r="OPI84" s="31"/>
      <c r="OPJ84" s="31"/>
      <c r="OPK84" s="31"/>
      <c r="OPL84" s="31"/>
      <c r="OPM84" s="31"/>
      <c r="OPN84" s="31"/>
      <c r="OPO84" s="31"/>
      <c r="OPP84" s="31"/>
      <c r="OPQ84" s="31"/>
      <c r="OPR84" s="31"/>
      <c r="OPS84" s="31"/>
      <c r="OPT84" s="31"/>
      <c r="OPU84" s="31"/>
      <c r="OPV84" s="31"/>
      <c r="OPW84" s="31"/>
      <c r="OPX84" s="31"/>
      <c r="OPY84" s="31"/>
      <c r="OPZ84" s="31"/>
      <c r="OQA84" s="31"/>
      <c r="OQB84" s="31"/>
      <c r="OQC84" s="31"/>
      <c r="OQD84" s="31"/>
      <c r="OQE84" s="31"/>
      <c r="OQF84" s="31"/>
      <c r="OQG84" s="31"/>
      <c r="OQH84" s="31"/>
      <c r="OQI84" s="31"/>
      <c r="OQJ84" s="31"/>
      <c r="OQK84" s="31"/>
      <c r="OQL84" s="31"/>
      <c r="OQM84" s="31"/>
      <c r="OQN84" s="31"/>
      <c r="OQO84" s="31"/>
      <c r="OQP84" s="31"/>
      <c r="OQQ84" s="31"/>
      <c r="OQR84" s="31"/>
      <c r="OQS84" s="31"/>
      <c r="OQT84" s="31"/>
      <c r="OQU84" s="31"/>
      <c r="OQV84" s="31"/>
      <c r="OQW84" s="31"/>
      <c r="OQX84" s="31"/>
      <c r="OQY84" s="31"/>
      <c r="OQZ84" s="31"/>
      <c r="ORA84" s="31"/>
      <c r="ORB84" s="31"/>
      <c r="ORC84" s="31"/>
      <c r="ORD84" s="31"/>
      <c r="ORE84" s="31"/>
      <c r="ORF84" s="31"/>
      <c r="ORG84" s="31"/>
      <c r="ORH84" s="31"/>
      <c r="ORI84" s="31"/>
      <c r="ORJ84" s="31"/>
      <c r="ORK84" s="31"/>
      <c r="ORL84" s="31"/>
      <c r="ORM84" s="31"/>
      <c r="ORN84" s="31"/>
      <c r="ORO84" s="31"/>
      <c r="ORP84" s="31"/>
      <c r="ORQ84" s="31"/>
      <c r="ORR84" s="31"/>
      <c r="ORS84" s="31"/>
      <c r="ORT84" s="31"/>
      <c r="ORU84" s="31"/>
      <c r="ORV84" s="31"/>
      <c r="ORW84" s="31"/>
      <c r="ORX84" s="31"/>
      <c r="ORY84" s="31"/>
      <c r="ORZ84" s="31"/>
      <c r="OSA84" s="31"/>
      <c r="OSB84" s="31"/>
      <c r="OSC84" s="31"/>
      <c r="OSD84" s="31"/>
      <c r="OSE84" s="31"/>
      <c r="OSF84" s="31"/>
      <c r="OSG84" s="31"/>
      <c r="OSH84" s="31"/>
      <c r="OSI84" s="31"/>
      <c r="OSJ84" s="31"/>
      <c r="OSK84" s="31"/>
      <c r="OSL84" s="31"/>
      <c r="OSM84" s="31"/>
      <c r="OSN84" s="31"/>
      <c r="OSO84" s="31"/>
      <c r="OSP84" s="31"/>
      <c r="OSQ84" s="31"/>
      <c r="OSR84" s="31"/>
      <c r="OSS84" s="31"/>
      <c r="OST84" s="31"/>
      <c r="OSU84" s="31"/>
      <c r="OSV84" s="31"/>
      <c r="OSW84" s="31"/>
      <c r="OSX84" s="31"/>
      <c r="OSY84" s="31"/>
      <c r="OSZ84" s="31"/>
      <c r="OTA84" s="31"/>
      <c r="OTB84" s="31"/>
      <c r="OTC84" s="31"/>
      <c r="OTD84" s="31"/>
      <c r="OTE84" s="31"/>
      <c r="OTF84" s="31"/>
      <c r="OTG84" s="31"/>
      <c r="OTH84" s="31"/>
      <c r="OTI84" s="31"/>
      <c r="OTJ84" s="31"/>
      <c r="OTK84" s="31"/>
      <c r="OTL84" s="31"/>
      <c r="OTM84" s="31"/>
      <c r="OTN84" s="31"/>
      <c r="OTO84" s="31"/>
      <c r="OTP84" s="31"/>
      <c r="OTQ84" s="31"/>
      <c r="OTR84" s="31"/>
      <c r="OTS84" s="31"/>
      <c r="OTT84" s="31"/>
      <c r="OTU84" s="31"/>
      <c r="OTV84" s="31"/>
      <c r="OTW84" s="31"/>
      <c r="OTX84" s="31"/>
      <c r="OTY84" s="31"/>
      <c r="OTZ84" s="31"/>
      <c r="OUA84" s="31"/>
      <c r="OUB84" s="31"/>
      <c r="OUC84" s="31"/>
      <c r="OUD84" s="31"/>
      <c r="OUE84" s="31"/>
      <c r="OUF84" s="31"/>
      <c r="OUG84" s="31"/>
      <c r="OUH84" s="31"/>
      <c r="OUI84" s="31"/>
      <c r="OUJ84" s="31"/>
      <c r="OUK84" s="31"/>
      <c r="OUL84" s="31"/>
      <c r="OUM84" s="31"/>
      <c r="OUN84" s="31"/>
      <c r="OUO84" s="31"/>
      <c r="OUP84" s="31"/>
      <c r="OUQ84" s="31"/>
      <c r="OUR84" s="31"/>
      <c r="OUS84" s="31"/>
      <c r="OUT84" s="31"/>
      <c r="OUU84" s="31"/>
      <c r="OUV84" s="31"/>
      <c r="OUW84" s="31"/>
      <c r="OUX84" s="31"/>
      <c r="OUY84" s="31"/>
      <c r="OUZ84" s="31"/>
      <c r="OVA84" s="31"/>
      <c r="OVB84" s="31"/>
      <c r="OVC84" s="31"/>
      <c r="OVD84" s="31"/>
      <c r="OVE84" s="31"/>
      <c r="OVF84" s="31"/>
      <c r="OVG84" s="31"/>
      <c r="OVH84" s="31"/>
      <c r="OVI84" s="31"/>
      <c r="OVJ84" s="31"/>
      <c r="OVK84" s="31"/>
      <c r="OVL84" s="31"/>
      <c r="OVM84" s="31"/>
      <c r="OVN84" s="31"/>
      <c r="OVO84" s="31"/>
      <c r="OVP84" s="31"/>
      <c r="OVQ84" s="31"/>
      <c r="OVR84" s="31"/>
      <c r="OVS84" s="31"/>
      <c r="OVT84" s="31"/>
      <c r="OVU84" s="31"/>
      <c r="OVV84" s="31"/>
      <c r="OVW84" s="31"/>
      <c r="OVX84" s="31"/>
      <c r="OVY84" s="31"/>
      <c r="OVZ84" s="31"/>
      <c r="OWA84" s="31"/>
      <c r="OWB84" s="31"/>
      <c r="OWC84" s="31"/>
      <c r="OWD84" s="31"/>
      <c r="OWE84" s="31"/>
      <c r="OWF84" s="31"/>
      <c r="OWG84" s="31"/>
      <c r="OWH84" s="31"/>
      <c r="OWI84" s="31"/>
      <c r="OWJ84" s="31"/>
      <c r="OWK84" s="31"/>
      <c r="OWL84" s="31"/>
      <c r="OWM84" s="31"/>
      <c r="OWN84" s="31"/>
      <c r="OWO84" s="31"/>
      <c r="OWP84" s="31"/>
      <c r="OWQ84" s="31"/>
      <c r="OWR84" s="31"/>
      <c r="OWS84" s="31"/>
      <c r="OWT84" s="31"/>
      <c r="OWU84" s="31"/>
      <c r="OWV84" s="31"/>
      <c r="OWW84" s="31"/>
      <c r="OWX84" s="31"/>
      <c r="OWY84" s="31"/>
      <c r="OWZ84" s="31"/>
      <c r="OXA84" s="31"/>
      <c r="OXB84" s="31"/>
      <c r="OXC84" s="31"/>
      <c r="OXD84" s="31"/>
      <c r="OXE84" s="31"/>
      <c r="OXF84" s="31"/>
      <c r="OXG84" s="31"/>
      <c r="OXH84" s="31"/>
      <c r="OXI84" s="31"/>
      <c r="OXJ84" s="31"/>
      <c r="OXK84" s="31"/>
      <c r="OXL84" s="31"/>
      <c r="OXM84" s="31"/>
      <c r="OXN84" s="31"/>
      <c r="OXO84" s="31"/>
      <c r="OXP84" s="31"/>
      <c r="OXQ84" s="31"/>
      <c r="OXR84" s="31"/>
      <c r="OXS84" s="31"/>
      <c r="OXT84" s="31"/>
      <c r="OXU84" s="31"/>
      <c r="OXV84" s="31"/>
      <c r="OXW84" s="31"/>
      <c r="OXX84" s="31"/>
      <c r="OXY84" s="31"/>
      <c r="OXZ84" s="31"/>
      <c r="OYA84" s="31"/>
      <c r="OYB84" s="31"/>
      <c r="OYC84" s="31"/>
      <c r="OYD84" s="31"/>
      <c r="OYE84" s="31"/>
      <c r="OYF84" s="31"/>
      <c r="OYG84" s="31"/>
      <c r="OYH84" s="31"/>
      <c r="OYI84" s="31"/>
      <c r="OYJ84" s="31"/>
      <c r="OYK84" s="31"/>
      <c r="OYL84" s="31"/>
      <c r="OYM84" s="31"/>
      <c r="OYN84" s="31"/>
      <c r="OYO84" s="31"/>
      <c r="OYP84" s="31"/>
      <c r="OYQ84" s="31"/>
      <c r="OYR84" s="31"/>
      <c r="OYS84" s="31"/>
      <c r="OYT84" s="31"/>
      <c r="OYU84" s="31"/>
      <c r="OYV84" s="31"/>
      <c r="OYW84" s="31"/>
      <c r="OYX84" s="31"/>
      <c r="OYY84" s="31"/>
      <c r="OYZ84" s="31"/>
      <c r="OZA84" s="31"/>
      <c r="OZB84" s="31"/>
      <c r="OZC84" s="31"/>
      <c r="OZD84" s="31"/>
      <c r="OZE84" s="31"/>
      <c r="OZF84" s="31"/>
      <c r="OZG84" s="31"/>
      <c r="OZH84" s="31"/>
      <c r="OZI84" s="31"/>
      <c r="OZJ84" s="31"/>
      <c r="OZK84" s="31"/>
      <c r="OZL84" s="31"/>
      <c r="OZM84" s="31"/>
      <c r="OZN84" s="31"/>
      <c r="OZO84" s="31"/>
      <c r="OZP84" s="31"/>
      <c r="OZQ84" s="31"/>
      <c r="OZR84" s="31"/>
      <c r="OZS84" s="31"/>
      <c r="OZT84" s="31"/>
      <c r="OZU84" s="31"/>
      <c r="OZV84" s="31"/>
      <c r="OZW84" s="31"/>
      <c r="OZX84" s="31"/>
      <c r="OZY84" s="31"/>
      <c r="OZZ84" s="31"/>
      <c r="PAA84" s="31"/>
      <c r="PAB84" s="31"/>
      <c r="PAC84" s="31"/>
      <c r="PAD84" s="31"/>
      <c r="PAE84" s="31"/>
      <c r="PAF84" s="31"/>
      <c r="PAG84" s="31"/>
      <c r="PAH84" s="31"/>
      <c r="PAI84" s="31"/>
      <c r="PAJ84" s="31"/>
      <c r="PAK84" s="31"/>
      <c r="PAL84" s="31"/>
      <c r="PAM84" s="31"/>
      <c r="PAN84" s="31"/>
      <c r="PAO84" s="31"/>
      <c r="PAP84" s="31"/>
      <c r="PAQ84" s="31"/>
      <c r="PAR84" s="31"/>
      <c r="PAS84" s="31"/>
      <c r="PAT84" s="31"/>
      <c r="PAU84" s="31"/>
      <c r="PAV84" s="31"/>
      <c r="PAW84" s="31"/>
      <c r="PAX84" s="31"/>
      <c r="PAY84" s="31"/>
      <c r="PAZ84" s="31"/>
      <c r="PBA84" s="31"/>
      <c r="PBB84" s="31"/>
      <c r="PBC84" s="31"/>
      <c r="PBD84" s="31"/>
      <c r="PBE84" s="31"/>
      <c r="PBF84" s="31"/>
      <c r="PBG84" s="31"/>
      <c r="PBH84" s="31"/>
      <c r="PBI84" s="31"/>
      <c r="PBJ84" s="31"/>
      <c r="PBK84" s="31"/>
      <c r="PBL84" s="31"/>
      <c r="PBM84" s="31"/>
      <c r="PBN84" s="31"/>
      <c r="PBO84" s="31"/>
      <c r="PBP84" s="31"/>
      <c r="PBQ84" s="31"/>
      <c r="PBR84" s="31"/>
      <c r="PBS84" s="31"/>
      <c r="PBT84" s="31"/>
      <c r="PBU84" s="31"/>
      <c r="PBV84" s="31"/>
      <c r="PBW84" s="31"/>
      <c r="PBX84" s="31"/>
      <c r="PBY84" s="31"/>
      <c r="PBZ84" s="31"/>
      <c r="PCA84" s="31"/>
      <c r="PCB84" s="31"/>
      <c r="PCC84" s="31"/>
      <c r="PCD84" s="31"/>
      <c r="PCE84" s="31"/>
      <c r="PCF84" s="31"/>
      <c r="PCG84" s="31"/>
      <c r="PCH84" s="31"/>
      <c r="PCI84" s="31"/>
      <c r="PCJ84" s="31"/>
      <c r="PCK84" s="31"/>
      <c r="PCL84" s="31"/>
      <c r="PCM84" s="31"/>
      <c r="PCN84" s="31"/>
      <c r="PCO84" s="31"/>
      <c r="PCP84" s="31"/>
      <c r="PCQ84" s="31"/>
      <c r="PCR84" s="31"/>
      <c r="PCS84" s="31"/>
      <c r="PCT84" s="31"/>
      <c r="PCU84" s="31"/>
      <c r="PCV84" s="31"/>
      <c r="PCW84" s="31"/>
      <c r="PCX84" s="31"/>
      <c r="PCY84" s="31"/>
      <c r="PCZ84" s="31"/>
      <c r="PDA84" s="31"/>
      <c r="PDB84" s="31"/>
      <c r="PDC84" s="31"/>
      <c r="PDD84" s="31"/>
      <c r="PDE84" s="31"/>
      <c r="PDF84" s="31"/>
      <c r="PDG84" s="31"/>
      <c r="PDH84" s="31"/>
      <c r="PDI84" s="31"/>
      <c r="PDJ84" s="31"/>
      <c r="PDK84" s="31"/>
      <c r="PDL84" s="31"/>
      <c r="PDM84" s="31"/>
      <c r="PDN84" s="31"/>
      <c r="PDO84" s="31"/>
      <c r="PDP84" s="31"/>
      <c r="PDQ84" s="31"/>
      <c r="PDR84" s="31"/>
      <c r="PDS84" s="31"/>
      <c r="PDT84" s="31"/>
      <c r="PDU84" s="31"/>
      <c r="PDV84" s="31"/>
      <c r="PDW84" s="31"/>
      <c r="PDX84" s="31"/>
      <c r="PDY84" s="31"/>
      <c r="PDZ84" s="31"/>
      <c r="PEA84" s="31"/>
      <c r="PEB84" s="31"/>
      <c r="PEC84" s="31"/>
      <c r="PED84" s="31"/>
      <c r="PEE84" s="31"/>
      <c r="PEF84" s="31"/>
      <c r="PEG84" s="31"/>
      <c r="PEH84" s="31"/>
      <c r="PEI84" s="31"/>
      <c r="PEJ84" s="31"/>
      <c r="PEK84" s="31"/>
      <c r="PEL84" s="31"/>
      <c r="PEM84" s="31"/>
      <c r="PEN84" s="31"/>
      <c r="PEO84" s="31"/>
      <c r="PEP84" s="31"/>
      <c r="PEQ84" s="31"/>
      <c r="PER84" s="31"/>
      <c r="PES84" s="31"/>
      <c r="PET84" s="31"/>
      <c r="PEU84" s="31"/>
      <c r="PEV84" s="31"/>
      <c r="PEW84" s="31"/>
      <c r="PEX84" s="31"/>
      <c r="PEY84" s="31"/>
      <c r="PEZ84" s="31"/>
      <c r="PFA84" s="31"/>
      <c r="PFB84" s="31"/>
      <c r="PFC84" s="31"/>
      <c r="PFD84" s="31"/>
      <c r="PFE84" s="31"/>
      <c r="PFF84" s="31"/>
      <c r="PFG84" s="31"/>
      <c r="PFH84" s="31"/>
      <c r="PFI84" s="31"/>
      <c r="PFJ84" s="31"/>
      <c r="PFK84" s="31"/>
      <c r="PFL84" s="31"/>
      <c r="PFM84" s="31"/>
      <c r="PFN84" s="31"/>
      <c r="PFO84" s="31"/>
      <c r="PFP84" s="31"/>
      <c r="PFQ84" s="31"/>
      <c r="PFR84" s="31"/>
      <c r="PFS84" s="31"/>
      <c r="PFT84" s="31"/>
      <c r="PFU84" s="31"/>
      <c r="PFV84" s="31"/>
      <c r="PFW84" s="31"/>
      <c r="PFX84" s="31"/>
      <c r="PFY84" s="31"/>
      <c r="PFZ84" s="31"/>
      <c r="PGA84" s="31"/>
      <c r="PGB84" s="31"/>
      <c r="PGC84" s="31"/>
      <c r="PGD84" s="31"/>
      <c r="PGE84" s="31"/>
      <c r="PGF84" s="31"/>
      <c r="PGG84" s="31"/>
      <c r="PGH84" s="31"/>
      <c r="PGI84" s="31"/>
      <c r="PGJ84" s="31"/>
      <c r="PGK84" s="31"/>
      <c r="PGL84" s="31"/>
      <c r="PGM84" s="31"/>
      <c r="PGN84" s="31"/>
      <c r="PGO84" s="31"/>
      <c r="PGP84" s="31"/>
      <c r="PGQ84" s="31"/>
      <c r="PGR84" s="31"/>
      <c r="PGS84" s="31"/>
      <c r="PGT84" s="31"/>
      <c r="PGU84" s="31"/>
      <c r="PGV84" s="31"/>
      <c r="PGW84" s="31"/>
      <c r="PGX84" s="31"/>
      <c r="PGY84" s="31"/>
      <c r="PGZ84" s="31"/>
      <c r="PHA84" s="31"/>
      <c r="PHB84" s="31"/>
      <c r="PHC84" s="31"/>
      <c r="PHD84" s="31"/>
      <c r="PHE84" s="31"/>
      <c r="PHF84" s="31"/>
      <c r="PHG84" s="31"/>
      <c r="PHH84" s="31"/>
      <c r="PHI84" s="31"/>
      <c r="PHJ84" s="31"/>
      <c r="PHK84" s="31"/>
      <c r="PHL84" s="31"/>
      <c r="PHM84" s="31"/>
      <c r="PHN84" s="31"/>
      <c r="PHO84" s="31"/>
      <c r="PHP84" s="31"/>
      <c r="PHQ84" s="31"/>
      <c r="PHR84" s="31"/>
      <c r="PHS84" s="31"/>
      <c r="PHT84" s="31"/>
      <c r="PHU84" s="31"/>
      <c r="PHV84" s="31"/>
      <c r="PHW84" s="31"/>
      <c r="PHX84" s="31"/>
      <c r="PHY84" s="31"/>
      <c r="PHZ84" s="31"/>
      <c r="PIA84" s="31"/>
      <c r="PIB84" s="31"/>
      <c r="PIC84" s="31"/>
      <c r="PID84" s="31"/>
      <c r="PIE84" s="31"/>
      <c r="PIF84" s="31"/>
      <c r="PIG84" s="31"/>
      <c r="PIH84" s="31"/>
      <c r="PII84" s="31"/>
      <c r="PIJ84" s="31"/>
      <c r="PIK84" s="31"/>
      <c r="PIL84" s="31"/>
      <c r="PIM84" s="31"/>
      <c r="PIN84" s="31"/>
      <c r="PIO84" s="31"/>
      <c r="PIP84" s="31"/>
      <c r="PIQ84" s="31"/>
      <c r="PIR84" s="31"/>
      <c r="PIS84" s="31"/>
      <c r="PIT84" s="31"/>
      <c r="PIU84" s="31"/>
      <c r="PIV84" s="31"/>
      <c r="PIW84" s="31"/>
      <c r="PIX84" s="31"/>
      <c r="PIY84" s="31"/>
      <c r="PIZ84" s="31"/>
      <c r="PJA84" s="31"/>
      <c r="PJB84" s="31"/>
      <c r="PJC84" s="31"/>
      <c r="PJD84" s="31"/>
      <c r="PJE84" s="31"/>
      <c r="PJF84" s="31"/>
      <c r="PJG84" s="31"/>
      <c r="PJH84" s="31"/>
      <c r="PJI84" s="31"/>
      <c r="PJJ84" s="31"/>
      <c r="PJK84" s="31"/>
      <c r="PJL84" s="31"/>
      <c r="PJM84" s="31"/>
      <c r="PJN84" s="31"/>
      <c r="PJO84" s="31"/>
      <c r="PJP84" s="31"/>
      <c r="PJQ84" s="31"/>
      <c r="PJR84" s="31"/>
      <c r="PJS84" s="31"/>
      <c r="PJT84" s="31"/>
      <c r="PJU84" s="31"/>
      <c r="PJV84" s="31"/>
      <c r="PJW84" s="31"/>
      <c r="PJX84" s="31"/>
      <c r="PJY84" s="31"/>
      <c r="PJZ84" s="31"/>
      <c r="PKA84" s="31"/>
      <c r="PKB84" s="31"/>
      <c r="PKC84" s="31"/>
      <c r="PKD84" s="31"/>
      <c r="PKE84" s="31"/>
      <c r="PKF84" s="31"/>
      <c r="PKG84" s="31"/>
      <c r="PKH84" s="31"/>
      <c r="PKI84" s="31"/>
      <c r="PKJ84" s="31"/>
      <c r="PKK84" s="31"/>
      <c r="PKL84" s="31"/>
      <c r="PKM84" s="31"/>
      <c r="PKN84" s="31"/>
      <c r="PKO84" s="31"/>
      <c r="PKP84" s="31"/>
      <c r="PKQ84" s="31"/>
      <c r="PKR84" s="31"/>
      <c r="PKS84" s="31"/>
      <c r="PKT84" s="31"/>
      <c r="PKU84" s="31"/>
      <c r="PKV84" s="31"/>
      <c r="PKW84" s="31"/>
      <c r="PKX84" s="31"/>
      <c r="PKY84" s="31"/>
      <c r="PKZ84" s="31"/>
      <c r="PLA84" s="31"/>
      <c r="PLB84" s="31"/>
      <c r="PLC84" s="31"/>
      <c r="PLD84" s="31"/>
      <c r="PLE84" s="31"/>
      <c r="PLF84" s="31"/>
      <c r="PLG84" s="31"/>
      <c r="PLH84" s="31"/>
      <c r="PLI84" s="31"/>
      <c r="PLJ84" s="31"/>
      <c r="PLK84" s="31"/>
      <c r="PLL84" s="31"/>
      <c r="PLM84" s="31"/>
      <c r="PLN84" s="31"/>
      <c r="PLO84" s="31"/>
      <c r="PLP84" s="31"/>
      <c r="PLQ84" s="31"/>
      <c r="PLR84" s="31"/>
      <c r="PLS84" s="31"/>
      <c r="PLT84" s="31"/>
      <c r="PLU84" s="31"/>
      <c r="PLV84" s="31"/>
      <c r="PLW84" s="31"/>
      <c r="PLX84" s="31"/>
      <c r="PLY84" s="31"/>
      <c r="PLZ84" s="31"/>
      <c r="PMA84" s="31"/>
      <c r="PMB84" s="31"/>
      <c r="PMC84" s="31"/>
      <c r="PMD84" s="31"/>
      <c r="PME84" s="31"/>
      <c r="PMF84" s="31"/>
      <c r="PMG84" s="31"/>
      <c r="PMH84" s="31"/>
      <c r="PMI84" s="31"/>
      <c r="PMJ84" s="31"/>
      <c r="PMK84" s="31"/>
      <c r="PML84" s="31"/>
      <c r="PMM84" s="31"/>
      <c r="PMN84" s="31"/>
      <c r="PMO84" s="31"/>
      <c r="PMP84" s="31"/>
      <c r="PMQ84" s="31"/>
      <c r="PMR84" s="31"/>
      <c r="PMS84" s="31"/>
      <c r="PMT84" s="31"/>
      <c r="PMU84" s="31"/>
      <c r="PMV84" s="31"/>
      <c r="PMW84" s="31"/>
      <c r="PMX84" s="31"/>
      <c r="PMY84" s="31"/>
      <c r="PMZ84" s="31"/>
      <c r="PNA84" s="31"/>
      <c r="PNB84" s="31"/>
      <c r="PNC84" s="31"/>
      <c r="PND84" s="31"/>
      <c r="PNE84" s="31"/>
      <c r="PNF84" s="31"/>
      <c r="PNG84" s="31"/>
      <c r="PNH84" s="31"/>
      <c r="PNI84" s="31"/>
      <c r="PNJ84" s="31"/>
      <c r="PNK84" s="31"/>
      <c r="PNL84" s="31"/>
      <c r="PNM84" s="31"/>
      <c r="PNN84" s="31"/>
      <c r="PNO84" s="31"/>
      <c r="PNP84" s="31"/>
      <c r="PNQ84" s="31"/>
      <c r="PNR84" s="31"/>
      <c r="PNS84" s="31"/>
      <c r="PNT84" s="31"/>
      <c r="PNU84" s="31"/>
      <c r="PNV84" s="31"/>
      <c r="PNW84" s="31"/>
      <c r="PNX84" s="31"/>
      <c r="PNY84" s="31"/>
      <c r="PNZ84" s="31"/>
      <c r="POA84" s="31"/>
      <c r="POB84" s="31"/>
      <c r="POC84" s="31"/>
      <c r="POD84" s="31"/>
      <c r="POE84" s="31"/>
      <c r="POF84" s="31"/>
      <c r="POG84" s="31"/>
      <c r="POH84" s="31"/>
      <c r="POI84" s="31"/>
      <c r="POJ84" s="31"/>
      <c r="POK84" s="31"/>
      <c r="POL84" s="31"/>
      <c r="POM84" s="31"/>
      <c r="PON84" s="31"/>
      <c r="POO84" s="31"/>
      <c r="POP84" s="31"/>
      <c r="POQ84" s="31"/>
      <c r="POR84" s="31"/>
      <c r="POS84" s="31"/>
      <c r="POT84" s="31"/>
      <c r="POU84" s="31"/>
      <c r="POV84" s="31"/>
      <c r="POW84" s="31"/>
      <c r="POX84" s="31"/>
      <c r="POY84" s="31"/>
      <c r="POZ84" s="31"/>
      <c r="PPA84" s="31"/>
      <c r="PPB84" s="31"/>
      <c r="PPC84" s="31"/>
      <c r="PPD84" s="31"/>
      <c r="PPE84" s="31"/>
      <c r="PPF84" s="31"/>
      <c r="PPG84" s="31"/>
      <c r="PPH84" s="31"/>
      <c r="PPI84" s="31"/>
      <c r="PPJ84" s="31"/>
      <c r="PPK84" s="31"/>
      <c r="PPL84" s="31"/>
      <c r="PPM84" s="31"/>
      <c r="PPN84" s="31"/>
      <c r="PPO84" s="31"/>
      <c r="PPP84" s="31"/>
      <c r="PPQ84" s="31"/>
      <c r="PPR84" s="31"/>
      <c r="PPS84" s="31"/>
      <c r="PPT84" s="31"/>
      <c r="PPU84" s="31"/>
      <c r="PPV84" s="31"/>
      <c r="PPW84" s="31"/>
      <c r="PPX84" s="31"/>
      <c r="PPY84" s="31"/>
      <c r="PPZ84" s="31"/>
      <c r="PQA84" s="31"/>
      <c r="PQB84" s="31"/>
      <c r="PQC84" s="31"/>
      <c r="PQD84" s="31"/>
      <c r="PQE84" s="31"/>
      <c r="PQF84" s="31"/>
      <c r="PQG84" s="31"/>
      <c r="PQH84" s="31"/>
      <c r="PQI84" s="31"/>
      <c r="PQJ84" s="31"/>
      <c r="PQK84" s="31"/>
      <c r="PQL84" s="31"/>
      <c r="PQM84" s="31"/>
      <c r="PQN84" s="31"/>
      <c r="PQO84" s="31"/>
      <c r="PQP84" s="31"/>
      <c r="PQQ84" s="31"/>
      <c r="PQR84" s="31"/>
      <c r="PQS84" s="31"/>
      <c r="PQT84" s="31"/>
      <c r="PQU84" s="31"/>
      <c r="PQV84" s="31"/>
      <c r="PQW84" s="31"/>
      <c r="PQX84" s="31"/>
      <c r="PQY84" s="31"/>
      <c r="PQZ84" s="31"/>
      <c r="PRA84" s="31"/>
      <c r="PRB84" s="31"/>
      <c r="PRC84" s="31"/>
      <c r="PRD84" s="31"/>
      <c r="PRE84" s="31"/>
      <c r="PRF84" s="31"/>
      <c r="PRG84" s="31"/>
      <c r="PRH84" s="31"/>
      <c r="PRI84" s="31"/>
      <c r="PRJ84" s="31"/>
      <c r="PRK84" s="31"/>
      <c r="PRL84" s="31"/>
      <c r="PRM84" s="31"/>
      <c r="PRN84" s="31"/>
      <c r="PRO84" s="31"/>
      <c r="PRP84" s="31"/>
      <c r="PRQ84" s="31"/>
      <c r="PRR84" s="31"/>
      <c r="PRS84" s="31"/>
      <c r="PRT84" s="31"/>
      <c r="PRU84" s="31"/>
      <c r="PRV84" s="31"/>
      <c r="PRW84" s="31"/>
      <c r="PRX84" s="31"/>
      <c r="PRY84" s="31"/>
      <c r="PRZ84" s="31"/>
      <c r="PSA84" s="31"/>
      <c r="PSB84" s="31"/>
      <c r="PSC84" s="31"/>
      <c r="PSD84" s="31"/>
      <c r="PSE84" s="31"/>
      <c r="PSF84" s="31"/>
      <c r="PSG84" s="31"/>
      <c r="PSH84" s="31"/>
      <c r="PSI84" s="31"/>
      <c r="PSJ84" s="31"/>
      <c r="PSK84" s="31"/>
      <c r="PSL84" s="31"/>
      <c r="PSM84" s="31"/>
      <c r="PSN84" s="31"/>
      <c r="PSO84" s="31"/>
      <c r="PSP84" s="31"/>
      <c r="PSQ84" s="31"/>
      <c r="PSR84" s="31"/>
      <c r="PSS84" s="31"/>
      <c r="PST84" s="31"/>
      <c r="PSU84" s="31"/>
      <c r="PSV84" s="31"/>
      <c r="PSW84" s="31"/>
      <c r="PSX84" s="31"/>
      <c r="PSY84" s="31"/>
      <c r="PSZ84" s="31"/>
      <c r="PTA84" s="31"/>
      <c r="PTB84" s="31"/>
      <c r="PTC84" s="31"/>
      <c r="PTD84" s="31"/>
      <c r="PTE84" s="31"/>
      <c r="PTF84" s="31"/>
      <c r="PTG84" s="31"/>
      <c r="PTH84" s="31"/>
      <c r="PTI84" s="31"/>
      <c r="PTJ84" s="31"/>
      <c r="PTK84" s="31"/>
      <c r="PTL84" s="31"/>
      <c r="PTM84" s="31"/>
      <c r="PTN84" s="31"/>
      <c r="PTO84" s="31"/>
      <c r="PTP84" s="31"/>
      <c r="PTQ84" s="31"/>
      <c r="PTR84" s="31"/>
      <c r="PTS84" s="31"/>
      <c r="PTT84" s="31"/>
      <c r="PTU84" s="31"/>
      <c r="PTV84" s="31"/>
      <c r="PTW84" s="31"/>
      <c r="PTX84" s="31"/>
      <c r="PTY84" s="31"/>
      <c r="PTZ84" s="31"/>
      <c r="PUA84" s="31"/>
      <c r="PUB84" s="31"/>
      <c r="PUC84" s="31"/>
      <c r="PUD84" s="31"/>
      <c r="PUE84" s="31"/>
      <c r="PUF84" s="31"/>
      <c r="PUG84" s="31"/>
      <c r="PUH84" s="31"/>
      <c r="PUI84" s="31"/>
      <c r="PUJ84" s="31"/>
      <c r="PUK84" s="31"/>
      <c r="PUL84" s="31"/>
      <c r="PUM84" s="31"/>
      <c r="PUN84" s="31"/>
      <c r="PUO84" s="31"/>
      <c r="PUP84" s="31"/>
      <c r="PUQ84" s="31"/>
      <c r="PUR84" s="31"/>
      <c r="PUS84" s="31"/>
      <c r="PUT84" s="31"/>
      <c r="PUU84" s="31"/>
      <c r="PUV84" s="31"/>
      <c r="PUW84" s="31"/>
      <c r="PUX84" s="31"/>
      <c r="PUY84" s="31"/>
      <c r="PUZ84" s="31"/>
      <c r="PVA84" s="31"/>
      <c r="PVB84" s="31"/>
      <c r="PVC84" s="31"/>
      <c r="PVD84" s="31"/>
      <c r="PVE84" s="31"/>
      <c r="PVF84" s="31"/>
      <c r="PVG84" s="31"/>
      <c r="PVH84" s="31"/>
      <c r="PVI84" s="31"/>
      <c r="PVJ84" s="31"/>
      <c r="PVK84" s="31"/>
      <c r="PVL84" s="31"/>
      <c r="PVM84" s="31"/>
      <c r="PVN84" s="31"/>
      <c r="PVO84" s="31"/>
      <c r="PVP84" s="31"/>
      <c r="PVQ84" s="31"/>
      <c r="PVR84" s="31"/>
      <c r="PVS84" s="31"/>
      <c r="PVT84" s="31"/>
      <c r="PVU84" s="31"/>
      <c r="PVV84" s="31"/>
      <c r="PVW84" s="31"/>
      <c r="PVX84" s="31"/>
      <c r="PVY84" s="31"/>
      <c r="PVZ84" s="31"/>
      <c r="PWA84" s="31"/>
      <c r="PWB84" s="31"/>
      <c r="PWC84" s="31"/>
      <c r="PWD84" s="31"/>
      <c r="PWE84" s="31"/>
      <c r="PWF84" s="31"/>
      <c r="PWG84" s="31"/>
      <c r="PWH84" s="31"/>
      <c r="PWI84" s="31"/>
      <c r="PWJ84" s="31"/>
      <c r="PWK84" s="31"/>
      <c r="PWL84" s="31"/>
      <c r="PWM84" s="31"/>
      <c r="PWN84" s="31"/>
      <c r="PWO84" s="31"/>
      <c r="PWP84" s="31"/>
      <c r="PWQ84" s="31"/>
      <c r="PWR84" s="31"/>
      <c r="PWS84" s="31"/>
      <c r="PWT84" s="31"/>
      <c r="PWU84" s="31"/>
      <c r="PWV84" s="31"/>
      <c r="PWW84" s="31"/>
      <c r="PWX84" s="31"/>
      <c r="PWY84" s="31"/>
      <c r="PWZ84" s="31"/>
      <c r="PXA84" s="31"/>
      <c r="PXB84" s="31"/>
      <c r="PXC84" s="31"/>
      <c r="PXD84" s="31"/>
      <c r="PXE84" s="31"/>
      <c r="PXF84" s="31"/>
      <c r="PXG84" s="31"/>
      <c r="PXH84" s="31"/>
      <c r="PXI84" s="31"/>
      <c r="PXJ84" s="31"/>
      <c r="PXK84" s="31"/>
      <c r="PXL84" s="31"/>
      <c r="PXM84" s="31"/>
      <c r="PXN84" s="31"/>
      <c r="PXO84" s="31"/>
      <c r="PXP84" s="31"/>
      <c r="PXQ84" s="31"/>
      <c r="PXR84" s="31"/>
      <c r="PXS84" s="31"/>
      <c r="PXT84" s="31"/>
      <c r="PXU84" s="31"/>
      <c r="PXV84" s="31"/>
      <c r="PXW84" s="31"/>
      <c r="PXX84" s="31"/>
      <c r="PXY84" s="31"/>
      <c r="PXZ84" s="31"/>
      <c r="PYA84" s="31"/>
      <c r="PYB84" s="31"/>
      <c r="PYC84" s="31"/>
      <c r="PYD84" s="31"/>
      <c r="PYE84" s="31"/>
      <c r="PYF84" s="31"/>
      <c r="PYG84" s="31"/>
      <c r="PYH84" s="31"/>
      <c r="PYI84" s="31"/>
      <c r="PYJ84" s="31"/>
      <c r="PYK84" s="31"/>
      <c r="PYL84" s="31"/>
      <c r="PYM84" s="31"/>
      <c r="PYN84" s="31"/>
      <c r="PYO84" s="31"/>
      <c r="PYP84" s="31"/>
      <c r="PYQ84" s="31"/>
      <c r="PYR84" s="31"/>
      <c r="PYS84" s="31"/>
      <c r="PYT84" s="31"/>
      <c r="PYU84" s="31"/>
      <c r="PYV84" s="31"/>
      <c r="PYW84" s="31"/>
      <c r="PYX84" s="31"/>
      <c r="PYY84" s="31"/>
      <c r="PYZ84" s="31"/>
      <c r="PZA84" s="31"/>
      <c r="PZB84" s="31"/>
      <c r="PZC84" s="31"/>
      <c r="PZD84" s="31"/>
      <c r="PZE84" s="31"/>
      <c r="PZF84" s="31"/>
      <c r="PZG84" s="31"/>
      <c r="PZH84" s="31"/>
      <c r="PZI84" s="31"/>
      <c r="PZJ84" s="31"/>
      <c r="PZK84" s="31"/>
      <c r="PZL84" s="31"/>
      <c r="PZM84" s="31"/>
      <c r="PZN84" s="31"/>
      <c r="PZO84" s="31"/>
      <c r="PZP84" s="31"/>
      <c r="PZQ84" s="31"/>
      <c r="PZR84" s="31"/>
      <c r="PZS84" s="31"/>
      <c r="PZT84" s="31"/>
      <c r="PZU84" s="31"/>
      <c r="PZV84" s="31"/>
      <c r="PZW84" s="31"/>
      <c r="PZX84" s="31"/>
      <c r="PZY84" s="31"/>
      <c r="PZZ84" s="31"/>
      <c r="QAA84" s="31"/>
      <c r="QAB84" s="31"/>
      <c r="QAC84" s="31"/>
      <c r="QAD84" s="31"/>
      <c r="QAE84" s="31"/>
      <c r="QAF84" s="31"/>
      <c r="QAG84" s="31"/>
      <c r="QAH84" s="31"/>
      <c r="QAI84" s="31"/>
      <c r="QAJ84" s="31"/>
      <c r="QAK84" s="31"/>
      <c r="QAL84" s="31"/>
      <c r="QAM84" s="31"/>
      <c r="QAN84" s="31"/>
      <c r="QAO84" s="31"/>
      <c r="QAP84" s="31"/>
      <c r="QAQ84" s="31"/>
      <c r="QAR84" s="31"/>
      <c r="QAS84" s="31"/>
      <c r="QAT84" s="31"/>
      <c r="QAU84" s="31"/>
      <c r="QAV84" s="31"/>
      <c r="QAW84" s="31"/>
      <c r="QAX84" s="31"/>
      <c r="QAY84" s="31"/>
      <c r="QAZ84" s="31"/>
      <c r="QBA84" s="31"/>
      <c r="QBB84" s="31"/>
      <c r="QBC84" s="31"/>
      <c r="QBD84" s="31"/>
      <c r="QBE84" s="31"/>
      <c r="QBF84" s="31"/>
      <c r="QBG84" s="31"/>
      <c r="QBH84" s="31"/>
      <c r="QBI84" s="31"/>
      <c r="QBJ84" s="31"/>
      <c r="QBK84" s="31"/>
      <c r="QBL84" s="31"/>
      <c r="QBM84" s="31"/>
      <c r="QBN84" s="31"/>
      <c r="QBO84" s="31"/>
      <c r="QBP84" s="31"/>
      <c r="QBQ84" s="31"/>
      <c r="QBR84" s="31"/>
      <c r="QBS84" s="31"/>
      <c r="QBT84" s="31"/>
      <c r="QBU84" s="31"/>
      <c r="QBV84" s="31"/>
      <c r="QBW84" s="31"/>
      <c r="QBX84" s="31"/>
      <c r="QBY84" s="31"/>
      <c r="QBZ84" s="31"/>
      <c r="QCA84" s="31"/>
      <c r="QCB84" s="31"/>
      <c r="QCC84" s="31"/>
      <c r="QCD84" s="31"/>
      <c r="QCE84" s="31"/>
      <c r="QCF84" s="31"/>
      <c r="QCG84" s="31"/>
      <c r="QCH84" s="31"/>
      <c r="QCI84" s="31"/>
      <c r="QCJ84" s="31"/>
      <c r="QCK84" s="31"/>
      <c r="QCL84" s="31"/>
      <c r="QCM84" s="31"/>
      <c r="QCN84" s="31"/>
      <c r="QCO84" s="31"/>
      <c r="QCP84" s="31"/>
      <c r="QCQ84" s="31"/>
      <c r="QCR84" s="31"/>
      <c r="QCS84" s="31"/>
      <c r="QCT84" s="31"/>
      <c r="QCU84" s="31"/>
      <c r="QCV84" s="31"/>
      <c r="QCW84" s="31"/>
      <c r="QCX84" s="31"/>
      <c r="QCY84" s="31"/>
      <c r="QCZ84" s="31"/>
      <c r="QDA84" s="31"/>
      <c r="QDB84" s="31"/>
      <c r="QDC84" s="31"/>
      <c r="QDD84" s="31"/>
      <c r="QDE84" s="31"/>
      <c r="QDF84" s="31"/>
      <c r="QDG84" s="31"/>
      <c r="QDH84" s="31"/>
      <c r="QDI84" s="31"/>
      <c r="QDJ84" s="31"/>
      <c r="QDK84" s="31"/>
      <c r="QDL84" s="31"/>
      <c r="QDM84" s="31"/>
      <c r="QDN84" s="31"/>
      <c r="QDO84" s="31"/>
      <c r="QDP84" s="31"/>
      <c r="QDQ84" s="31"/>
      <c r="QDR84" s="31"/>
      <c r="QDS84" s="31"/>
      <c r="QDT84" s="31"/>
      <c r="QDU84" s="31"/>
      <c r="QDV84" s="31"/>
      <c r="QDW84" s="31"/>
      <c r="QDX84" s="31"/>
      <c r="QDY84" s="31"/>
      <c r="QDZ84" s="31"/>
      <c r="QEA84" s="31"/>
      <c r="QEB84" s="31"/>
      <c r="QEC84" s="31"/>
      <c r="QED84" s="31"/>
      <c r="QEE84" s="31"/>
      <c r="QEF84" s="31"/>
      <c r="QEG84" s="31"/>
      <c r="QEH84" s="31"/>
      <c r="QEI84" s="31"/>
      <c r="QEJ84" s="31"/>
      <c r="QEK84" s="31"/>
      <c r="QEL84" s="31"/>
      <c r="QEM84" s="31"/>
      <c r="QEN84" s="31"/>
      <c r="QEO84" s="31"/>
      <c r="QEP84" s="31"/>
      <c r="QEQ84" s="31"/>
      <c r="QER84" s="31"/>
      <c r="QES84" s="31"/>
      <c r="QET84" s="31"/>
      <c r="QEU84" s="31"/>
      <c r="QEV84" s="31"/>
      <c r="QEW84" s="31"/>
      <c r="QEX84" s="31"/>
      <c r="QEY84" s="31"/>
      <c r="QEZ84" s="31"/>
      <c r="QFA84" s="31"/>
      <c r="QFB84" s="31"/>
      <c r="QFC84" s="31"/>
      <c r="QFD84" s="31"/>
      <c r="QFE84" s="31"/>
      <c r="QFF84" s="31"/>
      <c r="QFG84" s="31"/>
      <c r="QFH84" s="31"/>
      <c r="QFI84" s="31"/>
      <c r="QFJ84" s="31"/>
      <c r="QFK84" s="31"/>
      <c r="QFL84" s="31"/>
      <c r="QFM84" s="31"/>
      <c r="QFN84" s="31"/>
      <c r="QFO84" s="31"/>
      <c r="QFP84" s="31"/>
      <c r="QFQ84" s="31"/>
      <c r="QFR84" s="31"/>
      <c r="QFS84" s="31"/>
      <c r="QFT84" s="31"/>
      <c r="QFU84" s="31"/>
      <c r="QFV84" s="31"/>
      <c r="QFW84" s="31"/>
      <c r="QFX84" s="31"/>
      <c r="QFY84" s="31"/>
      <c r="QFZ84" s="31"/>
      <c r="QGA84" s="31"/>
      <c r="QGB84" s="31"/>
      <c r="QGC84" s="31"/>
      <c r="QGD84" s="31"/>
      <c r="QGE84" s="31"/>
      <c r="QGF84" s="31"/>
      <c r="QGG84" s="31"/>
      <c r="QGH84" s="31"/>
      <c r="QGI84" s="31"/>
      <c r="QGJ84" s="31"/>
      <c r="QGK84" s="31"/>
      <c r="QGL84" s="31"/>
      <c r="QGM84" s="31"/>
      <c r="QGN84" s="31"/>
      <c r="QGO84" s="31"/>
      <c r="QGP84" s="31"/>
      <c r="QGQ84" s="31"/>
      <c r="QGR84" s="31"/>
      <c r="QGS84" s="31"/>
      <c r="QGT84" s="31"/>
      <c r="QGU84" s="31"/>
      <c r="QGV84" s="31"/>
      <c r="QGW84" s="31"/>
      <c r="QGX84" s="31"/>
      <c r="QGY84" s="31"/>
      <c r="QGZ84" s="31"/>
      <c r="QHA84" s="31"/>
      <c r="QHB84" s="31"/>
      <c r="QHC84" s="31"/>
      <c r="QHD84" s="31"/>
      <c r="QHE84" s="31"/>
      <c r="QHF84" s="31"/>
      <c r="QHG84" s="31"/>
      <c r="QHH84" s="31"/>
      <c r="QHI84" s="31"/>
      <c r="QHJ84" s="31"/>
      <c r="QHK84" s="31"/>
      <c r="QHL84" s="31"/>
      <c r="QHM84" s="31"/>
      <c r="QHN84" s="31"/>
      <c r="QHO84" s="31"/>
      <c r="QHP84" s="31"/>
      <c r="QHQ84" s="31"/>
      <c r="QHR84" s="31"/>
      <c r="QHS84" s="31"/>
      <c r="QHT84" s="31"/>
      <c r="QHU84" s="31"/>
      <c r="QHV84" s="31"/>
      <c r="QHW84" s="31"/>
      <c r="QHX84" s="31"/>
      <c r="QHY84" s="31"/>
      <c r="QHZ84" s="31"/>
      <c r="QIA84" s="31"/>
      <c r="QIB84" s="31"/>
      <c r="QIC84" s="31"/>
      <c r="QID84" s="31"/>
      <c r="QIE84" s="31"/>
      <c r="QIF84" s="31"/>
      <c r="QIG84" s="31"/>
      <c r="QIH84" s="31"/>
      <c r="QII84" s="31"/>
      <c r="QIJ84" s="31"/>
      <c r="QIK84" s="31"/>
      <c r="QIL84" s="31"/>
      <c r="QIM84" s="31"/>
      <c r="QIN84" s="31"/>
      <c r="QIO84" s="31"/>
      <c r="QIP84" s="31"/>
      <c r="QIQ84" s="31"/>
      <c r="QIR84" s="31"/>
      <c r="QIS84" s="31"/>
      <c r="QIT84" s="31"/>
      <c r="QIU84" s="31"/>
      <c r="QIV84" s="31"/>
      <c r="QIW84" s="31"/>
      <c r="QIX84" s="31"/>
      <c r="QIY84" s="31"/>
      <c r="QIZ84" s="31"/>
      <c r="QJA84" s="31"/>
      <c r="QJB84" s="31"/>
      <c r="QJC84" s="31"/>
      <c r="QJD84" s="31"/>
      <c r="QJE84" s="31"/>
      <c r="QJF84" s="31"/>
      <c r="QJG84" s="31"/>
      <c r="QJH84" s="31"/>
      <c r="QJI84" s="31"/>
      <c r="QJJ84" s="31"/>
      <c r="QJK84" s="31"/>
      <c r="QJL84" s="31"/>
      <c r="QJM84" s="31"/>
      <c r="QJN84" s="31"/>
      <c r="QJO84" s="31"/>
      <c r="QJP84" s="31"/>
      <c r="QJQ84" s="31"/>
      <c r="QJR84" s="31"/>
      <c r="QJS84" s="31"/>
      <c r="QJT84" s="31"/>
      <c r="QJU84" s="31"/>
      <c r="QJV84" s="31"/>
      <c r="QJW84" s="31"/>
      <c r="QJX84" s="31"/>
      <c r="QJY84" s="31"/>
      <c r="QJZ84" s="31"/>
      <c r="QKA84" s="31"/>
      <c r="QKB84" s="31"/>
      <c r="QKC84" s="31"/>
      <c r="QKD84" s="31"/>
      <c r="QKE84" s="31"/>
      <c r="QKF84" s="31"/>
      <c r="QKG84" s="31"/>
      <c r="QKH84" s="31"/>
      <c r="QKI84" s="31"/>
      <c r="QKJ84" s="31"/>
      <c r="QKK84" s="31"/>
      <c r="QKL84" s="31"/>
      <c r="QKM84" s="31"/>
      <c r="QKN84" s="31"/>
      <c r="QKO84" s="31"/>
      <c r="QKP84" s="31"/>
      <c r="QKQ84" s="31"/>
      <c r="QKR84" s="31"/>
      <c r="QKS84" s="31"/>
      <c r="QKT84" s="31"/>
      <c r="QKU84" s="31"/>
      <c r="QKV84" s="31"/>
      <c r="QKW84" s="31"/>
      <c r="QKX84" s="31"/>
      <c r="QKY84" s="31"/>
      <c r="QKZ84" s="31"/>
      <c r="QLA84" s="31"/>
      <c r="QLB84" s="31"/>
      <c r="QLC84" s="31"/>
      <c r="QLD84" s="31"/>
      <c r="QLE84" s="31"/>
      <c r="QLF84" s="31"/>
      <c r="QLG84" s="31"/>
      <c r="QLH84" s="31"/>
      <c r="QLI84" s="31"/>
      <c r="QLJ84" s="31"/>
      <c r="QLK84" s="31"/>
      <c r="QLL84" s="31"/>
      <c r="QLM84" s="31"/>
      <c r="QLN84" s="31"/>
      <c r="QLO84" s="31"/>
      <c r="QLP84" s="31"/>
      <c r="QLQ84" s="31"/>
      <c r="QLR84" s="31"/>
      <c r="QLS84" s="31"/>
      <c r="QLT84" s="31"/>
      <c r="QLU84" s="31"/>
      <c r="QLV84" s="31"/>
      <c r="QLW84" s="31"/>
      <c r="QLX84" s="31"/>
      <c r="QLY84" s="31"/>
      <c r="QLZ84" s="31"/>
      <c r="QMA84" s="31"/>
      <c r="QMB84" s="31"/>
      <c r="QMC84" s="31"/>
      <c r="QMD84" s="31"/>
      <c r="QME84" s="31"/>
      <c r="QMF84" s="31"/>
      <c r="QMG84" s="31"/>
      <c r="QMH84" s="31"/>
      <c r="QMI84" s="31"/>
      <c r="QMJ84" s="31"/>
      <c r="QMK84" s="31"/>
      <c r="QML84" s="31"/>
      <c r="QMM84" s="31"/>
      <c r="QMN84" s="31"/>
      <c r="QMO84" s="31"/>
      <c r="QMP84" s="31"/>
      <c r="QMQ84" s="31"/>
      <c r="QMR84" s="31"/>
      <c r="QMS84" s="31"/>
      <c r="QMT84" s="31"/>
      <c r="QMU84" s="31"/>
      <c r="QMV84" s="31"/>
      <c r="QMW84" s="31"/>
      <c r="QMX84" s="31"/>
      <c r="QMY84" s="31"/>
      <c r="QMZ84" s="31"/>
      <c r="QNA84" s="31"/>
      <c r="QNB84" s="31"/>
      <c r="QNC84" s="31"/>
      <c r="QND84" s="31"/>
      <c r="QNE84" s="31"/>
      <c r="QNF84" s="31"/>
      <c r="QNG84" s="31"/>
      <c r="QNH84" s="31"/>
      <c r="QNI84" s="31"/>
      <c r="QNJ84" s="31"/>
      <c r="QNK84" s="31"/>
      <c r="QNL84" s="31"/>
      <c r="QNM84" s="31"/>
      <c r="QNN84" s="31"/>
      <c r="QNO84" s="31"/>
      <c r="QNP84" s="31"/>
      <c r="QNQ84" s="31"/>
      <c r="QNR84" s="31"/>
      <c r="QNS84" s="31"/>
      <c r="QNT84" s="31"/>
      <c r="QNU84" s="31"/>
      <c r="QNV84" s="31"/>
      <c r="QNW84" s="31"/>
      <c r="QNX84" s="31"/>
      <c r="QNY84" s="31"/>
      <c r="QNZ84" s="31"/>
      <c r="QOA84" s="31"/>
      <c r="QOB84" s="31"/>
      <c r="QOC84" s="31"/>
      <c r="QOD84" s="31"/>
      <c r="QOE84" s="31"/>
      <c r="QOF84" s="31"/>
      <c r="QOG84" s="31"/>
      <c r="QOH84" s="31"/>
      <c r="QOI84" s="31"/>
      <c r="QOJ84" s="31"/>
      <c r="QOK84" s="31"/>
      <c r="QOL84" s="31"/>
      <c r="QOM84" s="31"/>
      <c r="QON84" s="31"/>
      <c r="QOO84" s="31"/>
      <c r="QOP84" s="31"/>
      <c r="QOQ84" s="31"/>
      <c r="QOR84" s="31"/>
      <c r="QOS84" s="31"/>
      <c r="QOT84" s="31"/>
      <c r="QOU84" s="31"/>
      <c r="QOV84" s="31"/>
      <c r="QOW84" s="31"/>
      <c r="QOX84" s="31"/>
      <c r="QOY84" s="31"/>
      <c r="QOZ84" s="31"/>
      <c r="QPA84" s="31"/>
      <c r="QPB84" s="31"/>
      <c r="QPC84" s="31"/>
      <c r="QPD84" s="31"/>
      <c r="QPE84" s="31"/>
      <c r="QPF84" s="31"/>
      <c r="QPG84" s="31"/>
      <c r="QPH84" s="31"/>
      <c r="QPI84" s="31"/>
      <c r="QPJ84" s="31"/>
      <c r="QPK84" s="31"/>
      <c r="QPL84" s="31"/>
      <c r="QPM84" s="31"/>
      <c r="QPN84" s="31"/>
      <c r="QPO84" s="31"/>
      <c r="QPP84" s="31"/>
      <c r="QPQ84" s="31"/>
      <c r="QPR84" s="31"/>
      <c r="QPS84" s="31"/>
      <c r="QPT84" s="31"/>
      <c r="QPU84" s="31"/>
      <c r="QPV84" s="31"/>
      <c r="QPW84" s="31"/>
      <c r="QPX84" s="31"/>
      <c r="QPY84" s="31"/>
      <c r="QPZ84" s="31"/>
      <c r="QQA84" s="31"/>
      <c r="QQB84" s="31"/>
      <c r="QQC84" s="31"/>
      <c r="QQD84" s="31"/>
      <c r="QQE84" s="31"/>
      <c r="QQF84" s="31"/>
      <c r="QQG84" s="31"/>
      <c r="QQH84" s="31"/>
      <c r="QQI84" s="31"/>
      <c r="QQJ84" s="31"/>
      <c r="QQK84" s="31"/>
      <c r="QQL84" s="31"/>
      <c r="QQM84" s="31"/>
      <c r="QQN84" s="31"/>
      <c r="QQO84" s="31"/>
      <c r="QQP84" s="31"/>
      <c r="QQQ84" s="31"/>
      <c r="QQR84" s="31"/>
      <c r="QQS84" s="31"/>
      <c r="QQT84" s="31"/>
      <c r="QQU84" s="31"/>
      <c r="QQV84" s="31"/>
      <c r="QQW84" s="31"/>
      <c r="QQX84" s="31"/>
      <c r="QQY84" s="31"/>
      <c r="QQZ84" s="31"/>
      <c r="QRA84" s="31"/>
      <c r="QRB84" s="31"/>
      <c r="QRC84" s="31"/>
      <c r="QRD84" s="31"/>
      <c r="QRE84" s="31"/>
      <c r="QRF84" s="31"/>
      <c r="QRG84" s="31"/>
      <c r="QRH84" s="31"/>
      <c r="QRI84" s="31"/>
      <c r="QRJ84" s="31"/>
      <c r="QRK84" s="31"/>
      <c r="QRL84" s="31"/>
      <c r="QRM84" s="31"/>
      <c r="QRN84" s="31"/>
      <c r="QRO84" s="31"/>
      <c r="QRP84" s="31"/>
      <c r="QRQ84" s="31"/>
      <c r="QRR84" s="31"/>
      <c r="QRS84" s="31"/>
      <c r="QRT84" s="31"/>
      <c r="QRU84" s="31"/>
      <c r="QRV84" s="31"/>
      <c r="QRW84" s="31"/>
      <c r="QRX84" s="31"/>
      <c r="QRY84" s="31"/>
      <c r="QRZ84" s="31"/>
      <c r="QSA84" s="31"/>
      <c r="QSB84" s="31"/>
      <c r="QSC84" s="31"/>
      <c r="QSD84" s="31"/>
      <c r="QSE84" s="31"/>
      <c r="QSF84" s="31"/>
      <c r="QSG84" s="31"/>
      <c r="QSH84" s="31"/>
      <c r="QSI84" s="31"/>
      <c r="QSJ84" s="31"/>
      <c r="QSK84" s="31"/>
      <c r="QSL84" s="31"/>
      <c r="QSM84" s="31"/>
      <c r="QSN84" s="31"/>
      <c r="QSO84" s="31"/>
      <c r="QSP84" s="31"/>
      <c r="QSQ84" s="31"/>
      <c r="QSR84" s="31"/>
      <c r="QSS84" s="31"/>
      <c r="QST84" s="31"/>
      <c r="QSU84" s="31"/>
      <c r="QSV84" s="31"/>
      <c r="QSW84" s="31"/>
      <c r="QSX84" s="31"/>
      <c r="QSY84" s="31"/>
      <c r="QSZ84" s="31"/>
      <c r="QTA84" s="31"/>
      <c r="QTB84" s="31"/>
      <c r="QTC84" s="31"/>
      <c r="QTD84" s="31"/>
      <c r="QTE84" s="31"/>
      <c r="QTF84" s="31"/>
      <c r="QTG84" s="31"/>
      <c r="QTH84" s="31"/>
      <c r="QTI84" s="31"/>
      <c r="QTJ84" s="31"/>
      <c r="QTK84" s="31"/>
      <c r="QTL84" s="31"/>
      <c r="QTM84" s="31"/>
      <c r="QTN84" s="31"/>
      <c r="QTO84" s="31"/>
      <c r="QTP84" s="31"/>
      <c r="QTQ84" s="31"/>
      <c r="QTR84" s="31"/>
      <c r="QTS84" s="31"/>
      <c r="QTT84" s="31"/>
      <c r="QTU84" s="31"/>
      <c r="QTV84" s="31"/>
      <c r="QTW84" s="31"/>
      <c r="QTX84" s="31"/>
      <c r="QTY84" s="31"/>
      <c r="QTZ84" s="31"/>
      <c r="QUA84" s="31"/>
      <c r="QUB84" s="31"/>
      <c r="QUC84" s="31"/>
      <c r="QUD84" s="31"/>
      <c r="QUE84" s="31"/>
      <c r="QUF84" s="31"/>
      <c r="QUG84" s="31"/>
      <c r="QUH84" s="31"/>
      <c r="QUI84" s="31"/>
      <c r="QUJ84" s="31"/>
      <c r="QUK84" s="31"/>
      <c r="QUL84" s="31"/>
      <c r="QUM84" s="31"/>
      <c r="QUN84" s="31"/>
      <c r="QUO84" s="31"/>
      <c r="QUP84" s="31"/>
      <c r="QUQ84" s="31"/>
      <c r="QUR84" s="31"/>
      <c r="QUS84" s="31"/>
      <c r="QUT84" s="31"/>
      <c r="QUU84" s="31"/>
      <c r="QUV84" s="31"/>
      <c r="QUW84" s="31"/>
      <c r="QUX84" s="31"/>
      <c r="QUY84" s="31"/>
      <c r="QUZ84" s="31"/>
      <c r="QVA84" s="31"/>
      <c r="QVB84" s="31"/>
      <c r="QVC84" s="31"/>
      <c r="QVD84" s="31"/>
      <c r="QVE84" s="31"/>
      <c r="QVF84" s="31"/>
      <c r="QVG84" s="31"/>
      <c r="QVH84" s="31"/>
      <c r="QVI84" s="31"/>
      <c r="QVJ84" s="31"/>
      <c r="QVK84" s="31"/>
      <c r="QVL84" s="31"/>
      <c r="QVM84" s="31"/>
      <c r="QVN84" s="31"/>
      <c r="QVO84" s="31"/>
      <c r="QVP84" s="31"/>
      <c r="QVQ84" s="31"/>
      <c r="QVR84" s="31"/>
      <c r="QVS84" s="31"/>
      <c r="QVT84" s="31"/>
      <c r="QVU84" s="31"/>
      <c r="QVV84" s="31"/>
      <c r="QVW84" s="31"/>
      <c r="QVX84" s="31"/>
      <c r="QVY84" s="31"/>
      <c r="QVZ84" s="31"/>
      <c r="QWA84" s="31"/>
      <c r="QWB84" s="31"/>
      <c r="QWC84" s="31"/>
      <c r="QWD84" s="31"/>
      <c r="QWE84" s="31"/>
      <c r="QWF84" s="31"/>
      <c r="QWG84" s="31"/>
      <c r="QWH84" s="31"/>
      <c r="QWI84" s="31"/>
      <c r="QWJ84" s="31"/>
      <c r="QWK84" s="31"/>
      <c r="QWL84" s="31"/>
      <c r="QWM84" s="31"/>
      <c r="QWN84" s="31"/>
      <c r="QWO84" s="31"/>
      <c r="QWP84" s="31"/>
      <c r="QWQ84" s="31"/>
      <c r="QWR84" s="31"/>
      <c r="QWS84" s="31"/>
      <c r="QWT84" s="31"/>
      <c r="QWU84" s="31"/>
      <c r="QWV84" s="31"/>
      <c r="QWW84" s="31"/>
      <c r="QWX84" s="31"/>
      <c r="QWY84" s="31"/>
      <c r="QWZ84" s="31"/>
      <c r="QXA84" s="31"/>
      <c r="QXB84" s="31"/>
      <c r="QXC84" s="31"/>
      <c r="QXD84" s="31"/>
      <c r="QXE84" s="31"/>
      <c r="QXF84" s="31"/>
      <c r="QXG84" s="31"/>
      <c r="QXH84" s="31"/>
      <c r="QXI84" s="31"/>
      <c r="QXJ84" s="31"/>
      <c r="QXK84" s="31"/>
      <c r="QXL84" s="31"/>
      <c r="QXM84" s="31"/>
      <c r="QXN84" s="31"/>
      <c r="QXO84" s="31"/>
      <c r="QXP84" s="31"/>
      <c r="QXQ84" s="31"/>
      <c r="QXR84" s="31"/>
      <c r="QXS84" s="31"/>
      <c r="QXT84" s="31"/>
      <c r="QXU84" s="31"/>
      <c r="QXV84" s="31"/>
      <c r="QXW84" s="31"/>
      <c r="QXX84" s="31"/>
      <c r="QXY84" s="31"/>
      <c r="QXZ84" s="31"/>
      <c r="QYA84" s="31"/>
      <c r="QYB84" s="31"/>
      <c r="QYC84" s="31"/>
      <c r="QYD84" s="31"/>
      <c r="QYE84" s="31"/>
      <c r="QYF84" s="31"/>
      <c r="QYG84" s="31"/>
      <c r="QYH84" s="31"/>
      <c r="QYI84" s="31"/>
      <c r="QYJ84" s="31"/>
      <c r="QYK84" s="31"/>
      <c r="QYL84" s="31"/>
      <c r="QYM84" s="31"/>
      <c r="QYN84" s="31"/>
      <c r="QYO84" s="31"/>
      <c r="QYP84" s="31"/>
      <c r="QYQ84" s="31"/>
      <c r="QYR84" s="31"/>
      <c r="QYS84" s="31"/>
      <c r="QYT84" s="31"/>
      <c r="QYU84" s="31"/>
      <c r="QYV84" s="31"/>
      <c r="QYW84" s="31"/>
      <c r="QYX84" s="31"/>
      <c r="QYY84" s="31"/>
      <c r="QYZ84" s="31"/>
      <c r="QZA84" s="31"/>
      <c r="QZB84" s="31"/>
      <c r="QZC84" s="31"/>
      <c r="QZD84" s="31"/>
      <c r="QZE84" s="31"/>
      <c r="QZF84" s="31"/>
      <c r="QZG84" s="31"/>
      <c r="QZH84" s="31"/>
      <c r="QZI84" s="31"/>
      <c r="QZJ84" s="31"/>
      <c r="QZK84" s="31"/>
      <c r="QZL84" s="31"/>
      <c r="QZM84" s="31"/>
      <c r="QZN84" s="31"/>
      <c r="QZO84" s="31"/>
      <c r="QZP84" s="31"/>
      <c r="QZQ84" s="31"/>
      <c r="QZR84" s="31"/>
      <c r="QZS84" s="31"/>
      <c r="QZT84" s="31"/>
      <c r="QZU84" s="31"/>
      <c r="QZV84" s="31"/>
      <c r="QZW84" s="31"/>
      <c r="QZX84" s="31"/>
      <c r="QZY84" s="31"/>
      <c r="QZZ84" s="31"/>
      <c r="RAA84" s="31"/>
      <c r="RAB84" s="31"/>
      <c r="RAC84" s="31"/>
      <c r="RAD84" s="31"/>
      <c r="RAE84" s="31"/>
      <c r="RAF84" s="31"/>
      <c r="RAG84" s="31"/>
      <c r="RAH84" s="31"/>
      <c r="RAI84" s="31"/>
      <c r="RAJ84" s="31"/>
      <c r="RAK84" s="31"/>
      <c r="RAL84" s="31"/>
      <c r="RAM84" s="31"/>
      <c r="RAN84" s="31"/>
      <c r="RAO84" s="31"/>
      <c r="RAP84" s="31"/>
      <c r="RAQ84" s="31"/>
      <c r="RAR84" s="31"/>
      <c r="RAS84" s="31"/>
      <c r="RAT84" s="31"/>
      <c r="RAU84" s="31"/>
      <c r="RAV84" s="31"/>
      <c r="RAW84" s="31"/>
      <c r="RAX84" s="31"/>
      <c r="RAY84" s="31"/>
      <c r="RAZ84" s="31"/>
      <c r="RBA84" s="31"/>
      <c r="RBB84" s="31"/>
      <c r="RBC84" s="31"/>
      <c r="RBD84" s="31"/>
      <c r="RBE84" s="31"/>
      <c r="RBF84" s="31"/>
      <c r="RBG84" s="31"/>
      <c r="RBH84" s="31"/>
      <c r="RBI84" s="31"/>
      <c r="RBJ84" s="31"/>
      <c r="RBK84" s="31"/>
      <c r="RBL84" s="31"/>
      <c r="RBM84" s="31"/>
      <c r="RBN84" s="31"/>
      <c r="RBO84" s="31"/>
      <c r="RBP84" s="31"/>
      <c r="RBQ84" s="31"/>
      <c r="RBR84" s="31"/>
      <c r="RBS84" s="31"/>
      <c r="RBT84" s="31"/>
      <c r="RBU84" s="31"/>
      <c r="RBV84" s="31"/>
      <c r="RBW84" s="31"/>
      <c r="RBX84" s="31"/>
      <c r="RBY84" s="31"/>
      <c r="RBZ84" s="31"/>
      <c r="RCA84" s="31"/>
      <c r="RCB84" s="31"/>
      <c r="RCC84" s="31"/>
      <c r="RCD84" s="31"/>
      <c r="RCE84" s="31"/>
      <c r="RCF84" s="31"/>
      <c r="RCG84" s="31"/>
      <c r="RCH84" s="31"/>
      <c r="RCI84" s="31"/>
      <c r="RCJ84" s="31"/>
      <c r="RCK84" s="31"/>
      <c r="RCL84" s="31"/>
      <c r="RCM84" s="31"/>
      <c r="RCN84" s="31"/>
      <c r="RCO84" s="31"/>
      <c r="RCP84" s="31"/>
      <c r="RCQ84" s="31"/>
      <c r="RCR84" s="31"/>
      <c r="RCS84" s="31"/>
      <c r="RCT84" s="31"/>
      <c r="RCU84" s="31"/>
      <c r="RCV84" s="31"/>
      <c r="RCW84" s="31"/>
      <c r="RCX84" s="31"/>
      <c r="RCY84" s="31"/>
      <c r="RCZ84" s="31"/>
      <c r="RDA84" s="31"/>
      <c r="RDB84" s="31"/>
      <c r="RDC84" s="31"/>
      <c r="RDD84" s="31"/>
      <c r="RDE84" s="31"/>
      <c r="RDF84" s="31"/>
      <c r="RDG84" s="31"/>
      <c r="RDH84" s="31"/>
      <c r="RDI84" s="31"/>
      <c r="RDJ84" s="31"/>
      <c r="RDK84" s="31"/>
      <c r="RDL84" s="31"/>
      <c r="RDM84" s="31"/>
      <c r="RDN84" s="31"/>
      <c r="RDO84" s="31"/>
      <c r="RDP84" s="31"/>
      <c r="RDQ84" s="31"/>
      <c r="RDR84" s="31"/>
      <c r="RDS84" s="31"/>
      <c r="RDT84" s="31"/>
      <c r="RDU84" s="31"/>
      <c r="RDV84" s="31"/>
      <c r="RDW84" s="31"/>
      <c r="RDX84" s="31"/>
      <c r="RDY84" s="31"/>
      <c r="RDZ84" s="31"/>
      <c r="REA84" s="31"/>
      <c r="REB84" s="31"/>
      <c r="REC84" s="31"/>
      <c r="RED84" s="31"/>
      <c r="REE84" s="31"/>
      <c r="REF84" s="31"/>
      <c r="REG84" s="31"/>
      <c r="REH84" s="31"/>
      <c r="REI84" s="31"/>
      <c r="REJ84" s="31"/>
      <c r="REK84" s="31"/>
      <c r="REL84" s="31"/>
      <c r="REM84" s="31"/>
      <c r="REN84" s="31"/>
      <c r="REO84" s="31"/>
      <c r="REP84" s="31"/>
      <c r="REQ84" s="31"/>
      <c r="RER84" s="31"/>
      <c r="RES84" s="31"/>
      <c r="RET84" s="31"/>
      <c r="REU84" s="31"/>
      <c r="REV84" s="31"/>
      <c r="REW84" s="31"/>
      <c r="REX84" s="31"/>
      <c r="REY84" s="31"/>
      <c r="REZ84" s="31"/>
      <c r="RFA84" s="31"/>
      <c r="RFB84" s="31"/>
      <c r="RFC84" s="31"/>
      <c r="RFD84" s="31"/>
      <c r="RFE84" s="31"/>
      <c r="RFF84" s="31"/>
      <c r="RFG84" s="31"/>
      <c r="RFH84" s="31"/>
      <c r="RFI84" s="31"/>
      <c r="RFJ84" s="31"/>
      <c r="RFK84" s="31"/>
      <c r="RFL84" s="31"/>
      <c r="RFM84" s="31"/>
      <c r="RFN84" s="31"/>
      <c r="RFO84" s="31"/>
      <c r="RFP84" s="31"/>
      <c r="RFQ84" s="31"/>
      <c r="RFR84" s="31"/>
      <c r="RFS84" s="31"/>
      <c r="RFT84" s="31"/>
      <c r="RFU84" s="31"/>
      <c r="RFV84" s="31"/>
      <c r="RFW84" s="31"/>
      <c r="RFX84" s="31"/>
      <c r="RFY84" s="31"/>
      <c r="RFZ84" s="31"/>
      <c r="RGA84" s="31"/>
      <c r="RGB84" s="31"/>
      <c r="RGC84" s="31"/>
      <c r="RGD84" s="31"/>
      <c r="RGE84" s="31"/>
      <c r="RGF84" s="31"/>
      <c r="RGG84" s="31"/>
      <c r="RGH84" s="31"/>
      <c r="RGI84" s="31"/>
      <c r="RGJ84" s="31"/>
      <c r="RGK84" s="31"/>
      <c r="RGL84" s="31"/>
      <c r="RGM84" s="31"/>
      <c r="RGN84" s="31"/>
      <c r="RGO84" s="31"/>
      <c r="RGP84" s="31"/>
      <c r="RGQ84" s="31"/>
      <c r="RGR84" s="31"/>
      <c r="RGS84" s="31"/>
      <c r="RGT84" s="31"/>
      <c r="RGU84" s="31"/>
      <c r="RGV84" s="31"/>
      <c r="RGW84" s="31"/>
      <c r="RGX84" s="31"/>
      <c r="RGY84" s="31"/>
      <c r="RGZ84" s="31"/>
      <c r="RHA84" s="31"/>
      <c r="RHB84" s="31"/>
      <c r="RHC84" s="31"/>
      <c r="RHD84" s="31"/>
      <c r="RHE84" s="31"/>
      <c r="RHF84" s="31"/>
      <c r="RHG84" s="31"/>
      <c r="RHH84" s="31"/>
      <c r="RHI84" s="31"/>
      <c r="RHJ84" s="31"/>
      <c r="RHK84" s="31"/>
      <c r="RHL84" s="31"/>
      <c r="RHM84" s="31"/>
      <c r="RHN84" s="31"/>
      <c r="RHO84" s="31"/>
      <c r="RHP84" s="31"/>
      <c r="RHQ84" s="31"/>
      <c r="RHR84" s="31"/>
      <c r="RHS84" s="31"/>
      <c r="RHT84" s="31"/>
      <c r="RHU84" s="31"/>
      <c r="RHV84" s="31"/>
      <c r="RHW84" s="31"/>
      <c r="RHX84" s="31"/>
      <c r="RHY84" s="31"/>
      <c r="RHZ84" s="31"/>
      <c r="RIA84" s="31"/>
      <c r="RIB84" s="31"/>
      <c r="RIC84" s="31"/>
      <c r="RID84" s="31"/>
      <c r="RIE84" s="31"/>
      <c r="RIF84" s="31"/>
      <c r="RIG84" s="31"/>
      <c r="RIH84" s="31"/>
      <c r="RII84" s="31"/>
      <c r="RIJ84" s="31"/>
      <c r="RIK84" s="31"/>
      <c r="RIL84" s="31"/>
      <c r="RIM84" s="31"/>
      <c r="RIN84" s="31"/>
      <c r="RIO84" s="31"/>
      <c r="RIP84" s="31"/>
      <c r="RIQ84" s="31"/>
      <c r="RIR84" s="31"/>
      <c r="RIS84" s="31"/>
      <c r="RIT84" s="31"/>
      <c r="RIU84" s="31"/>
      <c r="RIV84" s="31"/>
      <c r="RIW84" s="31"/>
      <c r="RIX84" s="31"/>
      <c r="RIY84" s="31"/>
      <c r="RIZ84" s="31"/>
      <c r="RJA84" s="31"/>
      <c r="RJB84" s="31"/>
      <c r="RJC84" s="31"/>
      <c r="RJD84" s="31"/>
      <c r="RJE84" s="31"/>
      <c r="RJF84" s="31"/>
      <c r="RJG84" s="31"/>
      <c r="RJH84" s="31"/>
      <c r="RJI84" s="31"/>
      <c r="RJJ84" s="31"/>
      <c r="RJK84" s="31"/>
      <c r="RJL84" s="31"/>
      <c r="RJM84" s="31"/>
      <c r="RJN84" s="31"/>
      <c r="RJO84" s="31"/>
      <c r="RJP84" s="31"/>
      <c r="RJQ84" s="31"/>
      <c r="RJR84" s="31"/>
      <c r="RJS84" s="31"/>
      <c r="RJT84" s="31"/>
      <c r="RJU84" s="31"/>
      <c r="RJV84" s="31"/>
      <c r="RJW84" s="31"/>
      <c r="RJX84" s="31"/>
      <c r="RJY84" s="31"/>
      <c r="RJZ84" s="31"/>
      <c r="RKA84" s="31"/>
      <c r="RKB84" s="31"/>
      <c r="RKC84" s="31"/>
      <c r="RKD84" s="31"/>
      <c r="RKE84" s="31"/>
      <c r="RKF84" s="31"/>
      <c r="RKG84" s="31"/>
      <c r="RKH84" s="31"/>
      <c r="RKI84" s="31"/>
      <c r="RKJ84" s="31"/>
      <c r="RKK84" s="31"/>
      <c r="RKL84" s="31"/>
      <c r="RKM84" s="31"/>
      <c r="RKN84" s="31"/>
      <c r="RKO84" s="31"/>
      <c r="RKP84" s="31"/>
      <c r="RKQ84" s="31"/>
      <c r="RKR84" s="31"/>
      <c r="RKS84" s="31"/>
      <c r="RKT84" s="31"/>
      <c r="RKU84" s="31"/>
      <c r="RKV84" s="31"/>
      <c r="RKW84" s="31"/>
      <c r="RKX84" s="31"/>
      <c r="RKY84" s="31"/>
      <c r="RKZ84" s="31"/>
      <c r="RLA84" s="31"/>
      <c r="RLB84" s="31"/>
      <c r="RLC84" s="31"/>
      <c r="RLD84" s="31"/>
      <c r="RLE84" s="31"/>
      <c r="RLF84" s="31"/>
      <c r="RLG84" s="31"/>
      <c r="RLH84" s="31"/>
      <c r="RLI84" s="31"/>
      <c r="RLJ84" s="31"/>
      <c r="RLK84" s="31"/>
      <c r="RLL84" s="31"/>
      <c r="RLM84" s="31"/>
      <c r="RLN84" s="31"/>
      <c r="RLO84" s="31"/>
      <c r="RLP84" s="31"/>
      <c r="RLQ84" s="31"/>
      <c r="RLR84" s="31"/>
      <c r="RLS84" s="31"/>
      <c r="RLT84" s="31"/>
      <c r="RLU84" s="31"/>
      <c r="RLV84" s="31"/>
      <c r="RLW84" s="31"/>
      <c r="RLX84" s="31"/>
      <c r="RLY84" s="31"/>
      <c r="RLZ84" s="31"/>
      <c r="RMA84" s="31"/>
      <c r="RMB84" s="31"/>
      <c r="RMC84" s="31"/>
      <c r="RMD84" s="31"/>
      <c r="RME84" s="31"/>
      <c r="RMF84" s="31"/>
      <c r="RMG84" s="31"/>
      <c r="RMH84" s="31"/>
      <c r="RMI84" s="31"/>
      <c r="RMJ84" s="31"/>
      <c r="RMK84" s="31"/>
      <c r="RML84" s="31"/>
      <c r="RMM84" s="31"/>
      <c r="RMN84" s="31"/>
      <c r="RMO84" s="31"/>
      <c r="RMP84" s="31"/>
      <c r="RMQ84" s="31"/>
      <c r="RMR84" s="31"/>
      <c r="RMS84" s="31"/>
      <c r="RMT84" s="31"/>
      <c r="RMU84" s="31"/>
      <c r="RMV84" s="31"/>
      <c r="RMW84" s="31"/>
      <c r="RMX84" s="31"/>
      <c r="RMY84" s="31"/>
      <c r="RMZ84" s="31"/>
      <c r="RNA84" s="31"/>
      <c r="RNB84" s="31"/>
      <c r="RNC84" s="31"/>
      <c r="RND84" s="31"/>
      <c r="RNE84" s="31"/>
      <c r="RNF84" s="31"/>
      <c r="RNG84" s="31"/>
      <c r="RNH84" s="31"/>
      <c r="RNI84" s="31"/>
      <c r="RNJ84" s="31"/>
      <c r="RNK84" s="31"/>
      <c r="RNL84" s="31"/>
      <c r="RNM84" s="31"/>
      <c r="RNN84" s="31"/>
      <c r="RNO84" s="31"/>
      <c r="RNP84" s="31"/>
      <c r="RNQ84" s="31"/>
      <c r="RNR84" s="31"/>
      <c r="RNS84" s="31"/>
      <c r="RNT84" s="31"/>
      <c r="RNU84" s="31"/>
      <c r="RNV84" s="31"/>
      <c r="RNW84" s="31"/>
      <c r="RNX84" s="31"/>
      <c r="RNY84" s="31"/>
      <c r="RNZ84" s="31"/>
      <c r="ROA84" s="31"/>
      <c r="ROB84" s="31"/>
      <c r="ROC84" s="31"/>
      <c r="ROD84" s="31"/>
      <c r="ROE84" s="31"/>
      <c r="ROF84" s="31"/>
      <c r="ROG84" s="31"/>
      <c r="ROH84" s="31"/>
      <c r="ROI84" s="31"/>
      <c r="ROJ84" s="31"/>
      <c r="ROK84" s="31"/>
      <c r="ROL84" s="31"/>
      <c r="ROM84" s="31"/>
      <c r="RON84" s="31"/>
      <c r="ROO84" s="31"/>
      <c r="ROP84" s="31"/>
      <c r="ROQ84" s="31"/>
      <c r="ROR84" s="31"/>
      <c r="ROS84" s="31"/>
      <c r="ROT84" s="31"/>
      <c r="ROU84" s="31"/>
      <c r="ROV84" s="31"/>
      <c r="ROW84" s="31"/>
      <c r="ROX84" s="31"/>
      <c r="ROY84" s="31"/>
      <c r="ROZ84" s="31"/>
      <c r="RPA84" s="31"/>
      <c r="RPB84" s="31"/>
      <c r="RPC84" s="31"/>
      <c r="RPD84" s="31"/>
      <c r="RPE84" s="31"/>
      <c r="RPF84" s="31"/>
      <c r="RPG84" s="31"/>
      <c r="RPH84" s="31"/>
      <c r="RPI84" s="31"/>
      <c r="RPJ84" s="31"/>
      <c r="RPK84" s="31"/>
      <c r="RPL84" s="31"/>
      <c r="RPM84" s="31"/>
      <c r="RPN84" s="31"/>
      <c r="RPO84" s="31"/>
      <c r="RPP84" s="31"/>
      <c r="RPQ84" s="31"/>
      <c r="RPR84" s="31"/>
      <c r="RPS84" s="31"/>
      <c r="RPT84" s="31"/>
      <c r="RPU84" s="31"/>
      <c r="RPV84" s="31"/>
      <c r="RPW84" s="31"/>
      <c r="RPX84" s="31"/>
      <c r="RPY84" s="31"/>
      <c r="RPZ84" s="31"/>
      <c r="RQA84" s="31"/>
      <c r="RQB84" s="31"/>
      <c r="RQC84" s="31"/>
      <c r="RQD84" s="31"/>
      <c r="RQE84" s="31"/>
      <c r="RQF84" s="31"/>
      <c r="RQG84" s="31"/>
      <c r="RQH84" s="31"/>
      <c r="RQI84" s="31"/>
      <c r="RQJ84" s="31"/>
      <c r="RQK84" s="31"/>
      <c r="RQL84" s="31"/>
      <c r="RQM84" s="31"/>
      <c r="RQN84" s="31"/>
      <c r="RQO84" s="31"/>
      <c r="RQP84" s="31"/>
      <c r="RQQ84" s="31"/>
      <c r="RQR84" s="31"/>
      <c r="RQS84" s="31"/>
      <c r="RQT84" s="31"/>
      <c r="RQU84" s="31"/>
      <c r="RQV84" s="31"/>
      <c r="RQW84" s="31"/>
      <c r="RQX84" s="31"/>
      <c r="RQY84" s="31"/>
      <c r="RQZ84" s="31"/>
      <c r="RRA84" s="31"/>
      <c r="RRB84" s="31"/>
      <c r="RRC84" s="31"/>
      <c r="RRD84" s="31"/>
      <c r="RRE84" s="31"/>
      <c r="RRF84" s="31"/>
      <c r="RRG84" s="31"/>
      <c r="RRH84" s="31"/>
      <c r="RRI84" s="31"/>
      <c r="RRJ84" s="31"/>
      <c r="RRK84" s="31"/>
      <c r="RRL84" s="31"/>
      <c r="RRM84" s="31"/>
      <c r="RRN84" s="31"/>
      <c r="RRO84" s="31"/>
      <c r="RRP84" s="31"/>
      <c r="RRQ84" s="31"/>
      <c r="RRR84" s="31"/>
      <c r="RRS84" s="31"/>
      <c r="RRT84" s="31"/>
      <c r="RRU84" s="31"/>
      <c r="RRV84" s="31"/>
      <c r="RRW84" s="31"/>
      <c r="RRX84" s="31"/>
      <c r="RRY84" s="31"/>
      <c r="RRZ84" s="31"/>
      <c r="RSA84" s="31"/>
      <c r="RSB84" s="31"/>
      <c r="RSC84" s="31"/>
      <c r="RSD84" s="31"/>
      <c r="RSE84" s="31"/>
      <c r="RSF84" s="31"/>
      <c r="RSG84" s="31"/>
      <c r="RSH84" s="31"/>
      <c r="RSI84" s="31"/>
      <c r="RSJ84" s="31"/>
      <c r="RSK84" s="31"/>
      <c r="RSL84" s="31"/>
      <c r="RSM84" s="31"/>
      <c r="RSN84" s="31"/>
      <c r="RSO84" s="31"/>
      <c r="RSP84" s="31"/>
      <c r="RSQ84" s="31"/>
      <c r="RSR84" s="31"/>
      <c r="RSS84" s="31"/>
      <c r="RST84" s="31"/>
      <c r="RSU84" s="31"/>
      <c r="RSV84" s="31"/>
      <c r="RSW84" s="31"/>
      <c r="RSX84" s="31"/>
      <c r="RSY84" s="31"/>
      <c r="RSZ84" s="31"/>
      <c r="RTA84" s="31"/>
      <c r="RTB84" s="31"/>
      <c r="RTC84" s="31"/>
      <c r="RTD84" s="31"/>
      <c r="RTE84" s="31"/>
      <c r="RTF84" s="31"/>
      <c r="RTG84" s="31"/>
      <c r="RTH84" s="31"/>
      <c r="RTI84" s="31"/>
      <c r="RTJ84" s="31"/>
      <c r="RTK84" s="31"/>
      <c r="RTL84" s="31"/>
      <c r="RTM84" s="31"/>
      <c r="RTN84" s="31"/>
      <c r="RTO84" s="31"/>
      <c r="RTP84" s="31"/>
      <c r="RTQ84" s="31"/>
      <c r="RTR84" s="31"/>
      <c r="RTS84" s="31"/>
      <c r="RTT84" s="31"/>
      <c r="RTU84" s="31"/>
      <c r="RTV84" s="31"/>
      <c r="RTW84" s="31"/>
      <c r="RTX84" s="31"/>
      <c r="RTY84" s="31"/>
      <c r="RTZ84" s="31"/>
      <c r="RUA84" s="31"/>
      <c r="RUB84" s="31"/>
      <c r="RUC84" s="31"/>
      <c r="RUD84" s="31"/>
      <c r="RUE84" s="31"/>
      <c r="RUF84" s="31"/>
      <c r="RUG84" s="31"/>
      <c r="RUH84" s="31"/>
      <c r="RUI84" s="31"/>
      <c r="RUJ84" s="31"/>
      <c r="RUK84" s="31"/>
      <c r="RUL84" s="31"/>
      <c r="RUM84" s="31"/>
      <c r="RUN84" s="31"/>
      <c r="RUO84" s="31"/>
      <c r="RUP84" s="31"/>
      <c r="RUQ84" s="31"/>
      <c r="RUR84" s="31"/>
      <c r="RUS84" s="31"/>
      <c r="RUT84" s="31"/>
      <c r="RUU84" s="31"/>
      <c r="RUV84" s="31"/>
      <c r="RUW84" s="31"/>
      <c r="RUX84" s="31"/>
      <c r="RUY84" s="31"/>
      <c r="RUZ84" s="31"/>
      <c r="RVA84" s="31"/>
      <c r="RVB84" s="31"/>
      <c r="RVC84" s="31"/>
      <c r="RVD84" s="31"/>
      <c r="RVE84" s="31"/>
      <c r="RVF84" s="31"/>
      <c r="RVG84" s="31"/>
      <c r="RVH84" s="31"/>
      <c r="RVI84" s="31"/>
      <c r="RVJ84" s="31"/>
      <c r="RVK84" s="31"/>
      <c r="RVL84" s="31"/>
      <c r="RVM84" s="31"/>
      <c r="RVN84" s="31"/>
      <c r="RVO84" s="31"/>
      <c r="RVP84" s="31"/>
      <c r="RVQ84" s="31"/>
      <c r="RVR84" s="31"/>
      <c r="RVS84" s="31"/>
      <c r="RVT84" s="31"/>
      <c r="RVU84" s="31"/>
      <c r="RVV84" s="31"/>
      <c r="RVW84" s="31"/>
      <c r="RVX84" s="31"/>
      <c r="RVY84" s="31"/>
      <c r="RVZ84" s="31"/>
      <c r="RWA84" s="31"/>
      <c r="RWB84" s="31"/>
      <c r="RWC84" s="31"/>
      <c r="RWD84" s="31"/>
      <c r="RWE84" s="31"/>
      <c r="RWF84" s="31"/>
      <c r="RWG84" s="31"/>
      <c r="RWH84" s="31"/>
      <c r="RWI84" s="31"/>
      <c r="RWJ84" s="31"/>
      <c r="RWK84" s="31"/>
      <c r="RWL84" s="31"/>
      <c r="RWM84" s="31"/>
      <c r="RWN84" s="31"/>
      <c r="RWO84" s="31"/>
      <c r="RWP84" s="31"/>
      <c r="RWQ84" s="31"/>
      <c r="RWR84" s="31"/>
      <c r="RWS84" s="31"/>
      <c r="RWT84" s="31"/>
      <c r="RWU84" s="31"/>
      <c r="RWV84" s="31"/>
      <c r="RWW84" s="31"/>
      <c r="RWX84" s="31"/>
      <c r="RWY84" s="31"/>
      <c r="RWZ84" s="31"/>
      <c r="RXA84" s="31"/>
      <c r="RXB84" s="31"/>
      <c r="RXC84" s="31"/>
      <c r="RXD84" s="31"/>
      <c r="RXE84" s="31"/>
      <c r="RXF84" s="31"/>
      <c r="RXG84" s="31"/>
      <c r="RXH84" s="31"/>
      <c r="RXI84" s="31"/>
      <c r="RXJ84" s="31"/>
      <c r="RXK84" s="31"/>
      <c r="RXL84" s="31"/>
      <c r="RXM84" s="31"/>
      <c r="RXN84" s="31"/>
      <c r="RXO84" s="31"/>
      <c r="RXP84" s="31"/>
      <c r="RXQ84" s="31"/>
      <c r="RXR84" s="31"/>
      <c r="RXS84" s="31"/>
      <c r="RXT84" s="31"/>
      <c r="RXU84" s="31"/>
      <c r="RXV84" s="31"/>
      <c r="RXW84" s="31"/>
      <c r="RXX84" s="31"/>
      <c r="RXY84" s="31"/>
      <c r="RXZ84" s="31"/>
      <c r="RYA84" s="31"/>
      <c r="RYB84" s="31"/>
      <c r="RYC84" s="31"/>
      <c r="RYD84" s="31"/>
      <c r="RYE84" s="31"/>
      <c r="RYF84" s="31"/>
      <c r="RYG84" s="31"/>
      <c r="RYH84" s="31"/>
      <c r="RYI84" s="31"/>
      <c r="RYJ84" s="31"/>
      <c r="RYK84" s="31"/>
      <c r="RYL84" s="31"/>
      <c r="RYM84" s="31"/>
      <c r="RYN84" s="31"/>
      <c r="RYO84" s="31"/>
      <c r="RYP84" s="31"/>
      <c r="RYQ84" s="31"/>
      <c r="RYR84" s="31"/>
      <c r="RYS84" s="31"/>
      <c r="RYT84" s="31"/>
      <c r="RYU84" s="31"/>
      <c r="RYV84" s="31"/>
      <c r="RYW84" s="31"/>
      <c r="RYX84" s="31"/>
      <c r="RYY84" s="31"/>
      <c r="RYZ84" s="31"/>
      <c r="RZA84" s="31"/>
      <c r="RZB84" s="31"/>
      <c r="RZC84" s="31"/>
      <c r="RZD84" s="31"/>
      <c r="RZE84" s="31"/>
      <c r="RZF84" s="31"/>
      <c r="RZG84" s="31"/>
      <c r="RZH84" s="31"/>
      <c r="RZI84" s="31"/>
      <c r="RZJ84" s="31"/>
      <c r="RZK84" s="31"/>
      <c r="RZL84" s="31"/>
      <c r="RZM84" s="31"/>
      <c r="RZN84" s="31"/>
      <c r="RZO84" s="31"/>
      <c r="RZP84" s="31"/>
      <c r="RZQ84" s="31"/>
      <c r="RZR84" s="31"/>
      <c r="RZS84" s="31"/>
      <c r="RZT84" s="31"/>
      <c r="RZU84" s="31"/>
      <c r="RZV84" s="31"/>
      <c r="RZW84" s="31"/>
      <c r="RZX84" s="31"/>
      <c r="RZY84" s="31"/>
      <c r="RZZ84" s="31"/>
      <c r="SAA84" s="31"/>
      <c r="SAB84" s="31"/>
      <c r="SAC84" s="31"/>
      <c r="SAD84" s="31"/>
      <c r="SAE84" s="31"/>
      <c r="SAF84" s="31"/>
      <c r="SAG84" s="31"/>
      <c r="SAH84" s="31"/>
      <c r="SAI84" s="31"/>
      <c r="SAJ84" s="31"/>
      <c r="SAK84" s="31"/>
      <c r="SAL84" s="31"/>
      <c r="SAM84" s="31"/>
      <c r="SAN84" s="31"/>
      <c r="SAO84" s="31"/>
      <c r="SAP84" s="31"/>
      <c r="SAQ84" s="31"/>
      <c r="SAR84" s="31"/>
      <c r="SAS84" s="31"/>
      <c r="SAT84" s="31"/>
      <c r="SAU84" s="31"/>
      <c r="SAV84" s="31"/>
      <c r="SAW84" s="31"/>
      <c r="SAX84" s="31"/>
      <c r="SAY84" s="31"/>
      <c r="SAZ84" s="31"/>
      <c r="SBA84" s="31"/>
      <c r="SBB84" s="31"/>
      <c r="SBC84" s="31"/>
      <c r="SBD84" s="31"/>
      <c r="SBE84" s="31"/>
      <c r="SBF84" s="31"/>
      <c r="SBG84" s="31"/>
      <c r="SBH84" s="31"/>
      <c r="SBI84" s="31"/>
      <c r="SBJ84" s="31"/>
      <c r="SBK84" s="31"/>
      <c r="SBL84" s="31"/>
      <c r="SBM84" s="31"/>
      <c r="SBN84" s="31"/>
      <c r="SBO84" s="31"/>
      <c r="SBP84" s="31"/>
      <c r="SBQ84" s="31"/>
      <c r="SBR84" s="31"/>
      <c r="SBS84" s="31"/>
      <c r="SBT84" s="31"/>
      <c r="SBU84" s="31"/>
      <c r="SBV84" s="31"/>
      <c r="SBW84" s="31"/>
      <c r="SBX84" s="31"/>
      <c r="SBY84" s="31"/>
      <c r="SBZ84" s="31"/>
      <c r="SCA84" s="31"/>
      <c r="SCB84" s="31"/>
      <c r="SCC84" s="31"/>
      <c r="SCD84" s="31"/>
      <c r="SCE84" s="31"/>
      <c r="SCF84" s="31"/>
      <c r="SCG84" s="31"/>
      <c r="SCH84" s="31"/>
      <c r="SCI84" s="31"/>
      <c r="SCJ84" s="31"/>
      <c r="SCK84" s="31"/>
      <c r="SCL84" s="31"/>
      <c r="SCM84" s="31"/>
      <c r="SCN84" s="31"/>
      <c r="SCO84" s="31"/>
      <c r="SCP84" s="31"/>
      <c r="SCQ84" s="31"/>
      <c r="SCR84" s="31"/>
      <c r="SCS84" s="31"/>
      <c r="SCT84" s="31"/>
      <c r="SCU84" s="31"/>
      <c r="SCV84" s="31"/>
      <c r="SCW84" s="31"/>
      <c r="SCX84" s="31"/>
      <c r="SCY84" s="31"/>
      <c r="SCZ84" s="31"/>
      <c r="SDA84" s="31"/>
      <c r="SDB84" s="31"/>
      <c r="SDC84" s="31"/>
      <c r="SDD84" s="31"/>
      <c r="SDE84" s="31"/>
      <c r="SDF84" s="31"/>
      <c r="SDG84" s="31"/>
      <c r="SDH84" s="31"/>
      <c r="SDI84" s="31"/>
      <c r="SDJ84" s="31"/>
      <c r="SDK84" s="31"/>
      <c r="SDL84" s="31"/>
      <c r="SDM84" s="31"/>
      <c r="SDN84" s="31"/>
      <c r="SDO84" s="31"/>
      <c r="SDP84" s="31"/>
      <c r="SDQ84" s="31"/>
      <c r="SDR84" s="31"/>
      <c r="SDS84" s="31"/>
      <c r="SDT84" s="31"/>
      <c r="SDU84" s="31"/>
      <c r="SDV84" s="31"/>
      <c r="SDW84" s="31"/>
      <c r="SDX84" s="31"/>
      <c r="SDY84" s="31"/>
      <c r="SDZ84" s="31"/>
      <c r="SEA84" s="31"/>
      <c r="SEB84" s="31"/>
      <c r="SEC84" s="31"/>
      <c r="SED84" s="31"/>
      <c r="SEE84" s="31"/>
      <c r="SEF84" s="31"/>
      <c r="SEG84" s="31"/>
      <c r="SEH84" s="31"/>
      <c r="SEI84" s="31"/>
      <c r="SEJ84" s="31"/>
      <c r="SEK84" s="31"/>
      <c r="SEL84" s="31"/>
      <c r="SEM84" s="31"/>
      <c r="SEN84" s="31"/>
      <c r="SEO84" s="31"/>
      <c r="SEP84" s="31"/>
      <c r="SEQ84" s="31"/>
      <c r="SER84" s="31"/>
      <c r="SES84" s="31"/>
      <c r="SET84" s="31"/>
      <c r="SEU84" s="31"/>
      <c r="SEV84" s="31"/>
      <c r="SEW84" s="31"/>
      <c r="SEX84" s="31"/>
      <c r="SEY84" s="31"/>
      <c r="SEZ84" s="31"/>
      <c r="SFA84" s="31"/>
      <c r="SFB84" s="31"/>
      <c r="SFC84" s="31"/>
      <c r="SFD84" s="31"/>
      <c r="SFE84" s="31"/>
      <c r="SFF84" s="31"/>
      <c r="SFG84" s="31"/>
      <c r="SFH84" s="31"/>
      <c r="SFI84" s="31"/>
      <c r="SFJ84" s="31"/>
      <c r="SFK84" s="31"/>
      <c r="SFL84" s="31"/>
      <c r="SFM84" s="31"/>
      <c r="SFN84" s="31"/>
      <c r="SFO84" s="31"/>
      <c r="SFP84" s="31"/>
      <c r="SFQ84" s="31"/>
      <c r="SFR84" s="31"/>
      <c r="SFS84" s="31"/>
      <c r="SFT84" s="31"/>
      <c r="SFU84" s="31"/>
      <c r="SFV84" s="31"/>
      <c r="SFW84" s="31"/>
      <c r="SFX84" s="31"/>
      <c r="SFY84" s="31"/>
      <c r="SFZ84" s="31"/>
      <c r="SGA84" s="31"/>
      <c r="SGB84" s="31"/>
      <c r="SGC84" s="31"/>
      <c r="SGD84" s="31"/>
      <c r="SGE84" s="31"/>
      <c r="SGF84" s="31"/>
      <c r="SGG84" s="31"/>
      <c r="SGH84" s="31"/>
      <c r="SGI84" s="31"/>
      <c r="SGJ84" s="31"/>
      <c r="SGK84" s="31"/>
      <c r="SGL84" s="31"/>
      <c r="SGM84" s="31"/>
      <c r="SGN84" s="31"/>
      <c r="SGO84" s="31"/>
      <c r="SGP84" s="31"/>
      <c r="SGQ84" s="31"/>
      <c r="SGR84" s="31"/>
      <c r="SGS84" s="31"/>
      <c r="SGT84" s="31"/>
      <c r="SGU84" s="31"/>
      <c r="SGV84" s="31"/>
      <c r="SGW84" s="31"/>
      <c r="SGX84" s="31"/>
      <c r="SGY84" s="31"/>
      <c r="SGZ84" s="31"/>
      <c r="SHA84" s="31"/>
      <c r="SHB84" s="31"/>
      <c r="SHC84" s="31"/>
      <c r="SHD84" s="31"/>
      <c r="SHE84" s="31"/>
      <c r="SHF84" s="31"/>
      <c r="SHG84" s="31"/>
      <c r="SHH84" s="31"/>
      <c r="SHI84" s="31"/>
      <c r="SHJ84" s="31"/>
      <c r="SHK84" s="31"/>
      <c r="SHL84" s="31"/>
      <c r="SHM84" s="31"/>
      <c r="SHN84" s="31"/>
      <c r="SHO84" s="31"/>
      <c r="SHP84" s="31"/>
      <c r="SHQ84" s="31"/>
      <c r="SHR84" s="31"/>
      <c r="SHS84" s="31"/>
      <c r="SHT84" s="31"/>
      <c r="SHU84" s="31"/>
      <c r="SHV84" s="31"/>
      <c r="SHW84" s="31"/>
      <c r="SHX84" s="31"/>
      <c r="SHY84" s="31"/>
      <c r="SHZ84" s="31"/>
      <c r="SIA84" s="31"/>
      <c r="SIB84" s="31"/>
      <c r="SIC84" s="31"/>
      <c r="SID84" s="31"/>
      <c r="SIE84" s="31"/>
      <c r="SIF84" s="31"/>
      <c r="SIG84" s="31"/>
      <c r="SIH84" s="31"/>
      <c r="SII84" s="31"/>
      <c r="SIJ84" s="31"/>
      <c r="SIK84" s="31"/>
      <c r="SIL84" s="31"/>
      <c r="SIM84" s="31"/>
      <c r="SIN84" s="31"/>
      <c r="SIO84" s="31"/>
      <c r="SIP84" s="31"/>
      <c r="SIQ84" s="31"/>
      <c r="SIR84" s="31"/>
      <c r="SIS84" s="31"/>
      <c r="SIT84" s="31"/>
      <c r="SIU84" s="31"/>
      <c r="SIV84" s="31"/>
      <c r="SIW84" s="31"/>
      <c r="SIX84" s="31"/>
      <c r="SIY84" s="31"/>
      <c r="SIZ84" s="31"/>
      <c r="SJA84" s="31"/>
      <c r="SJB84" s="31"/>
      <c r="SJC84" s="31"/>
      <c r="SJD84" s="31"/>
      <c r="SJE84" s="31"/>
      <c r="SJF84" s="31"/>
      <c r="SJG84" s="31"/>
      <c r="SJH84" s="31"/>
      <c r="SJI84" s="31"/>
      <c r="SJJ84" s="31"/>
      <c r="SJK84" s="31"/>
      <c r="SJL84" s="31"/>
      <c r="SJM84" s="31"/>
      <c r="SJN84" s="31"/>
      <c r="SJO84" s="31"/>
      <c r="SJP84" s="31"/>
      <c r="SJQ84" s="31"/>
      <c r="SJR84" s="31"/>
      <c r="SJS84" s="31"/>
      <c r="SJT84" s="31"/>
      <c r="SJU84" s="31"/>
      <c r="SJV84" s="31"/>
      <c r="SJW84" s="31"/>
      <c r="SJX84" s="31"/>
      <c r="SJY84" s="31"/>
      <c r="SJZ84" s="31"/>
      <c r="SKA84" s="31"/>
      <c r="SKB84" s="31"/>
      <c r="SKC84" s="31"/>
      <c r="SKD84" s="31"/>
      <c r="SKE84" s="31"/>
      <c r="SKF84" s="31"/>
      <c r="SKG84" s="31"/>
      <c r="SKH84" s="31"/>
      <c r="SKI84" s="31"/>
      <c r="SKJ84" s="31"/>
      <c r="SKK84" s="31"/>
      <c r="SKL84" s="31"/>
      <c r="SKM84" s="31"/>
      <c r="SKN84" s="31"/>
      <c r="SKO84" s="31"/>
      <c r="SKP84" s="31"/>
      <c r="SKQ84" s="31"/>
      <c r="SKR84" s="31"/>
      <c r="SKS84" s="31"/>
      <c r="SKT84" s="31"/>
      <c r="SKU84" s="31"/>
      <c r="SKV84" s="31"/>
      <c r="SKW84" s="31"/>
      <c r="SKX84" s="31"/>
      <c r="SKY84" s="31"/>
      <c r="SKZ84" s="31"/>
      <c r="SLA84" s="31"/>
      <c r="SLB84" s="31"/>
      <c r="SLC84" s="31"/>
      <c r="SLD84" s="31"/>
      <c r="SLE84" s="31"/>
      <c r="SLF84" s="31"/>
      <c r="SLG84" s="31"/>
      <c r="SLH84" s="31"/>
      <c r="SLI84" s="31"/>
      <c r="SLJ84" s="31"/>
      <c r="SLK84" s="31"/>
      <c r="SLL84" s="31"/>
      <c r="SLM84" s="31"/>
      <c r="SLN84" s="31"/>
      <c r="SLO84" s="31"/>
      <c r="SLP84" s="31"/>
      <c r="SLQ84" s="31"/>
      <c r="SLR84" s="31"/>
      <c r="SLS84" s="31"/>
      <c r="SLT84" s="31"/>
      <c r="SLU84" s="31"/>
      <c r="SLV84" s="31"/>
      <c r="SLW84" s="31"/>
      <c r="SLX84" s="31"/>
      <c r="SLY84" s="31"/>
      <c r="SLZ84" s="31"/>
      <c r="SMA84" s="31"/>
      <c r="SMB84" s="31"/>
      <c r="SMC84" s="31"/>
      <c r="SMD84" s="31"/>
      <c r="SME84" s="31"/>
      <c r="SMF84" s="31"/>
      <c r="SMG84" s="31"/>
      <c r="SMH84" s="31"/>
      <c r="SMI84" s="31"/>
      <c r="SMJ84" s="31"/>
      <c r="SMK84" s="31"/>
      <c r="SML84" s="31"/>
      <c r="SMM84" s="31"/>
      <c r="SMN84" s="31"/>
      <c r="SMO84" s="31"/>
      <c r="SMP84" s="31"/>
      <c r="SMQ84" s="31"/>
      <c r="SMR84" s="31"/>
      <c r="SMS84" s="31"/>
      <c r="SMT84" s="31"/>
      <c r="SMU84" s="31"/>
      <c r="SMV84" s="31"/>
      <c r="SMW84" s="31"/>
      <c r="SMX84" s="31"/>
      <c r="SMY84" s="31"/>
      <c r="SMZ84" s="31"/>
      <c r="SNA84" s="31"/>
      <c r="SNB84" s="31"/>
      <c r="SNC84" s="31"/>
      <c r="SND84" s="31"/>
      <c r="SNE84" s="31"/>
      <c r="SNF84" s="31"/>
      <c r="SNG84" s="31"/>
      <c r="SNH84" s="31"/>
      <c r="SNI84" s="31"/>
      <c r="SNJ84" s="31"/>
      <c r="SNK84" s="31"/>
      <c r="SNL84" s="31"/>
      <c r="SNM84" s="31"/>
      <c r="SNN84" s="31"/>
      <c r="SNO84" s="31"/>
      <c r="SNP84" s="31"/>
      <c r="SNQ84" s="31"/>
      <c r="SNR84" s="31"/>
      <c r="SNS84" s="31"/>
      <c r="SNT84" s="31"/>
      <c r="SNU84" s="31"/>
      <c r="SNV84" s="31"/>
      <c r="SNW84" s="31"/>
      <c r="SNX84" s="31"/>
      <c r="SNY84" s="31"/>
      <c r="SNZ84" s="31"/>
      <c r="SOA84" s="31"/>
      <c r="SOB84" s="31"/>
      <c r="SOC84" s="31"/>
      <c r="SOD84" s="31"/>
      <c r="SOE84" s="31"/>
      <c r="SOF84" s="31"/>
      <c r="SOG84" s="31"/>
      <c r="SOH84" s="31"/>
      <c r="SOI84" s="31"/>
      <c r="SOJ84" s="31"/>
      <c r="SOK84" s="31"/>
      <c r="SOL84" s="31"/>
      <c r="SOM84" s="31"/>
      <c r="SON84" s="31"/>
      <c r="SOO84" s="31"/>
      <c r="SOP84" s="31"/>
      <c r="SOQ84" s="31"/>
      <c r="SOR84" s="31"/>
      <c r="SOS84" s="31"/>
      <c r="SOT84" s="31"/>
      <c r="SOU84" s="31"/>
      <c r="SOV84" s="31"/>
      <c r="SOW84" s="31"/>
      <c r="SOX84" s="31"/>
      <c r="SOY84" s="31"/>
      <c r="SOZ84" s="31"/>
      <c r="SPA84" s="31"/>
      <c r="SPB84" s="31"/>
      <c r="SPC84" s="31"/>
      <c r="SPD84" s="31"/>
      <c r="SPE84" s="31"/>
      <c r="SPF84" s="31"/>
      <c r="SPG84" s="31"/>
      <c r="SPH84" s="31"/>
      <c r="SPI84" s="31"/>
      <c r="SPJ84" s="31"/>
      <c r="SPK84" s="31"/>
      <c r="SPL84" s="31"/>
      <c r="SPM84" s="31"/>
      <c r="SPN84" s="31"/>
      <c r="SPO84" s="31"/>
      <c r="SPP84" s="31"/>
      <c r="SPQ84" s="31"/>
      <c r="SPR84" s="31"/>
      <c r="SPS84" s="31"/>
      <c r="SPT84" s="31"/>
      <c r="SPU84" s="31"/>
      <c r="SPV84" s="31"/>
      <c r="SPW84" s="31"/>
      <c r="SPX84" s="31"/>
      <c r="SPY84" s="31"/>
      <c r="SPZ84" s="31"/>
      <c r="SQA84" s="31"/>
      <c r="SQB84" s="31"/>
      <c r="SQC84" s="31"/>
      <c r="SQD84" s="31"/>
      <c r="SQE84" s="31"/>
      <c r="SQF84" s="31"/>
      <c r="SQG84" s="31"/>
      <c r="SQH84" s="31"/>
      <c r="SQI84" s="31"/>
      <c r="SQJ84" s="31"/>
      <c r="SQK84" s="31"/>
      <c r="SQL84" s="31"/>
      <c r="SQM84" s="31"/>
      <c r="SQN84" s="31"/>
      <c r="SQO84" s="31"/>
      <c r="SQP84" s="31"/>
      <c r="SQQ84" s="31"/>
      <c r="SQR84" s="31"/>
      <c r="SQS84" s="31"/>
      <c r="SQT84" s="31"/>
      <c r="SQU84" s="31"/>
      <c r="SQV84" s="31"/>
      <c r="SQW84" s="31"/>
      <c r="SQX84" s="31"/>
      <c r="SQY84" s="31"/>
      <c r="SQZ84" s="31"/>
      <c r="SRA84" s="31"/>
      <c r="SRB84" s="31"/>
      <c r="SRC84" s="31"/>
      <c r="SRD84" s="31"/>
      <c r="SRE84" s="31"/>
      <c r="SRF84" s="31"/>
      <c r="SRG84" s="31"/>
      <c r="SRH84" s="31"/>
      <c r="SRI84" s="31"/>
      <c r="SRJ84" s="31"/>
      <c r="SRK84" s="31"/>
      <c r="SRL84" s="31"/>
      <c r="SRM84" s="31"/>
      <c r="SRN84" s="31"/>
      <c r="SRO84" s="31"/>
      <c r="SRP84" s="31"/>
      <c r="SRQ84" s="31"/>
      <c r="SRR84" s="31"/>
      <c r="SRS84" s="31"/>
      <c r="SRT84" s="31"/>
      <c r="SRU84" s="31"/>
      <c r="SRV84" s="31"/>
      <c r="SRW84" s="31"/>
      <c r="SRX84" s="31"/>
      <c r="SRY84" s="31"/>
      <c r="SRZ84" s="31"/>
      <c r="SSA84" s="31"/>
      <c r="SSB84" s="31"/>
      <c r="SSC84" s="31"/>
      <c r="SSD84" s="31"/>
      <c r="SSE84" s="31"/>
      <c r="SSF84" s="31"/>
      <c r="SSG84" s="31"/>
      <c r="SSH84" s="31"/>
      <c r="SSI84" s="31"/>
      <c r="SSJ84" s="31"/>
      <c r="SSK84" s="31"/>
      <c r="SSL84" s="31"/>
      <c r="SSM84" s="31"/>
      <c r="SSN84" s="31"/>
      <c r="SSO84" s="31"/>
      <c r="SSP84" s="31"/>
      <c r="SSQ84" s="31"/>
      <c r="SSR84" s="31"/>
      <c r="SSS84" s="31"/>
      <c r="SST84" s="31"/>
      <c r="SSU84" s="31"/>
      <c r="SSV84" s="31"/>
      <c r="SSW84" s="31"/>
      <c r="SSX84" s="31"/>
      <c r="SSY84" s="31"/>
      <c r="SSZ84" s="31"/>
      <c r="STA84" s="31"/>
      <c r="STB84" s="31"/>
      <c r="STC84" s="31"/>
      <c r="STD84" s="31"/>
      <c r="STE84" s="31"/>
      <c r="STF84" s="31"/>
      <c r="STG84" s="31"/>
      <c r="STH84" s="31"/>
      <c r="STI84" s="31"/>
      <c r="STJ84" s="31"/>
      <c r="STK84" s="31"/>
      <c r="STL84" s="31"/>
      <c r="STM84" s="31"/>
      <c r="STN84" s="31"/>
      <c r="STO84" s="31"/>
      <c r="STP84" s="31"/>
      <c r="STQ84" s="31"/>
      <c r="STR84" s="31"/>
      <c r="STS84" s="31"/>
      <c r="STT84" s="31"/>
      <c r="STU84" s="31"/>
      <c r="STV84" s="31"/>
      <c r="STW84" s="31"/>
      <c r="STX84" s="31"/>
      <c r="STY84" s="31"/>
      <c r="STZ84" s="31"/>
      <c r="SUA84" s="31"/>
      <c r="SUB84" s="31"/>
      <c r="SUC84" s="31"/>
      <c r="SUD84" s="31"/>
      <c r="SUE84" s="31"/>
      <c r="SUF84" s="31"/>
      <c r="SUG84" s="31"/>
      <c r="SUH84" s="31"/>
      <c r="SUI84" s="31"/>
      <c r="SUJ84" s="31"/>
      <c r="SUK84" s="31"/>
      <c r="SUL84" s="31"/>
      <c r="SUM84" s="31"/>
      <c r="SUN84" s="31"/>
      <c r="SUO84" s="31"/>
      <c r="SUP84" s="31"/>
      <c r="SUQ84" s="31"/>
      <c r="SUR84" s="31"/>
      <c r="SUS84" s="31"/>
      <c r="SUT84" s="31"/>
      <c r="SUU84" s="31"/>
      <c r="SUV84" s="31"/>
      <c r="SUW84" s="31"/>
      <c r="SUX84" s="31"/>
      <c r="SUY84" s="31"/>
      <c r="SUZ84" s="31"/>
      <c r="SVA84" s="31"/>
      <c r="SVB84" s="31"/>
      <c r="SVC84" s="31"/>
      <c r="SVD84" s="31"/>
      <c r="SVE84" s="31"/>
      <c r="SVF84" s="31"/>
      <c r="SVG84" s="31"/>
      <c r="SVH84" s="31"/>
      <c r="SVI84" s="31"/>
      <c r="SVJ84" s="31"/>
      <c r="SVK84" s="31"/>
      <c r="SVL84" s="31"/>
      <c r="SVM84" s="31"/>
      <c r="SVN84" s="31"/>
      <c r="SVO84" s="31"/>
      <c r="SVP84" s="31"/>
      <c r="SVQ84" s="31"/>
      <c r="SVR84" s="31"/>
      <c r="SVS84" s="31"/>
      <c r="SVT84" s="31"/>
      <c r="SVU84" s="31"/>
      <c r="SVV84" s="31"/>
      <c r="SVW84" s="31"/>
      <c r="SVX84" s="31"/>
      <c r="SVY84" s="31"/>
      <c r="SVZ84" s="31"/>
      <c r="SWA84" s="31"/>
      <c r="SWB84" s="31"/>
      <c r="SWC84" s="31"/>
      <c r="SWD84" s="31"/>
      <c r="SWE84" s="31"/>
      <c r="SWF84" s="31"/>
      <c r="SWG84" s="31"/>
      <c r="SWH84" s="31"/>
      <c r="SWI84" s="31"/>
      <c r="SWJ84" s="31"/>
      <c r="SWK84" s="31"/>
      <c r="SWL84" s="31"/>
      <c r="SWM84" s="31"/>
      <c r="SWN84" s="31"/>
      <c r="SWO84" s="31"/>
      <c r="SWP84" s="31"/>
      <c r="SWQ84" s="31"/>
      <c r="SWR84" s="31"/>
      <c r="SWS84" s="31"/>
      <c r="SWT84" s="31"/>
      <c r="SWU84" s="31"/>
      <c r="SWV84" s="31"/>
      <c r="SWW84" s="31"/>
      <c r="SWX84" s="31"/>
      <c r="SWY84" s="31"/>
      <c r="SWZ84" s="31"/>
      <c r="SXA84" s="31"/>
      <c r="SXB84" s="31"/>
      <c r="SXC84" s="31"/>
      <c r="SXD84" s="31"/>
      <c r="SXE84" s="31"/>
      <c r="SXF84" s="31"/>
      <c r="SXG84" s="31"/>
      <c r="SXH84" s="31"/>
      <c r="SXI84" s="31"/>
      <c r="SXJ84" s="31"/>
      <c r="SXK84" s="31"/>
      <c r="SXL84" s="31"/>
      <c r="SXM84" s="31"/>
      <c r="SXN84" s="31"/>
      <c r="SXO84" s="31"/>
      <c r="SXP84" s="31"/>
      <c r="SXQ84" s="31"/>
      <c r="SXR84" s="31"/>
      <c r="SXS84" s="31"/>
      <c r="SXT84" s="31"/>
      <c r="SXU84" s="31"/>
      <c r="SXV84" s="31"/>
      <c r="SXW84" s="31"/>
      <c r="SXX84" s="31"/>
      <c r="SXY84" s="31"/>
      <c r="SXZ84" s="31"/>
      <c r="SYA84" s="31"/>
      <c r="SYB84" s="31"/>
      <c r="SYC84" s="31"/>
      <c r="SYD84" s="31"/>
      <c r="SYE84" s="31"/>
      <c r="SYF84" s="31"/>
      <c r="SYG84" s="31"/>
      <c r="SYH84" s="31"/>
      <c r="SYI84" s="31"/>
      <c r="SYJ84" s="31"/>
      <c r="SYK84" s="31"/>
      <c r="SYL84" s="31"/>
      <c r="SYM84" s="31"/>
      <c r="SYN84" s="31"/>
      <c r="SYO84" s="31"/>
      <c r="SYP84" s="31"/>
      <c r="SYQ84" s="31"/>
      <c r="SYR84" s="31"/>
      <c r="SYS84" s="31"/>
      <c r="SYT84" s="31"/>
      <c r="SYU84" s="31"/>
      <c r="SYV84" s="31"/>
      <c r="SYW84" s="31"/>
      <c r="SYX84" s="31"/>
      <c r="SYY84" s="31"/>
      <c r="SYZ84" s="31"/>
      <c r="SZA84" s="31"/>
      <c r="SZB84" s="31"/>
      <c r="SZC84" s="31"/>
      <c r="SZD84" s="31"/>
      <c r="SZE84" s="31"/>
      <c r="SZF84" s="31"/>
      <c r="SZG84" s="31"/>
      <c r="SZH84" s="31"/>
      <c r="SZI84" s="31"/>
      <c r="SZJ84" s="31"/>
      <c r="SZK84" s="31"/>
      <c r="SZL84" s="31"/>
      <c r="SZM84" s="31"/>
      <c r="SZN84" s="31"/>
      <c r="SZO84" s="31"/>
      <c r="SZP84" s="31"/>
      <c r="SZQ84" s="31"/>
      <c r="SZR84" s="31"/>
      <c r="SZS84" s="31"/>
      <c r="SZT84" s="31"/>
      <c r="SZU84" s="31"/>
      <c r="SZV84" s="31"/>
      <c r="SZW84" s="31"/>
      <c r="SZX84" s="31"/>
      <c r="SZY84" s="31"/>
      <c r="SZZ84" s="31"/>
      <c r="TAA84" s="31"/>
      <c r="TAB84" s="31"/>
      <c r="TAC84" s="31"/>
      <c r="TAD84" s="31"/>
      <c r="TAE84" s="31"/>
      <c r="TAF84" s="31"/>
      <c r="TAG84" s="31"/>
      <c r="TAH84" s="31"/>
      <c r="TAI84" s="31"/>
      <c r="TAJ84" s="31"/>
      <c r="TAK84" s="31"/>
      <c r="TAL84" s="31"/>
      <c r="TAM84" s="31"/>
      <c r="TAN84" s="31"/>
      <c r="TAO84" s="31"/>
      <c r="TAP84" s="31"/>
      <c r="TAQ84" s="31"/>
      <c r="TAR84" s="31"/>
      <c r="TAS84" s="31"/>
      <c r="TAT84" s="31"/>
      <c r="TAU84" s="31"/>
      <c r="TAV84" s="31"/>
      <c r="TAW84" s="31"/>
      <c r="TAX84" s="31"/>
      <c r="TAY84" s="31"/>
      <c r="TAZ84" s="31"/>
      <c r="TBA84" s="31"/>
      <c r="TBB84" s="31"/>
      <c r="TBC84" s="31"/>
      <c r="TBD84" s="31"/>
      <c r="TBE84" s="31"/>
      <c r="TBF84" s="31"/>
      <c r="TBG84" s="31"/>
      <c r="TBH84" s="31"/>
      <c r="TBI84" s="31"/>
      <c r="TBJ84" s="31"/>
      <c r="TBK84" s="31"/>
      <c r="TBL84" s="31"/>
      <c r="TBM84" s="31"/>
      <c r="TBN84" s="31"/>
      <c r="TBO84" s="31"/>
      <c r="TBP84" s="31"/>
      <c r="TBQ84" s="31"/>
      <c r="TBR84" s="31"/>
      <c r="TBS84" s="31"/>
      <c r="TBT84" s="31"/>
      <c r="TBU84" s="31"/>
      <c r="TBV84" s="31"/>
      <c r="TBW84" s="31"/>
      <c r="TBX84" s="31"/>
      <c r="TBY84" s="31"/>
      <c r="TBZ84" s="31"/>
      <c r="TCA84" s="31"/>
      <c r="TCB84" s="31"/>
      <c r="TCC84" s="31"/>
      <c r="TCD84" s="31"/>
      <c r="TCE84" s="31"/>
      <c r="TCF84" s="31"/>
      <c r="TCG84" s="31"/>
      <c r="TCH84" s="31"/>
      <c r="TCI84" s="31"/>
      <c r="TCJ84" s="31"/>
      <c r="TCK84" s="31"/>
      <c r="TCL84" s="31"/>
      <c r="TCM84" s="31"/>
      <c r="TCN84" s="31"/>
      <c r="TCO84" s="31"/>
      <c r="TCP84" s="31"/>
      <c r="TCQ84" s="31"/>
      <c r="TCR84" s="31"/>
      <c r="TCS84" s="31"/>
      <c r="TCT84" s="31"/>
      <c r="TCU84" s="31"/>
      <c r="TCV84" s="31"/>
      <c r="TCW84" s="31"/>
      <c r="TCX84" s="31"/>
      <c r="TCY84" s="31"/>
      <c r="TCZ84" s="31"/>
      <c r="TDA84" s="31"/>
      <c r="TDB84" s="31"/>
      <c r="TDC84" s="31"/>
      <c r="TDD84" s="31"/>
      <c r="TDE84" s="31"/>
      <c r="TDF84" s="31"/>
      <c r="TDG84" s="31"/>
      <c r="TDH84" s="31"/>
      <c r="TDI84" s="31"/>
      <c r="TDJ84" s="31"/>
      <c r="TDK84" s="31"/>
      <c r="TDL84" s="31"/>
      <c r="TDM84" s="31"/>
      <c r="TDN84" s="31"/>
      <c r="TDO84" s="31"/>
      <c r="TDP84" s="31"/>
      <c r="TDQ84" s="31"/>
      <c r="TDR84" s="31"/>
      <c r="TDS84" s="31"/>
      <c r="TDT84" s="31"/>
      <c r="TDU84" s="31"/>
      <c r="TDV84" s="31"/>
      <c r="TDW84" s="31"/>
      <c r="TDX84" s="31"/>
      <c r="TDY84" s="31"/>
      <c r="TDZ84" s="31"/>
      <c r="TEA84" s="31"/>
      <c r="TEB84" s="31"/>
      <c r="TEC84" s="31"/>
      <c r="TED84" s="31"/>
      <c r="TEE84" s="31"/>
      <c r="TEF84" s="31"/>
      <c r="TEG84" s="31"/>
      <c r="TEH84" s="31"/>
      <c r="TEI84" s="31"/>
      <c r="TEJ84" s="31"/>
      <c r="TEK84" s="31"/>
      <c r="TEL84" s="31"/>
      <c r="TEM84" s="31"/>
      <c r="TEN84" s="31"/>
      <c r="TEO84" s="31"/>
      <c r="TEP84" s="31"/>
      <c r="TEQ84" s="31"/>
      <c r="TER84" s="31"/>
      <c r="TES84" s="31"/>
      <c r="TET84" s="31"/>
      <c r="TEU84" s="31"/>
      <c r="TEV84" s="31"/>
      <c r="TEW84" s="31"/>
      <c r="TEX84" s="31"/>
      <c r="TEY84" s="31"/>
      <c r="TEZ84" s="31"/>
      <c r="TFA84" s="31"/>
      <c r="TFB84" s="31"/>
      <c r="TFC84" s="31"/>
      <c r="TFD84" s="31"/>
      <c r="TFE84" s="31"/>
      <c r="TFF84" s="31"/>
      <c r="TFG84" s="31"/>
      <c r="TFH84" s="31"/>
      <c r="TFI84" s="31"/>
      <c r="TFJ84" s="31"/>
      <c r="TFK84" s="31"/>
      <c r="TFL84" s="31"/>
      <c r="TFM84" s="31"/>
      <c r="TFN84" s="31"/>
      <c r="TFO84" s="31"/>
      <c r="TFP84" s="31"/>
      <c r="TFQ84" s="31"/>
      <c r="TFR84" s="31"/>
      <c r="TFS84" s="31"/>
      <c r="TFT84" s="31"/>
      <c r="TFU84" s="31"/>
      <c r="TFV84" s="31"/>
      <c r="TFW84" s="31"/>
      <c r="TFX84" s="31"/>
      <c r="TFY84" s="31"/>
      <c r="TFZ84" s="31"/>
      <c r="TGA84" s="31"/>
      <c r="TGB84" s="31"/>
      <c r="TGC84" s="31"/>
      <c r="TGD84" s="31"/>
      <c r="TGE84" s="31"/>
      <c r="TGF84" s="31"/>
      <c r="TGG84" s="31"/>
      <c r="TGH84" s="31"/>
      <c r="TGI84" s="31"/>
      <c r="TGJ84" s="31"/>
      <c r="TGK84" s="31"/>
      <c r="TGL84" s="31"/>
      <c r="TGM84" s="31"/>
      <c r="TGN84" s="31"/>
      <c r="TGO84" s="31"/>
      <c r="TGP84" s="31"/>
      <c r="TGQ84" s="31"/>
      <c r="TGR84" s="31"/>
      <c r="TGS84" s="31"/>
      <c r="TGT84" s="31"/>
      <c r="TGU84" s="31"/>
      <c r="TGV84" s="31"/>
      <c r="TGW84" s="31"/>
      <c r="TGX84" s="31"/>
      <c r="TGY84" s="31"/>
      <c r="TGZ84" s="31"/>
      <c r="THA84" s="31"/>
      <c r="THB84" s="31"/>
      <c r="THC84" s="31"/>
      <c r="THD84" s="31"/>
      <c r="THE84" s="31"/>
      <c r="THF84" s="31"/>
      <c r="THG84" s="31"/>
      <c r="THH84" s="31"/>
      <c r="THI84" s="31"/>
      <c r="THJ84" s="31"/>
      <c r="THK84" s="31"/>
      <c r="THL84" s="31"/>
      <c r="THM84" s="31"/>
      <c r="THN84" s="31"/>
      <c r="THO84" s="31"/>
      <c r="THP84" s="31"/>
      <c r="THQ84" s="31"/>
      <c r="THR84" s="31"/>
      <c r="THS84" s="31"/>
      <c r="THT84" s="31"/>
      <c r="THU84" s="31"/>
      <c r="THV84" s="31"/>
      <c r="THW84" s="31"/>
      <c r="THX84" s="31"/>
      <c r="THY84" s="31"/>
      <c r="THZ84" s="31"/>
      <c r="TIA84" s="31"/>
      <c r="TIB84" s="31"/>
      <c r="TIC84" s="31"/>
      <c r="TID84" s="31"/>
      <c r="TIE84" s="31"/>
      <c r="TIF84" s="31"/>
      <c r="TIG84" s="31"/>
      <c r="TIH84" s="31"/>
      <c r="TII84" s="31"/>
      <c r="TIJ84" s="31"/>
      <c r="TIK84" s="31"/>
      <c r="TIL84" s="31"/>
      <c r="TIM84" s="31"/>
      <c r="TIN84" s="31"/>
      <c r="TIO84" s="31"/>
      <c r="TIP84" s="31"/>
      <c r="TIQ84" s="31"/>
      <c r="TIR84" s="31"/>
      <c r="TIS84" s="31"/>
      <c r="TIT84" s="31"/>
      <c r="TIU84" s="31"/>
      <c r="TIV84" s="31"/>
      <c r="TIW84" s="31"/>
      <c r="TIX84" s="31"/>
      <c r="TIY84" s="31"/>
      <c r="TIZ84" s="31"/>
      <c r="TJA84" s="31"/>
      <c r="TJB84" s="31"/>
      <c r="TJC84" s="31"/>
      <c r="TJD84" s="31"/>
      <c r="TJE84" s="31"/>
      <c r="TJF84" s="31"/>
      <c r="TJG84" s="31"/>
      <c r="TJH84" s="31"/>
      <c r="TJI84" s="31"/>
      <c r="TJJ84" s="31"/>
      <c r="TJK84" s="31"/>
      <c r="TJL84" s="31"/>
      <c r="TJM84" s="31"/>
      <c r="TJN84" s="31"/>
      <c r="TJO84" s="31"/>
      <c r="TJP84" s="31"/>
      <c r="TJQ84" s="31"/>
      <c r="TJR84" s="31"/>
      <c r="TJS84" s="31"/>
      <c r="TJT84" s="31"/>
      <c r="TJU84" s="31"/>
      <c r="TJV84" s="31"/>
      <c r="TJW84" s="31"/>
      <c r="TJX84" s="31"/>
      <c r="TJY84" s="31"/>
      <c r="TJZ84" s="31"/>
      <c r="TKA84" s="31"/>
      <c r="TKB84" s="31"/>
      <c r="TKC84" s="31"/>
      <c r="TKD84" s="31"/>
      <c r="TKE84" s="31"/>
      <c r="TKF84" s="31"/>
      <c r="TKG84" s="31"/>
      <c r="TKH84" s="31"/>
      <c r="TKI84" s="31"/>
      <c r="TKJ84" s="31"/>
      <c r="TKK84" s="31"/>
      <c r="TKL84" s="31"/>
      <c r="TKM84" s="31"/>
      <c r="TKN84" s="31"/>
      <c r="TKO84" s="31"/>
      <c r="TKP84" s="31"/>
      <c r="TKQ84" s="31"/>
      <c r="TKR84" s="31"/>
      <c r="TKS84" s="31"/>
      <c r="TKT84" s="31"/>
      <c r="TKU84" s="31"/>
      <c r="TKV84" s="31"/>
      <c r="TKW84" s="31"/>
      <c r="TKX84" s="31"/>
      <c r="TKY84" s="31"/>
      <c r="TKZ84" s="31"/>
      <c r="TLA84" s="31"/>
      <c r="TLB84" s="31"/>
      <c r="TLC84" s="31"/>
      <c r="TLD84" s="31"/>
      <c r="TLE84" s="31"/>
      <c r="TLF84" s="31"/>
      <c r="TLG84" s="31"/>
      <c r="TLH84" s="31"/>
      <c r="TLI84" s="31"/>
      <c r="TLJ84" s="31"/>
      <c r="TLK84" s="31"/>
      <c r="TLL84" s="31"/>
      <c r="TLM84" s="31"/>
      <c r="TLN84" s="31"/>
      <c r="TLO84" s="31"/>
      <c r="TLP84" s="31"/>
      <c r="TLQ84" s="31"/>
      <c r="TLR84" s="31"/>
      <c r="TLS84" s="31"/>
      <c r="TLT84" s="31"/>
      <c r="TLU84" s="31"/>
      <c r="TLV84" s="31"/>
      <c r="TLW84" s="31"/>
      <c r="TLX84" s="31"/>
      <c r="TLY84" s="31"/>
      <c r="TLZ84" s="31"/>
      <c r="TMA84" s="31"/>
      <c r="TMB84" s="31"/>
      <c r="TMC84" s="31"/>
      <c r="TMD84" s="31"/>
      <c r="TME84" s="31"/>
      <c r="TMF84" s="31"/>
      <c r="TMG84" s="31"/>
      <c r="TMH84" s="31"/>
      <c r="TMI84" s="31"/>
      <c r="TMJ84" s="31"/>
      <c r="TMK84" s="31"/>
      <c r="TML84" s="31"/>
      <c r="TMM84" s="31"/>
      <c r="TMN84" s="31"/>
      <c r="TMO84" s="31"/>
      <c r="TMP84" s="31"/>
      <c r="TMQ84" s="31"/>
      <c r="TMR84" s="31"/>
      <c r="TMS84" s="31"/>
      <c r="TMT84" s="31"/>
      <c r="TMU84" s="31"/>
      <c r="TMV84" s="31"/>
      <c r="TMW84" s="31"/>
      <c r="TMX84" s="31"/>
      <c r="TMY84" s="31"/>
      <c r="TMZ84" s="31"/>
      <c r="TNA84" s="31"/>
      <c r="TNB84" s="31"/>
      <c r="TNC84" s="31"/>
      <c r="TND84" s="31"/>
      <c r="TNE84" s="31"/>
      <c r="TNF84" s="31"/>
      <c r="TNG84" s="31"/>
      <c r="TNH84" s="31"/>
      <c r="TNI84" s="31"/>
      <c r="TNJ84" s="31"/>
      <c r="TNK84" s="31"/>
      <c r="TNL84" s="31"/>
      <c r="TNM84" s="31"/>
      <c r="TNN84" s="31"/>
      <c r="TNO84" s="31"/>
      <c r="TNP84" s="31"/>
      <c r="TNQ84" s="31"/>
      <c r="TNR84" s="31"/>
      <c r="TNS84" s="31"/>
      <c r="TNT84" s="31"/>
      <c r="TNU84" s="31"/>
      <c r="TNV84" s="31"/>
      <c r="TNW84" s="31"/>
      <c r="TNX84" s="31"/>
      <c r="TNY84" s="31"/>
      <c r="TNZ84" s="31"/>
      <c r="TOA84" s="31"/>
      <c r="TOB84" s="31"/>
      <c r="TOC84" s="31"/>
      <c r="TOD84" s="31"/>
      <c r="TOE84" s="31"/>
      <c r="TOF84" s="31"/>
      <c r="TOG84" s="31"/>
      <c r="TOH84" s="31"/>
      <c r="TOI84" s="31"/>
      <c r="TOJ84" s="31"/>
      <c r="TOK84" s="31"/>
      <c r="TOL84" s="31"/>
      <c r="TOM84" s="31"/>
      <c r="TON84" s="31"/>
      <c r="TOO84" s="31"/>
      <c r="TOP84" s="31"/>
      <c r="TOQ84" s="31"/>
      <c r="TOR84" s="31"/>
      <c r="TOS84" s="31"/>
      <c r="TOT84" s="31"/>
      <c r="TOU84" s="31"/>
      <c r="TOV84" s="31"/>
      <c r="TOW84" s="31"/>
      <c r="TOX84" s="31"/>
      <c r="TOY84" s="31"/>
      <c r="TOZ84" s="31"/>
      <c r="TPA84" s="31"/>
      <c r="TPB84" s="31"/>
      <c r="TPC84" s="31"/>
      <c r="TPD84" s="31"/>
      <c r="TPE84" s="31"/>
      <c r="TPF84" s="31"/>
      <c r="TPG84" s="31"/>
      <c r="TPH84" s="31"/>
      <c r="TPI84" s="31"/>
      <c r="TPJ84" s="31"/>
      <c r="TPK84" s="31"/>
      <c r="TPL84" s="31"/>
      <c r="TPM84" s="31"/>
      <c r="TPN84" s="31"/>
      <c r="TPO84" s="31"/>
      <c r="TPP84" s="31"/>
      <c r="TPQ84" s="31"/>
      <c r="TPR84" s="31"/>
      <c r="TPS84" s="31"/>
      <c r="TPT84" s="31"/>
      <c r="TPU84" s="31"/>
      <c r="TPV84" s="31"/>
      <c r="TPW84" s="31"/>
      <c r="TPX84" s="31"/>
      <c r="TPY84" s="31"/>
      <c r="TPZ84" s="31"/>
      <c r="TQA84" s="31"/>
      <c r="TQB84" s="31"/>
      <c r="TQC84" s="31"/>
      <c r="TQD84" s="31"/>
      <c r="TQE84" s="31"/>
      <c r="TQF84" s="31"/>
      <c r="TQG84" s="31"/>
      <c r="TQH84" s="31"/>
      <c r="TQI84" s="31"/>
      <c r="TQJ84" s="31"/>
      <c r="TQK84" s="31"/>
      <c r="TQL84" s="31"/>
      <c r="TQM84" s="31"/>
      <c r="TQN84" s="31"/>
      <c r="TQO84" s="31"/>
      <c r="TQP84" s="31"/>
      <c r="TQQ84" s="31"/>
      <c r="TQR84" s="31"/>
      <c r="TQS84" s="31"/>
      <c r="TQT84" s="31"/>
      <c r="TQU84" s="31"/>
      <c r="TQV84" s="31"/>
      <c r="TQW84" s="31"/>
      <c r="TQX84" s="31"/>
      <c r="TQY84" s="31"/>
      <c r="TQZ84" s="31"/>
      <c r="TRA84" s="31"/>
      <c r="TRB84" s="31"/>
      <c r="TRC84" s="31"/>
      <c r="TRD84" s="31"/>
      <c r="TRE84" s="31"/>
      <c r="TRF84" s="31"/>
      <c r="TRG84" s="31"/>
      <c r="TRH84" s="31"/>
      <c r="TRI84" s="31"/>
      <c r="TRJ84" s="31"/>
      <c r="TRK84" s="31"/>
      <c r="TRL84" s="31"/>
      <c r="TRM84" s="31"/>
      <c r="TRN84" s="31"/>
      <c r="TRO84" s="31"/>
      <c r="TRP84" s="31"/>
      <c r="TRQ84" s="31"/>
      <c r="TRR84" s="31"/>
      <c r="TRS84" s="31"/>
      <c r="TRT84" s="31"/>
      <c r="TRU84" s="31"/>
      <c r="TRV84" s="31"/>
      <c r="TRW84" s="31"/>
      <c r="TRX84" s="31"/>
      <c r="TRY84" s="31"/>
      <c r="TRZ84" s="31"/>
      <c r="TSA84" s="31"/>
      <c r="TSB84" s="31"/>
      <c r="TSC84" s="31"/>
      <c r="TSD84" s="31"/>
      <c r="TSE84" s="31"/>
      <c r="TSF84" s="31"/>
      <c r="TSG84" s="31"/>
      <c r="TSH84" s="31"/>
      <c r="TSI84" s="31"/>
      <c r="TSJ84" s="31"/>
      <c r="TSK84" s="31"/>
      <c r="TSL84" s="31"/>
      <c r="TSM84" s="31"/>
      <c r="TSN84" s="31"/>
      <c r="TSO84" s="31"/>
      <c r="TSP84" s="31"/>
      <c r="TSQ84" s="31"/>
      <c r="TSR84" s="31"/>
      <c r="TSS84" s="31"/>
      <c r="TST84" s="31"/>
      <c r="TSU84" s="31"/>
      <c r="TSV84" s="31"/>
      <c r="TSW84" s="31"/>
      <c r="TSX84" s="31"/>
      <c r="TSY84" s="31"/>
      <c r="TSZ84" s="31"/>
      <c r="TTA84" s="31"/>
      <c r="TTB84" s="31"/>
      <c r="TTC84" s="31"/>
      <c r="TTD84" s="31"/>
      <c r="TTE84" s="31"/>
      <c r="TTF84" s="31"/>
      <c r="TTG84" s="31"/>
      <c r="TTH84" s="31"/>
      <c r="TTI84" s="31"/>
      <c r="TTJ84" s="31"/>
      <c r="TTK84" s="31"/>
      <c r="TTL84" s="31"/>
      <c r="TTM84" s="31"/>
      <c r="TTN84" s="31"/>
      <c r="TTO84" s="31"/>
      <c r="TTP84" s="31"/>
      <c r="TTQ84" s="31"/>
      <c r="TTR84" s="31"/>
      <c r="TTS84" s="31"/>
      <c r="TTT84" s="31"/>
      <c r="TTU84" s="31"/>
      <c r="TTV84" s="31"/>
      <c r="TTW84" s="31"/>
      <c r="TTX84" s="31"/>
      <c r="TTY84" s="31"/>
      <c r="TTZ84" s="31"/>
      <c r="TUA84" s="31"/>
      <c r="TUB84" s="31"/>
      <c r="TUC84" s="31"/>
      <c r="TUD84" s="31"/>
      <c r="TUE84" s="31"/>
      <c r="TUF84" s="31"/>
      <c r="TUG84" s="31"/>
      <c r="TUH84" s="31"/>
      <c r="TUI84" s="31"/>
      <c r="TUJ84" s="31"/>
      <c r="TUK84" s="31"/>
      <c r="TUL84" s="31"/>
      <c r="TUM84" s="31"/>
      <c r="TUN84" s="31"/>
      <c r="TUO84" s="31"/>
      <c r="TUP84" s="31"/>
      <c r="TUQ84" s="31"/>
      <c r="TUR84" s="31"/>
      <c r="TUS84" s="31"/>
      <c r="TUT84" s="31"/>
      <c r="TUU84" s="31"/>
      <c r="TUV84" s="31"/>
      <c r="TUW84" s="31"/>
      <c r="TUX84" s="31"/>
      <c r="TUY84" s="31"/>
      <c r="TUZ84" s="31"/>
      <c r="TVA84" s="31"/>
      <c r="TVB84" s="31"/>
      <c r="TVC84" s="31"/>
      <c r="TVD84" s="31"/>
      <c r="TVE84" s="31"/>
      <c r="TVF84" s="31"/>
      <c r="TVG84" s="31"/>
      <c r="TVH84" s="31"/>
      <c r="TVI84" s="31"/>
      <c r="TVJ84" s="31"/>
      <c r="TVK84" s="31"/>
      <c r="TVL84" s="31"/>
      <c r="TVM84" s="31"/>
      <c r="TVN84" s="31"/>
      <c r="TVO84" s="31"/>
      <c r="TVP84" s="31"/>
      <c r="TVQ84" s="31"/>
      <c r="TVR84" s="31"/>
      <c r="TVS84" s="31"/>
      <c r="TVT84" s="31"/>
      <c r="TVU84" s="31"/>
      <c r="TVV84" s="31"/>
      <c r="TVW84" s="31"/>
      <c r="TVX84" s="31"/>
      <c r="TVY84" s="31"/>
      <c r="TVZ84" s="31"/>
      <c r="TWA84" s="31"/>
      <c r="TWB84" s="31"/>
      <c r="TWC84" s="31"/>
      <c r="TWD84" s="31"/>
      <c r="TWE84" s="31"/>
      <c r="TWF84" s="31"/>
      <c r="TWG84" s="31"/>
      <c r="TWH84" s="31"/>
      <c r="TWI84" s="31"/>
      <c r="TWJ84" s="31"/>
      <c r="TWK84" s="31"/>
      <c r="TWL84" s="31"/>
      <c r="TWM84" s="31"/>
      <c r="TWN84" s="31"/>
      <c r="TWO84" s="31"/>
      <c r="TWP84" s="31"/>
      <c r="TWQ84" s="31"/>
      <c r="TWR84" s="31"/>
      <c r="TWS84" s="31"/>
      <c r="TWT84" s="31"/>
      <c r="TWU84" s="31"/>
      <c r="TWV84" s="31"/>
      <c r="TWW84" s="31"/>
      <c r="TWX84" s="31"/>
      <c r="TWY84" s="31"/>
      <c r="TWZ84" s="31"/>
      <c r="TXA84" s="31"/>
      <c r="TXB84" s="31"/>
      <c r="TXC84" s="31"/>
      <c r="TXD84" s="31"/>
      <c r="TXE84" s="31"/>
      <c r="TXF84" s="31"/>
      <c r="TXG84" s="31"/>
      <c r="TXH84" s="31"/>
      <c r="TXI84" s="31"/>
      <c r="TXJ84" s="31"/>
      <c r="TXK84" s="31"/>
      <c r="TXL84" s="31"/>
      <c r="TXM84" s="31"/>
      <c r="TXN84" s="31"/>
      <c r="TXO84" s="31"/>
      <c r="TXP84" s="31"/>
      <c r="TXQ84" s="31"/>
      <c r="TXR84" s="31"/>
      <c r="TXS84" s="31"/>
      <c r="TXT84" s="31"/>
      <c r="TXU84" s="31"/>
      <c r="TXV84" s="31"/>
      <c r="TXW84" s="31"/>
      <c r="TXX84" s="31"/>
      <c r="TXY84" s="31"/>
      <c r="TXZ84" s="31"/>
      <c r="TYA84" s="31"/>
      <c r="TYB84" s="31"/>
      <c r="TYC84" s="31"/>
      <c r="TYD84" s="31"/>
      <c r="TYE84" s="31"/>
      <c r="TYF84" s="31"/>
      <c r="TYG84" s="31"/>
      <c r="TYH84" s="31"/>
      <c r="TYI84" s="31"/>
      <c r="TYJ84" s="31"/>
      <c r="TYK84" s="31"/>
      <c r="TYL84" s="31"/>
      <c r="TYM84" s="31"/>
      <c r="TYN84" s="31"/>
      <c r="TYO84" s="31"/>
      <c r="TYP84" s="31"/>
      <c r="TYQ84" s="31"/>
      <c r="TYR84" s="31"/>
      <c r="TYS84" s="31"/>
      <c r="TYT84" s="31"/>
      <c r="TYU84" s="31"/>
      <c r="TYV84" s="31"/>
      <c r="TYW84" s="31"/>
      <c r="TYX84" s="31"/>
      <c r="TYY84" s="31"/>
      <c r="TYZ84" s="31"/>
      <c r="TZA84" s="31"/>
      <c r="TZB84" s="31"/>
      <c r="TZC84" s="31"/>
      <c r="TZD84" s="31"/>
      <c r="TZE84" s="31"/>
      <c r="TZF84" s="31"/>
      <c r="TZG84" s="31"/>
      <c r="TZH84" s="31"/>
      <c r="TZI84" s="31"/>
      <c r="TZJ84" s="31"/>
      <c r="TZK84" s="31"/>
      <c r="TZL84" s="31"/>
      <c r="TZM84" s="31"/>
      <c r="TZN84" s="31"/>
      <c r="TZO84" s="31"/>
      <c r="TZP84" s="31"/>
      <c r="TZQ84" s="31"/>
      <c r="TZR84" s="31"/>
      <c r="TZS84" s="31"/>
      <c r="TZT84" s="31"/>
      <c r="TZU84" s="31"/>
      <c r="TZV84" s="31"/>
      <c r="TZW84" s="31"/>
      <c r="TZX84" s="31"/>
      <c r="TZY84" s="31"/>
      <c r="TZZ84" s="31"/>
      <c r="UAA84" s="31"/>
      <c r="UAB84" s="31"/>
      <c r="UAC84" s="31"/>
      <c r="UAD84" s="31"/>
      <c r="UAE84" s="31"/>
      <c r="UAF84" s="31"/>
      <c r="UAG84" s="31"/>
      <c r="UAH84" s="31"/>
      <c r="UAI84" s="31"/>
      <c r="UAJ84" s="31"/>
      <c r="UAK84" s="31"/>
      <c r="UAL84" s="31"/>
      <c r="UAM84" s="31"/>
      <c r="UAN84" s="31"/>
      <c r="UAO84" s="31"/>
      <c r="UAP84" s="31"/>
      <c r="UAQ84" s="31"/>
      <c r="UAR84" s="31"/>
      <c r="UAS84" s="31"/>
      <c r="UAT84" s="31"/>
      <c r="UAU84" s="31"/>
      <c r="UAV84" s="31"/>
      <c r="UAW84" s="31"/>
      <c r="UAX84" s="31"/>
      <c r="UAY84" s="31"/>
      <c r="UAZ84" s="31"/>
      <c r="UBA84" s="31"/>
      <c r="UBB84" s="31"/>
      <c r="UBC84" s="31"/>
      <c r="UBD84" s="31"/>
      <c r="UBE84" s="31"/>
      <c r="UBF84" s="31"/>
      <c r="UBG84" s="31"/>
      <c r="UBH84" s="31"/>
      <c r="UBI84" s="31"/>
      <c r="UBJ84" s="31"/>
      <c r="UBK84" s="31"/>
      <c r="UBL84" s="31"/>
      <c r="UBM84" s="31"/>
      <c r="UBN84" s="31"/>
      <c r="UBO84" s="31"/>
      <c r="UBP84" s="31"/>
      <c r="UBQ84" s="31"/>
      <c r="UBR84" s="31"/>
      <c r="UBS84" s="31"/>
      <c r="UBT84" s="31"/>
      <c r="UBU84" s="31"/>
      <c r="UBV84" s="31"/>
      <c r="UBW84" s="31"/>
      <c r="UBX84" s="31"/>
      <c r="UBY84" s="31"/>
      <c r="UBZ84" s="31"/>
      <c r="UCA84" s="31"/>
      <c r="UCB84" s="31"/>
      <c r="UCC84" s="31"/>
      <c r="UCD84" s="31"/>
      <c r="UCE84" s="31"/>
      <c r="UCF84" s="31"/>
      <c r="UCG84" s="31"/>
      <c r="UCH84" s="31"/>
      <c r="UCI84" s="31"/>
      <c r="UCJ84" s="31"/>
      <c r="UCK84" s="31"/>
      <c r="UCL84" s="31"/>
      <c r="UCM84" s="31"/>
      <c r="UCN84" s="31"/>
      <c r="UCO84" s="31"/>
      <c r="UCP84" s="31"/>
      <c r="UCQ84" s="31"/>
      <c r="UCR84" s="31"/>
      <c r="UCS84" s="31"/>
      <c r="UCT84" s="31"/>
      <c r="UCU84" s="31"/>
      <c r="UCV84" s="31"/>
      <c r="UCW84" s="31"/>
      <c r="UCX84" s="31"/>
      <c r="UCY84" s="31"/>
      <c r="UCZ84" s="31"/>
      <c r="UDA84" s="31"/>
      <c r="UDB84" s="31"/>
      <c r="UDC84" s="31"/>
      <c r="UDD84" s="31"/>
      <c r="UDE84" s="31"/>
      <c r="UDF84" s="31"/>
      <c r="UDG84" s="31"/>
      <c r="UDH84" s="31"/>
      <c r="UDI84" s="31"/>
      <c r="UDJ84" s="31"/>
      <c r="UDK84" s="31"/>
      <c r="UDL84" s="31"/>
      <c r="UDM84" s="31"/>
      <c r="UDN84" s="31"/>
      <c r="UDO84" s="31"/>
      <c r="UDP84" s="31"/>
      <c r="UDQ84" s="31"/>
      <c r="UDR84" s="31"/>
      <c r="UDS84" s="31"/>
      <c r="UDT84" s="31"/>
      <c r="UDU84" s="31"/>
      <c r="UDV84" s="31"/>
      <c r="UDW84" s="31"/>
      <c r="UDX84" s="31"/>
      <c r="UDY84" s="31"/>
      <c r="UDZ84" s="31"/>
      <c r="UEA84" s="31"/>
      <c r="UEB84" s="31"/>
      <c r="UEC84" s="31"/>
      <c r="UED84" s="31"/>
      <c r="UEE84" s="31"/>
      <c r="UEF84" s="31"/>
      <c r="UEG84" s="31"/>
      <c r="UEH84" s="31"/>
      <c r="UEI84" s="31"/>
      <c r="UEJ84" s="31"/>
      <c r="UEK84" s="31"/>
      <c r="UEL84" s="31"/>
      <c r="UEM84" s="31"/>
      <c r="UEN84" s="31"/>
      <c r="UEO84" s="31"/>
      <c r="UEP84" s="31"/>
      <c r="UEQ84" s="31"/>
      <c r="UER84" s="31"/>
      <c r="UES84" s="31"/>
      <c r="UET84" s="31"/>
      <c r="UEU84" s="31"/>
      <c r="UEV84" s="31"/>
      <c r="UEW84" s="31"/>
      <c r="UEX84" s="31"/>
      <c r="UEY84" s="31"/>
      <c r="UEZ84" s="31"/>
      <c r="UFA84" s="31"/>
      <c r="UFB84" s="31"/>
      <c r="UFC84" s="31"/>
      <c r="UFD84" s="31"/>
      <c r="UFE84" s="31"/>
      <c r="UFF84" s="31"/>
      <c r="UFG84" s="31"/>
      <c r="UFH84" s="31"/>
      <c r="UFI84" s="31"/>
      <c r="UFJ84" s="31"/>
      <c r="UFK84" s="31"/>
      <c r="UFL84" s="31"/>
      <c r="UFM84" s="31"/>
      <c r="UFN84" s="31"/>
      <c r="UFO84" s="31"/>
      <c r="UFP84" s="31"/>
      <c r="UFQ84" s="31"/>
      <c r="UFR84" s="31"/>
      <c r="UFS84" s="31"/>
      <c r="UFT84" s="31"/>
      <c r="UFU84" s="31"/>
      <c r="UFV84" s="31"/>
      <c r="UFW84" s="31"/>
      <c r="UFX84" s="31"/>
      <c r="UFY84" s="31"/>
      <c r="UFZ84" s="31"/>
      <c r="UGA84" s="31"/>
      <c r="UGB84" s="31"/>
      <c r="UGC84" s="31"/>
      <c r="UGD84" s="31"/>
      <c r="UGE84" s="31"/>
      <c r="UGF84" s="31"/>
      <c r="UGG84" s="31"/>
      <c r="UGH84" s="31"/>
      <c r="UGI84" s="31"/>
      <c r="UGJ84" s="31"/>
      <c r="UGK84" s="31"/>
      <c r="UGL84" s="31"/>
      <c r="UGM84" s="31"/>
      <c r="UGN84" s="31"/>
      <c r="UGO84" s="31"/>
      <c r="UGP84" s="31"/>
      <c r="UGQ84" s="31"/>
      <c r="UGR84" s="31"/>
      <c r="UGS84" s="31"/>
      <c r="UGT84" s="31"/>
      <c r="UGU84" s="31"/>
      <c r="UGV84" s="31"/>
      <c r="UGW84" s="31"/>
      <c r="UGX84" s="31"/>
      <c r="UGY84" s="31"/>
      <c r="UGZ84" s="31"/>
      <c r="UHA84" s="31"/>
      <c r="UHB84" s="31"/>
      <c r="UHC84" s="31"/>
      <c r="UHD84" s="31"/>
      <c r="UHE84" s="31"/>
      <c r="UHF84" s="31"/>
      <c r="UHG84" s="31"/>
      <c r="UHH84" s="31"/>
      <c r="UHI84" s="31"/>
      <c r="UHJ84" s="31"/>
      <c r="UHK84" s="31"/>
      <c r="UHL84" s="31"/>
      <c r="UHM84" s="31"/>
      <c r="UHN84" s="31"/>
      <c r="UHO84" s="31"/>
      <c r="UHP84" s="31"/>
      <c r="UHQ84" s="31"/>
      <c r="UHR84" s="31"/>
      <c r="UHS84" s="31"/>
      <c r="UHT84" s="31"/>
      <c r="UHU84" s="31"/>
      <c r="UHV84" s="31"/>
      <c r="UHW84" s="31"/>
      <c r="UHX84" s="31"/>
      <c r="UHY84" s="31"/>
      <c r="UHZ84" s="31"/>
      <c r="UIA84" s="31"/>
      <c r="UIB84" s="31"/>
      <c r="UIC84" s="31"/>
      <c r="UID84" s="31"/>
      <c r="UIE84" s="31"/>
      <c r="UIF84" s="31"/>
      <c r="UIG84" s="31"/>
      <c r="UIH84" s="31"/>
      <c r="UII84" s="31"/>
      <c r="UIJ84" s="31"/>
      <c r="UIK84" s="31"/>
      <c r="UIL84" s="31"/>
      <c r="UIM84" s="31"/>
      <c r="UIN84" s="31"/>
      <c r="UIO84" s="31"/>
      <c r="UIP84" s="31"/>
      <c r="UIQ84" s="31"/>
      <c r="UIR84" s="31"/>
      <c r="UIS84" s="31"/>
      <c r="UIT84" s="31"/>
      <c r="UIU84" s="31"/>
      <c r="UIV84" s="31"/>
      <c r="UIW84" s="31"/>
      <c r="UIX84" s="31"/>
      <c r="UIY84" s="31"/>
      <c r="UIZ84" s="31"/>
      <c r="UJA84" s="31"/>
      <c r="UJB84" s="31"/>
      <c r="UJC84" s="31"/>
      <c r="UJD84" s="31"/>
      <c r="UJE84" s="31"/>
      <c r="UJF84" s="31"/>
      <c r="UJG84" s="31"/>
      <c r="UJH84" s="31"/>
      <c r="UJI84" s="31"/>
      <c r="UJJ84" s="31"/>
      <c r="UJK84" s="31"/>
      <c r="UJL84" s="31"/>
      <c r="UJM84" s="31"/>
      <c r="UJN84" s="31"/>
      <c r="UJO84" s="31"/>
      <c r="UJP84" s="31"/>
      <c r="UJQ84" s="31"/>
      <c r="UJR84" s="31"/>
      <c r="UJS84" s="31"/>
      <c r="UJT84" s="31"/>
      <c r="UJU84" s="31"/>
      <c r="UJV84" s="31"/>
      <c r="UJW84" s="31"/>
      <c r="UJX84" s="31"/>
      <c r="UJY84" s="31"/>
      <c r="UJZ84" s="31"/>
      <c r="UKA84" s="31"/>
      <c r="UKB84" s="31"/>
      <c r="UKC84" s="31"/>
      <c r="UKD84" s="31"/>
      <c r="UKE84" s="31"/>
      <c r="UKF84" s="31"/>
      <c r="UKG84" s="31"/>
      <c r="UKH84" s="31"/>
      <c r="UKI84" s="31"/>
      <c r="UKJ84" s="31"/>
      <c r="UKK84" s="31"/>
      <c r="UKL84" s="31"/>
      <c r="UKM84" s="31"/>
      <c r="UKN84" s="31"/>
      <c r="UKO84" s="31"/>
      <c r="UKP84" s="31"/>
      <c r="UKQ84" s="31"/>
      <c r="UKR84" s="31"/>
      <c r="UKS84" s="31"/>
      <c r="UKT84" s="31"/>
      <c r="UKU84" s="31"/>
      <c r="UKV84" s="31"/>
      <c r="UKW84" s="31"/>
      <c r="UKX84" s="31"/>
      <c r="UKY84" s="31"/>
      <c r="UKZ84" s="31"/>
      <c r="ULA84" s="31"/>
      <c r="ULB84" s="31"/>
      <c r="ULC84" s="31"/>
      <c r="ULD84" s="31"/>
      <c r="ULE84" s="31"/>
      <c r="ULF84" s="31"/>
      <c r="ULG84" s="31"/>
      <c r="ULH84" s="31"/>
      <c r="ULI84" s="31"/>
      <c r="ULJ84" s="31"/>
      <c r="ULK84" s="31"/>
      <c r="ULL84" s="31"/>
      <c r="ULM84" s="31"/>
      <c r="ULN84" s="31"/>
      <c r="ULO84" s="31"/>
      <c r="ULP84" s="31"/>
      <c r="ULQ84" s="31"/>
      <c r="ULR84" s="31"/>
      <c r="ULS84" s="31"/>
      <c r="ULT84" s="31"/>
      <c r="ULU84" s="31"/>
      <c r="ULV84" s="31"/>
      <c r="ULW84" s="31"/>
      <c r="ULX84" s="31"/>
      <c r="ULY84" s="31"/>
      <c r="ULZ84" s="31"/>
      <c r="UMA84" s="31"/>
      <c r="UMB84" s="31"/>
      <c r="UMC84" s="31"/>
      <c r="UMD84" s="31"/>
      <c r="UME84" s="31"/>
      <c r="UMF84" s="31"/>
      <c r="UMG84" s="31"/>
      <c r="UMH84" s="31"/>
      <c r="UMI84" s="31"/>
      <c r="UMJ84" s="31"/>
      <c r="UMK84" s="31"/>
      <c r="UML84" s="31"/>
      <c r="UMM84" s="31"/>
      <c r="UMN84" s="31"/>
      <c r="UMO84" s="31"/>
      <c r="UMP84" s="31"/>
      <c r="UMQ84" s="31"/>
      <c r="UMR84" s="31"/>
      <c r="UMS84" s="31"/>
      <c r="UMT84" s="31"/>
      <c r="UMU84" s="31"/>
      <c r="UMV84" s="31"/>
      <c r="UMW84" s="31"/>
      <c r="UMX84" s="31"/>
      <c r="UMY84" s="31"/>
      <c r="UMZ84" s="31"/>
      <c r="UNA84" s="31"/>
      <c r="UNB84" s="31"/>
      <c r="UNC84" s="31"/>
      <c r="UND84" s="31"/>
      <c r="UNE84" s="31"/>
      <c r="UNF84" s="31"/>
      <c r="UNG84" s="31"/>
      <c r="UNH84" s="31"/>
      <c r="UNI84" s="31"/>
      <c r="UNJ84" s="31"/>
      <c r="UNK84" s="31"/>
      <c r="UNL84" s="31"/>
      <c r="UNM84" s="31"/>
      <c r="UNN84" s="31"/>
      <c r="UNO84" s="31"/>
      <c r="UNP84" s="31"/>
      <c r="UNQ84" s="31"/>
      <c r="UNR84" s="31"/>
      <c r="UNS84" s="31"/>
      <c r="UNT84" s="31"/>
      <c r="UNU84" s="31"/>
      <c r="UNV84" s="31"/>
      <c r="UNW84" s="31"/>
      <c r="UNX84" s="31"/>
      <c r="UNY84" s="31"/>
      <c r="UNZ84" s="31"/>
      <c r="UOA84" s="31"/>
      <c r="UOB84" s="31"/>
      <c r="UOC84" s="31"/>
      <c r="UOD84" s="31"/>
      <c r="UOE84" s="31"/>
      <c r="UOF84" s="31"/>
      <c r="UOG84" s="31"/>
      <c r="UOH84" s="31"/>
      <c r="UOI84" s="31"/>
      <c r="UOJ84" s="31"/>
      <c r="UOK84" s="31"/>
      <c r="UOL84" s="31"/>
      <c r="UOM84" s="31"/>
      <c r="UON84" s="31"/>
      <c r="UOO84" s="31"/>
      <c r="UOP84" s="31"/>
      <c r="UOQ84" s="31"/>
      <c r="UOR84" s="31"/>
      <c r="UOS84" s="31"/>
      <c r="UOT84" s="31"/>
      <c r="UOU84" s="31"/>
      <c r="UOV84" s="31"/>
      <c r="UOW84" s="31"/>
      <c r="UOX84" s="31"/>
      <c r="UOY84" s="31"/>
      <c r="UOZ84" s="31"/>
      <c r="UPA84" s="31"/>
      <c r="UPB84" s="31"/>
      <c r="UPC84" s="31"/>
      <c r="UPD84" s="31"/>
      <c r="UPE84" s="31"/>
      <c r="UPF84" s="31"/>
      <c r="UPG84" s="31"/>
      <c r="UPH84" s="31"/>
      <c r="UPI84" s="31"/>
      <c r="UPJ84" s="31"/>
      <c r="UPK84" s="31"/>
      <c r="UPL84" s="31"/>
      <c r="UPM84" s="31"/>
      <c r="UPN84" s="31"/>
      <c r="UPO84" s="31"/>
      <c r="UPP84" s="31"/>
      <c r="UPQ84" s="31"/>
      <c r="UPR84" s="31"/>
      <c r="UPS84" s="31"/>
      <c r="UPT84" s="31"/>
      <c r="UPU84" s="31"/>
      <c r="UPV84" s="31"/>
      <c r="UPW84" s="31"/>
      <c r="UPX84" s="31"/>
      <c r="UPY84" s="31"/>
      <c r="UPZ84" s="31"/>
      <c r="UQA84" s="31"/>
      <c r="UQB84" s="31"/>
      <c r="UQC84" s="31"/>
      <c r="UQD84" s="31"/>
      <c r="UQE84" s="31"/>
      <c r="UQF84" s="31"/>
      <c r="UQG84" s="31"/>
      <c r="UQH84" s="31"/>
      <c r="UQI84" s="31"/>
      <c r="UQJ84" s="31"/>
      <c r="UQK84" s="31"/>
      <c r="UQL84" s="31"/>
      <c r="UQM84" s="31"/>
      <c r="UQN84" s="31"/>
      <c r="UQO84" s="31"/>
      <c r="UQP84" s="31"/>
      <c r="UQQ84" s="31"/>
      <c r="UQR84" s="31"/>
      <c r="UQS84" s="31"/>
      <c r="UQT84" s="31"/>
      <c r="UQU84" s="31"/>
      <c r="UQV84" s="31"/>
      <c r="UQW84" s="31"/>
      <c r="UQX84" s="31"/>
      <c r="UQY84" s="31"/>
      <c r="UQZ84" s="31"/>
      <c r="URA84" s="31"/>
      <c r="URB84" s="31"/>
      <c r="URC84" s="31"/>
      <c r="URD84" s="31"/>
      <c r="URE84" s="31"/>
      <c r="URF84" s="31"/>
      <c r="URG84" s="31"/>
      <c r="URH84" s="31"/>
      <c r="URI84" s="31"/>
      <c r="URJ84" s="31"/>
      <c r="URK84" s="31"/>
      <c r="URL84" s="31"/>
      <c r="URM84" s="31"/>
      <c r="URN84" s="31"/>
      <c r="URO84" s="31"/>
      <c r="URP84" s="31"/>
      <c r="URQ84" s="31"/>
      <c r="URR84" s="31"/>
      <c r="URS84" s="31"/>
      <c r="URT84" s="31"/>
      <c r="URU84" s="31"/>
      <c r="URV84" s="31"/>
      <c r="URW84" s="31"/>
      <c r="URX84" s="31"/>
      <c r="URY84" s="31"/>
      <c r="URZ84" s="31"/>
      <c r="USA84" s="31"/>
      <c r="USB84" s="31"/>
      <c r="USC84" s="31"/>
      <c r="USD84" s="31"/>
      <c r="USE84" s="31"/>
      <c r="USF84" s="31"/>
      <c r="USG84" s="31"/>
      <c r="USH84" s="31"/>
      <c r="USI84" s="31"/>
      <c r="USJ84" s="31"/>
      <c r="USK84" s="31"/>
      <c r="USL84" s="31"/>
      <c r="USM84" s="31"/>
      <c r="USN84" s="31"/>
      <c r="USO84" s="31"/>
      <c r="USP84" s="31"/>
      <c r="USQ84" s="31"/>
      <c r="USR84" s="31"/>
      <c r="USS84" s="31"/>
      <c r="UST84" s="31"/>
      <c r="USU84" s="31"/>
      <c r="USV84" s="31"/>
      <c r="USW84" s="31"/>
      <c r="USX84" s="31"/>
      <c r="USY84" s="31"/>
      <c r="USZ84" s="31"/>
      <c r="UTA84" s="31"/>
      <c r="UTB84" s="31"/>
      <c r="UTC84" s="31"/>
      <c r="UTD84" s="31"/>
      <c r="UTE84" s="31"/>
      <c r="UTF84" s="31"/>
      <c r="UTG84" s="31"/>
      <c r="UTH84" s="31"/>
      <c r="UTI84" s="31"/>
      <c r="UTJ84" s="31"/>
      <c r="UTK84" s="31"/>
      <c r="UTL84" s="31"/>
      <c r="UTM84" s="31"/>
      <c r="UTN84" s="31"/>
      <c r="UTO84" s="31"/>
      <c r="UTP84" s="31"/>
      <c r="UTQ84" s="31"/>
      <c r="UTR84" s="31"/>
      <c r="UTS84" s="31"/>
      <c r="UTT84" s="31"/>
      <c r="UTU84" s="31"/>
      <c r="UTV84" s="31"/>
      <c r="UTW84" s="31"/>
      <c r="UTX84" s="31"/>
      <c r="UTY84" s="31"/>
      <c r="UTZ84" s="31"/>
      <c r="UUA84" s="31"/>
      <c r="UUB84" s="31"/>
      <c r="UUC84" s="31"/>
      <c r="UUD84" s="31"/>
      <c r="UUE84" s="31"/>
      <c r="UUF84" s="31"/>
      <c r="UUG84" s="31"/>
      <c r="UUH84" s="31"/>
      <c r="UUI84" s="31"/>
      <c r="UUJ84" s="31"/>
      <c r="UUK84" s="31"/>
      <c r="UUL84" s="31"/>
      <c r="UUM84" s="31"/>
      <c r="UUN84" s="31"/>
      <c r="UUO84" s="31"/>
      <c r="UUP84" s="31"/>
      <c r="UUQ84" s="31"/>
      <c r="UUR84" s="31"/>
      <c r="UUS84" s="31"/>
      <c r="UUT84" s="31"/>
      <c r="UUU84" s="31"/>
      <c r="UUV84" s="31"/>
      <c r="UUW84" s="31"/>
      <c r="UUX84" s="31"/>
      <c r="UUY84" s="31"/>
      <c r="UUZ84" s="31"/>
      <c r="UVA84" s="31"/>
      <c r="UVB84" s="31"/>
      <c r="UVC84" s="31"/>
      <c r="UVD84" s="31"/>
      <c r="UVE84" s="31"/>
      <c r="UVF84" s="31"/>
      <c r="UVG84" s="31"/>
      <c r="UVH84" s="31"/>
      <c r="UVI84" s="31"/>
      <c r="UVJ84" s="31"/>
      <c r="UVK84" s="31"/>
      <c r="UVL84" s="31"/>
      <c r="UVM84" s="31"/>
      <c r="UVN84" s="31"/>
      <c r="UVO84" s="31"/>
      <c r="UVP84" s="31"/>
      <c r="UVQ84" s="31"/>
      <c r="UVR84" s="31"/>
      <c r="UVS84" s="31"/>
      <c r="UVT84" s="31"/>
      <c r="UVU84" s="31"/>
      <c r="UVV84" s="31"/>
      <c r="UVW84" s="31"/>
      <c r="UVX84" s="31"/>
      <c r="UVY84" s="31"/>
      <c r="UVZ84" s="31"/>
      <c r="UWA84" s="31"/>
      <c r="UWB84" s="31"/>
      <c r="UWC84" s="31"/>
      <c r="UWD84" s="31"/>
      <c r="UWE84" s="31"/>
      <c r="UWF84" s="31"/>
      <c r="UWG84" s="31"/>
      <c r="UWH84" s="31"/>
      <c r="UWI84" s="31"/>
      <c r="UWJ84" s="31"/>
      <c r="UWK84" s="31"/>
      <c r="UWL84" s="31"/>
      <c r="UWM84" s="31"/>
      <c r="UWN84" s="31"/>
      <c r="UWO84" s="31"/>
      <c r="UWP84" s="31"/>
      <c r="UWQ84" s="31"/>
      <c r="UWR84" s="31"/>
      <c r="UWS84" s="31"/>
      <c r="UWT84" s="31"/>
      <c r="UWU84" s="31"/>
      <c r="UWV84" s="31"/>
      <c r="UWW84" s="31"/>
      <c r="UWX84" s="31"/>
      <c r="UWY84" s="31"/>
      <c r="UWZ84" s="31"/>
      <c r="UXA84" s="31"/>
      <c r="UXB84" s="31"/>
      <c r="UXC84" s="31"/>
      <c r="UXD84" s="31"/>
      <c r="UXE84" s="31"/>
      <c r="UXF84" s="31"/>
      <c r="UXG84" s="31"/>
      <c r="UXH84" s="31"/>
      <c r="UXI84" s="31"/>
      <c r="UXJ84" s="31"/>
      <c r="UXK84" s="31"/>
      <c r="UXL84" s="31"/>
      <c r="UXM84" s="31"/>
      <c r="UXN84" s="31"/>
      <c r="UXO84" s="31"/>
      <c r="UXP84" s="31"/>
      <c r="UXQ84" s="31"/>
      <c r="UXR84" s="31"/>
      <c r="UXS84" s="31"/>
      <c r="UXT84" s="31"/>
      <c r="UXU84" s="31"/>
      <c r="UXV84" s="31"/>
      <c r="UXW84" s="31"/>
      <c r="UXX84" s="31"/>
      <c r="UXY84" s="31"/>
      <c r="UXZ84" s="31"/>
      <c r="UYA84" s="31"/>
      <c r="UYB84" s="31"/>
      <c r="UYC84" s="31"/>
      <c r="UYD84" s="31"/>
      <c r="UYE84" s="31"/>
      <c r="UYF84" s="31"/>
      <c r="UYG84" s="31"/>
      <c r="UYH84" s="31"/>
      <c r="UYI84" s="31"/>
      <c r="UYJ84" s="31"/>
      <c r="UYK84" s="31"/>
      <c r="UYL84" s="31"/>
      <c r="UYM84" s="31"/>
      <c r="UYN84" s="31"/>
      <c r="UYO84" s="31"/>
      <c r="UYP84" s="31"/>
      <c r="UYQ84" s="31"/>
      <c r="UYR84" s="31"/>
      <c r="UYS84" s="31"/>
      <c r="UYT84" s="31"/>
      <c r="UYU84" s="31"/>
      <c r="UYV84" s="31"/>
      <c r="UYW84" s="31"/>
      <c r="UYX84" s="31"/>
      <c r="UYY84" s="31"/>
      <c r="UYZ84" s="31"/>
      <c r="UZA84" s="31"/>
      <c r="UZB84" s="31"/>
      <c r="UZC84" s="31"/>
      <c r="UZD84" s="31"/>
      <c r="UZE84" s="31"/>
      <c r="UZF84" s="31"/>
      <c r="UZG84" s="31"/>
      <c r="UZH84" s="31"/>
      <c r="UZI84" s="31"/>
      <c r="UZJ84" s="31"/>
      <c r="UZK84" s="31"/>
      <c r="UZL84" s="31"/>
      <c r="UZM84" s="31"/>
      <c r="UZN84" s="31"/>
      <c r="UZO84" s="31"/>
      <c r="UZP84" s="31"/>
      <c r="UZQ84" s="31"/>
      <c r="UZR84" s="31"/>
      <c r="UZS84" s="31"/>
      <c r="UZT84" s="31"/>
      <c r="UZU84" s="31"/>
      <c r="UZV84" s="31"/>
      <c r="UZW84" s="31"/>
      <c r="UZX84" s="31"/>
      <c r="UZY84" s="31"/>
      <c r="UZZ84" s="31"/>
      <c r="VAA84" s="31"/>
      <c r="VAB84" s="31"/>
      <c r="VAC84" s="31"/>
      <c r="VAD84" s="31"/>
      <c r="VAE84" s="31"/>
      <c r="VAF84" s="31"/>
      <c r="VAG84" s="31"/>
      <c r="VAH84" s="31"/>
      <c r="VAI84" s="31"/>
      <c r="VAJ84" s="31"/>
      <c r="VAK84" s="31"/>
      <c r="VAL84" s="31"/>
      <c r="VAM84" s="31"/>
      <c r="VAN84" s="31"/>
      <c r="VAO84" s="31"/>
      <c r="VAP84" s="31"/>
      <c r="VAQ84" s="31"/>
      <c r="VAR84" s="31"/>
      <c r="VAS84" s="31"/>
      <c r="VAT84" s="31"/>
      <c r="VAU84" s="31"/>
      <c r="VAV84" s="31"/>
      <c r="VAW84" s="31"/>
      <c r="VAX84" s="31"/>
      <c r="VAY84" s="31"/>
      <c r="VAZ84" s="31"/>
      <c r="VBA84" s="31"/>
      <c r="VBB84" s="31"/>
      <c r="VBC84" s="31"/>
      <c r="VBD84" s="31"/>
      <c r="VBE84" s="31"/>
      <c r="VBF84" s="31"/>
      <c r="VBG84" s="31"/>
      <c r="VBH84" s="31"/>
      <c r="VBI84" s="31"/>
      <c r="VBJ84" s="31"/>
      <c r="VBK84" s="31"/>
      <c r="VBL84" s="31"/>
      <c r="VBM84" s="31"/>
      <c r="VBN84" s="31"/>
      <c r="VBO84" s="31"/>
      <c r="VBP84" s="31"/>
      <c r="VBQ84" s="31"/>
      <c r="VBR84" s="31"/>
      <c r="VBS84" s="31"/>
      <c r="VBT84" s="31"/>
      <c r="VBU84" s="31"/>
      <c r="VBV84" s="31"/>
      <c r="VBW84" s="31"/>
      <c r="VBX84" s="31"/>
      <c r="VBY84" s="31"/>
      <c r="VBZ84" s="31"/>
      <c r="VCA84" s="31"/>
      <c r="VCB84" s="31"/>
      <c r="VCC84" s="31"/>
      <c r="VCD84" s="31"/>
      <c r="VCE84" s="31"/>
      <c r="VCF84" s="31"/>
      <c r="VCG84" s="31"/>
      <c r="VCH84" s="31"/>
      <c r="VCI84" s="31"/>
      <c r="VCJ84" s="31"/>
      <c r="VCK84" s="31"/>
      <c r="VCL84" s="31"/>
      <c r="VCM84" s="31"/>
      <c r="VCN84" s="31"/>
      <c r="VCO84" s="31"/>
      <c r="VCP84" s="31"/>
      <c r="VCQ84" s="31"/>
      <c r="VCR84" s="31"/>
      <c r="VCS84" s="31"/>
      <c r="VCT84" s="31"/>
      <c r="VCU84" s="31"/>
      <c r="VCV84" s="31"/>
      <c r="VCW84" s="31"/>
      <c r="VCX84" s="31"/>
      <c r="VCY84" s="31"/>
      <c r="VCZ84" s="31"/>
      <c r="VDA84" s="31"/>
      <c r="VDB84" s="31"/>
      <c r="VDC84" s="31"/>
      <c r="VDD84" s="31"/>
      <c r="VDE84" s="31"/>
      <c r="VDF84" s="31"/>
      <c r="VDG84" s="31"/>
      <c r="VDH84" s="31"/>
      <c r="VDI84" s="31"/>
      <c r="VDJ84" s="31"/>
      <c r="VDK84" s="31"/>
      <c r="VDL84" s="31"/>
      <c r="VDM84" s="31"/>
      <c r="VDN84" s="31"/>
      <c r="VDO84" s="31"/>
      <c r="VDP84" s="31"/>
      <c r="VDQ84" s="31"/>
      <c r="VDR84" s="31"/>
      <c r="VDS84" s="31"/>
      <c r="VDT84" s="31"/>
      <c r="VDU84" s="31"/>
      <c r="VDV84" s="31"/>
      <c r="VDW84" s="31"/>
      <c r="VDX84" s="31"/>
      <c r="VDY84" s="31"/>
      <c r="VDZ84" s="31"/>
      <c r="VEA84" s="31"/>
      <c r="VEB84" s="31"/>
      <c r="VEC84" s="31"/>
      <c r="VED84" s="31"/>
      <c r="VEE84" s="31"/>
      <c r="VEF84" s="31"/>
      <c r="VEG84" s="31"/>
      <c r="VEH84" s="31"/>
      <c r="VEI84" s="31"/>
      <c r="VEJ84" s="31"/>
      <c r="VEK84" s="31"/>
      <c r="VEL84" s="31"/>
      <c r="VEM84" s="31"/>
      <c r="VEN84" s="31"/>
      <c r="VEO84" s="31"/>
      <c r="VEP84" s="31"/>
      <c r="VEQ84" s="31"/>
      <c r="VER84" s="31"/>
      <c r="VES84" s="31"/>
      <c r="VET84" s="31"/>
      <c r="VEU84" s="31"/>
      <c r="VEV84" s="31"/>
      <c r="VEW84" s="31"/>
      <c r="VEX84" s="31"/>
      <c r="VEY84" s="31"/>
      <c r="VEZ84" s="31"/>
      <c r="VFA84" s="31"/>
      <c r="VFB84" s="31"/>
      <c r="VFC84" s="31"/>
      <c r="VFD84" s="31"/>
      <c r="VFE84" s="31"/>
      <c r="VFF84" s="31"/>
      <c r="VFG84" s="31"/>
      <c r="VFH84" s="31"/>
      <c r="VFI84" s="31"/>
      <c r="VFJ84" s="31"/>
      <c r="VFK84" s="31"/>
      <c r="VFL84" s="31"/>
      <c r="VFM84" s="31"/>
      <c r="VFN84" s="31"/>
      <c r="VFO84" s="31"/>
      <c r="VFP84" s="31"/>
      <c r="VFQ84" s="31"/>
      <c r="VFR84" s="31"/>
      <c r="VFS84" s="31"/>
      <c r="VFT84" s="31"/>
      <c r="VFU84" s="31"/>
      <c r="VFV84" s="31"/>
      <c r="VFW84" s="31"/>
      <c r="VFX84" s="31"/>
      <c r="VFY84" s="31"/>
      <c r="VFZ84" s="31"/>
      <c r="VGA84" s="31"/>
      <c r="VGB84" s="31"/>
      <c r="VGC84" s="31"/>
      <c r="VGD84" s="31"/>
      <c r="VGE84" s="31"/>
      <c r="VGF84" s="31"/>
      <c r="VGG84" s="31"/>
      <c r="VGH84" s="31"/>
      <c r="VGI84" s="31"/>
      <c r="VGJ84" s="31"/>
      <c r="VGK84" s="31"/>
      <c r="VGL84" s="31"/>
      <c r="VGM84" s="31"/>
      <c r="VGN84" s="31"/>
      <c r="VGO84" s="31"/>
      <c r="VGP84" s="31"/>
      <c r="VGQ84" s="31"/>
      <c r="VGR84" s="31"/>
      <c r="VGS84" s="31"/>
      <c r="VGT84" s="31"/>
      <c r="VGU84" s="31"/>
      <c r="VGV84" s="31"/>
      <c r="VGW84" s="31"/>
      <c r="VGX84" s="31"/>
      <c r="VGY84" s="31"/>
      <c r="VGZ84" s="31"/>
      <c r="VHA84" s="31"/>
      <c r="VHB84" s="31"/>
      <c r="VHC84" s="31"/>
      <c r="VHD84" s="31"/>
      <c r="VHE84" s="31"/>
      <c r="VHF84" s="31"/>
      <c r="VHG84" s="31"/>
      <c r="VHH84" s="31"/>
      <c r="VHI84" s="31"/>
      <c r="VHJ84" s="31"/>
      <c r="VHK84" s="31"/>
      <c r="VHL84" s="31"/>
      <c r="VHM84" s="31"/>
      <c r="VHN84" s="31"/>
      <c r="VHO84" s="31"/>
      <c r="VHP84" s="31"/>
      <c r="VHQ84" s="31"/>
      <c r="VHR84" s="31"/>
      <c r="VHS84" s="31"/>
      <c r="VHT84" s="31"/>
      <c r="VHU84" s="31"/>
      <c r="VHV84" s="31"/>
      <c r="VHW84" s="31"/>
      <c r="VHX84" s="31"/>
      <c r="VHY84" s="31"/>
      <c r="VHZ84" s="31"/>
      <c r="VIA84" s="31"/>
      <c r="VIB84" s="31"/>
      <c r="VIC84" s="31"/>
      <c r="VID84" s="31"/>
      <c r="VIE84" s="31"/>
      <c r="VIF84" s="31"/>
      <c r="VIG84" s="31"/>
      <c r="VIH84" s="31"/>
      <c r="VII84" s="31"/>
      <c r="VIJ84" s="31"/>
      <c r="VIK84" s="31"/>
      <c r="VIL84" s="31"/>
      <c r="VIM84" s="31"/>
      <c r="VIN84" s="31"/>
      <c r="VIO84" s="31"/>
      <c r="VIP84" s="31"/>
      <c r="VIQ84" s="31"/>
      <c r="VIR84" s="31"/>
      <c r="VIS84" s="31"/>
      <c r="VIT84" s="31"/>
      <c r="VIU84" s="31"/>
      <c r="VIV84" s="31"/>
      <c r="VIW84" s="31"/>
      <c r="VIX84" s="31"/>
      <c r="VIY84" s="31"/>
      <c r="VIZ84" s="31"/>
      <c r="VJA84" s="31"/>
      <c r="VJB84" s="31"/>
      <c r="VJC84" s="31"/>
      <c r="VJD84" s="31"/>
      <c r="VJE84" s="31"/>
      <c r="VJF84" s="31"/>
      <c r="VJG84" s="31"/>
      <c r="VJH84" s="31"/>
      <c r="VJI84" s="31"/>
      <c r="VJJ84" s="31"/>
      <c r="VJK84" s="31"/>
      <c r="VJL84" s="31"/>
      <c r="VJM84" s="31"/>
      <c r="VJN84" s="31"/>
      <c r="VJO84" s="31"/>
      <c r="VJP84" s="31"/>
      <c r="VJQ84" s="31"/>
      <c r="VJR84" s="31"/>
      <c r="VJS84" s="31"/>
      <c r="VJT84" s="31"/>
      <c r="VJU84" s="31"/>
      <c r="VJV84" s="31"/>
      <c r="VJW84" s="31"/>
      <c r="VJX84" s="31"/>
      <c r="VJY84" s="31"/>
      <c r="VJZ84" s="31"/>
      <c r="VKA84" s="31"/>
      <c r="VKB84" s="31"/>
      <c r="VKC84" s="31"/>
      <c r="VKD84" s="31"/>
      <c r="VKE84" s="31"/>
      <c r="VKF84" s="31"/>
      <c r="VKG84" s="31"/>
      <c r="VKH84" s="31"/>
      <c r="VKI84" s="31"/>
      <c r="VKJ84" s="31"/>
      <c r="VKK84" s="31"/>
      <c r="VKL84" s="31"/>
      <c r="VKM84" s="31"/>
      <c r="VKN84" s="31"/>
      <c r="VKO84" s="31"/>
      <c r="VKP84" s="31"/>
      <c r="VKQ84" s="31"/>
      <c r="VKR84" s="31"/>
      <c r="VKS84" s="31"/>
      <c r="VKT84" s="31"/>
      <c r="VKU84" s="31"/>
      <c r="VKV84" s="31"/>
      <c r="VKW84" s="31"/>
      <c r="VKX84" s="31"/>
      <c r="VKY84" s="31"/>
      <c r="VKZ84" s="31"/>
      <c r="VLA84" s="31"/>
      <c r="VLB84" s="31"/>
      <c r="VLC84" s="31"/>
      <c r="VLD84" s="31"/>
      <c r="VLE84" s="31"/>
      <c r="VLF84" s="31"/>
      <c r="VLG84" s="31"/>
      <c r="VLH84" s="31"/>
      <c r="VLI84" s="31"/>
      <c r="VLJ84" s="31"/>
      <c r="VLK84" s="31"/>
      <c r="VLL84" s="31"/>
      <c r="VLM84" s="31"/>
      <c r="VLN84" s="31"/>
      <c r="VLO84" s="31"/>
      <c r="VLP84" s="31"/>
      <c r="VLQ84" s="31"/>
      <c r="VLR84" s="31"/>
      <c r="VLS84" s="31"/>
      <c r="VLT84" s="31"/>
      <c r="VLU84" s="31"/>
      <c r="VLV84" s="31"/>
      <c r="VLW84" s="31"/>
      <c r="VLX84" s="31"/>
      <c r="VLY84" s="31"/>
      <c r="VLZ84" s="31"/>
      <c r="VMA84" s="31"/>
      <c r="VMB84" s="31"/>
      <c r="VMC84" s="31"/>
      <c r="VMD84" s="31"/>
      <c r="VME84" s="31"/>
      <c r="VMF84" s="31"/>
      <c r="VMG84" s="31"/>
      <c r="VMH84" s="31"/>
      <c r="VMI84" s="31"/>
      <c r="VMJ84" s="31"/>
      <c r="VMK84" s="31"/>
      <c r="VML84" s="31"/>
      <c r="VMM84" s="31"/>
      <c r="VMN84" s="31"/>
      <c r="VMO84" s="31"/>
      <c r="VMP84" s="31"/>
      <c r="VMQ84" s="31"/>
      <c r="VMR84" s="31"/>
      <c r="VMS84" s="31"/>
      <c r="VMT84" s="31"/>
      <c r="VMU84" s="31"/>
      <c r="VMV84" s="31"/>
      <c r="VMW84" s="31"/>
      <c r="VMX84" s="31"/>
      <c r="VMY84" s="31"/>
      <c r="VMZ84" s="31"/>
      <c r="VNA84" s="31"/>
      <c r="VNB84" s="31"/>
      <c r="VNC84" s="31"/>
      <c r="VND84" s="31"/>
      <c r="VNE84" s="31"/>
      <c r="VNF84" s="31"/>
      <c r="VNG84" s="31"/>
      <c r="VNH84" s="31"/>
      <c r="VNI84" s="31"/>
      <c r="VNJ84" s="31"/>
      <c r="VNK84" s="31"/>
      <c r="VNL84" s="31"/>
      <c r="VNM84" s="31"/>
      <c r="VNN84" s="31"/>
      <c r="VNO84" s="31"/>
      <c r="VNP84" s="31"/>
      <c r="VNQ84" s="31"/>
      <c r="VNR84" s="31"/>
      <c r="VNS84" s="31"/>
      <c r="VNT84" s="31"/>
      <c r="VNU84" s="31"/>
      <c r="VNV84" s="31"/>
      <c r="VNW84" s="31"/>
      <c r="VNX84" s="31"/>
      <c r="VNY84" s="31"/>
      <c r="VNZ84" s="31"/>
      <c r="VOA84" s="31"/>
      <c r="VOB84" s="31"/>
      <c r="VOC84" s="31"/>
      <c r="VOD84" s="31"/>
      <c r="VOE84" s="31"/>
      <c r="VOF84" s="31"/>
      <c r="VOG84" s="31"/>
      <c r="VOH84" s="31"/>
      <c r="VOI84" s="31"/>
      <c r="VOJ84" s="31"/>
      <c r="VOK84" s="31"/>
      <c r="VOL84" s="31"/>
      <c r="VOM84" s="31"/>
      <c r="VON84" s="31"/>
      <c r="VOO84" s="31"/>
      <c r="VOP84" s="31"/>
      <c r="VOQ84" s="31"/>
      <c r="VOR84" s="31"/>
      <c r="VOS84" s="31"/>
      <c r="VOT84" s="31"/>
      <c r="VOU84" s="31"/>
      <c r="VOV84" s="31"/>
      <c r="VOW84" s="31"/>
      <c r="VOX84" s="31"/>
      <c r="VOY84" s="31"/>
      <c r="VOZ84" s="31"/>
      <c r="VPA84" s="31"/>
      <c r="VPB84" s="31"/>
      <c r="VPC84" s="31"/>
      <c r="VPD84" s="31"/>
      <c r="VPE84" s="31"/>
      <c r="VPF84" s="31"/>
      <c r="VPG84" s="31"/>
      <c r="VPH84" s="31"/>
      <c r="VPI84" s="31"/>
      <c r="VPJ84" s="31"/>
      <c r="VPK84" s="31"/>
      <c r="VPL84" s="31"/>
      <c r="VPM84" s="31"/>
      <c r="VPN84" s="31"/>
      <c r="VPO84" s="31"/>
      <c r="VPP84" s="31"/>
      <c r="VPQ84" s="31"/>
      <c r="VPR84" s="31"/>
      <c r="VPS84" s="31"/>
      <c r="VPT84" s="31"/>
      <c r="VPU84" s="31"/>
      <c r="VPV84" s="31"/>
      <c r="VPW84" s="31"/>
      <c r="VPX84" s="31"/>
      <c r="VPY84" s="31"/>
      <c r="VPZ84" s="31"/>
      <c r="VQA84" s="31"/>
      <c r="VQB84" s="31"/>
      <c r="VQC84" s="31"/>
      <c r="VQD84" s="31"/>
      <c r="VQE84" s="31"/>
      <c r="VQF84" s="31"/>
      <c r="VQG84" s="31"/>
      <c r="VQH84" s="31"/>
      <c r="VQI84" s="31"/>
      <c r="VQJ84" s="31"/>
      <c r="VQK84" s="31"/>
      <c r="VQL84" s="31"/>
      <c r="VQM84" s="31"/>
      <c r="VQN84" s="31"/>
      <c r="VQO84" s="31"/>
      <c r="VQP84" s="31"/>
      <c r="VQQ84" s="31"/>
      <c r="VQR84" s="31"/>
      <c r="VQS84" s="31"/>
      <c r="VQT84" s="31"/>
      <c r="VQU84" s="31"/>
      <c r="VQV84" s="31"/>
      <c r="VQW84" s="31"/>
      <c r="VQX84" s="31"/>
      <c r="VQY84" s="31"/>
      <c r="VQZ84" s="31"/>
      <c r="VRA84" s="31"/>
      <c r="VRB84" s="31"/>
      <c r="VRC84" s="31"/>
      <c r="VRD84" s="31"/>
      <c r="VRE84" s="31"/>
      <c r="VRF84" s="31"/>
      <c r="VRG84" s="31"/>
      <c r="VRH84" s="31"/>
      <c r="VRI84" s="31"/>
      <c r="VRJ84" s="31"/>
      <c r="VRK84" s="31"/>
      <c r="VRL84" s="31"/>
      <c r="VRM84" s="31"/>
      <c r="VRN84" s="31"/>
      <c r="VRO84" s="31"/>
      <c r="VRP84" s="31"/>
      <c r="VRQ84" s="31"/>
      <c r="VRR84" s="31"/>
      <c r="VRS84" s="31"/>
      <c r="VRT84" s="31"/>
      <c r="VRU84" s="31"/>
      <c r="VRV84" s="31"/>
      <c r="VRW84" s="31"/>
      <c r="VRX84" s="31"/>
      <c r="VRY84" s="31"/>
      <c r="VRZ84" s="31"/>
      <c r="VSA84" s="31"/>
      <c r="VSB84" s="31"/>
      <c r="VSC84" s="31"/>
      <c r="VSD84" s="31"/>
      <c r="VSE84" s="31"/>
      <c r="VSF84" s="31"/>
      <c r="VSG84" s="31"/>
      <c r="VSH84" s="31"/>
      <c r="VSI84" s="31"/>
      <c r="VSJ84" s="31"/>
      <c r="VSK84" s="31"/>
      <c r="VSL84" s="31"/>
      <c r="VSM84" s="31"/>
      <c r="VSN84" s="31"/>
      <c r="VSO84" s="31"/>
      <c r="VSP84" s="31"/>
      <c r="VSQ84" s="31"/>
      <c r="VSR84" s="31"/>
      <c r="VSS84" s="31"/>
      <c r="VST84" s="31"/>
      <c r="VSU84" s="31"/>
      <c r="VSV84" s="31"/>
      <c r="VSW84" s="31"/>
      <c r="VSX84" s="31"/>
      <c r="VSY84" s="31"/>
      <c r="VSZ84" s="31"/>
      <c r="VTA84" s="31"/>
      <c r="VTB84" s="31"/>
      <c r="VTC84" s="31"/>
      <c r="VTD84" s="31"/>
      <c r="VTE84" s="31"/>
      <c r="VTF84" s="31"/>
      <c r="VTG84" s="31"/>
      <c r="VTH84" s="31"/>
      <c r="VTI84" s="31"/>
      <c r="VTJ84" s="31"/>
      <c r="VTK84" s="31"/>
      <c r="VTL84" s="31"/>
      <c r="VTM84" s="31"/>
      <c r="VTN84" s="31"/>
      <c r="VTO84" s="31"/>
      <c r="VTP84" s="31"/>
      <c r="VTQ84" s="31"/>
      <c r="VTR84" s="31"/>
      <c r="VTS84" s="31"/>
      <c r="VTT84" s="31"/>
      <c r="VTU84" s="31"/>
      <c r="VTV84" s="31"/>
      <c r="VTW84" s="31"/>
      <c r="VTX84" s="31"/>
      <c r="VTY84" s="31"/>
      <c r="VTZ84" s="31"/>
      <c r="VUA84" s="31"/>
      <c r="VUB84" s="31"/>
      <c r="VUC84" s="31"/>
      <c r="VUD84" s="31"/>
      <c r="VUE84" s="31"/>
      <c r="VUF84" s="31"/>
      <c r="VUG84" s="31"/>
      <c r="VUH84" s="31"/>
      <c r="VUI84" s="31"/>
      <c r="VUJ84" s="31"/>
      <c r="VUK84" s="31"/>
      <c r="VUL84" s="31"/>
      <c r="VUM84" s="31"/>
      <c r="VUN84" s="31"/>
      <c r="VUO84" s="31"/>
      <c r="VUP84" s="31"/>
      <c r="VUQ84" s="31"/>
      <c r="VUR84" s="31"/>
      <c r="VUS84" s="31"/>
      <c r="VUT84" s="31"/>
      <c r="VUU84" s="31"/>
      <c r="VUV84" s="31"/>
      <c r="VUW84" s="31"/>
      <c r="VUX84" s="31"/>
      <c r="VUY84" s="31"/>
      <c r="VUZ84" s="31"/>
      <c r="VVA84" s="31"/>
      <c r="VVB84" s="31"/>
      <c r="VVC84" s="31"/>
      <c r="VVD84" s="31"/>
      <c r="VVE84" s="31"/>
      <c r="VVF84" s="31"/>
      <c r="VVG84" s="31"/>
      <c r="VVH84" s="31"/>
      <c r="VVI84" s="31"/>
      <c r="VVJ84" s="31"/>
      <c r="VVK84" s="31"/>
      <c r="VVL84" s="31"/>
      <c r="VVM84" s="31"/>
      <c r="VVN84" s="31"/>
      <c r="VVO84" s="31"/>
      <c r="VVP84" s="31"/>
      <c r="VVQ84" s="31"/>
      <c r="VVR84" s="31"/>
      <c r="VVS84" s="31"/>
      <c r="VVT84" s="31"/>
      <c r="VVU84" s="31"/>
      <c r="VVV84" s="31"/>
      <c r="VVW84" s="31"/>
      <c r="VVX84" s="31"/>
      <c r="VVY84" s="31"/>
      <c r="VVZ84" s="31"/>
      <c r="VWA84" s="31"/>
      <c r="VWB84" s="31"/>
      <c r="VWC84" s="31"/>
      <c r="VWD84" s="31"/>
      <c r="VWE84" s="31"/>
      <c r="VWF84" s="31"/>
      <c r="VWG84" s="31"/>
      <c r="VWH84" s="31"/>
      <c r="VWI84" s="31"/>
      <c r="VWJ84" s="31"/>
      <c r="VWK84" s="31"/>
      <c r="VWL84" s="31"/>
      <c r="VWM84" s="31"/>
      <c r="VWN84" s="31"/>
      <c r="VWO84" s="31"/>
      <c r="VWP84" s="31"/>
      <c r="VWQ84" s="31"/>
      <c r="VWR84" s="31"/>
      <c r="VWS84" s="31"/>
      <c r="VWT84" s="31"/>
      <c r="VWU84" s="31"/>
      <c r="VWV84" s="31"/>
      <c r="VWW84" s="31"/>
      <c r="VWX84" s="31"/>
      <c r="VWY84" s="31"/>
      <c r="VWZ84" s="31"/>
      <c r="VXA84" s="31"/>
      <c r="VXB84" s="31"/>
      <c r="VXC84" s="31"/>
      <c r="VXD84" s="31"/>
      <c r="VXE84" s="31"/>
      <c r="VXF84" s="31"/>
      <c r="VXG84" s="31"/>
      <c r="VXH84" s="31"/>
      <c r="VXI84" s="31"/>
      <c r="VXJ84" s="31"/>
      <c r="VXK84" s="31"/>
      <c r="VXL84" s="31"/>
      <c r="VXM84" s="31"/>
      <c r="VXN84" s="31"/>
      <c r="VXO84" s="31"/>
      <c r="VXP84" s="31"/>
      <c r="VXQ84" s="31"/>
      <c r="VXR84" s="31"/>
      <c r="VXS84" s="31"/>
      <c r="VXT84" s="31"/>
      <c r="VXU84" s="31"/>
      <c r="VXV84" s="31"/>
      <c r="VXW84" s="31"/>
      <c r="VXX84" s="31"/>
      <c r="VXY84" s="31"/>
      <c r="VXZ84" s="31"/>
      <c r="VYA84" s="31"/>
      <c r="VYB84" s="31"/>
      <c r="VYC84" s="31"/>
      <c r="VYD84" s="31"/>
      <c r="VYE84" s="31"/>
      <c r="VYF84" s="31"/>
      <c r="VYG84" s="31"/>
      <c r="VYH84" s="31"/>
      <c r="VYI84" s="31"/>
      <c r="VYJ84" s="31"/>
      <c r="VYK84" s="31"/>
      <c r="VYL84" s="31"/>
      <c r="VYM84" s="31"/>
      <c r="VYN84" s="31"/>
      <c r="VYO84" s="31"/>
      <c r="VYP84" s="31"/>
      <c r="VYQ84" s="31"/>
      <c r="VYR84" s="31"/>
      <c r="VYS84" s="31"/>
      <c r="VYT84" s="31"/>
      <c r="VYU84" s="31"/>
      <c r="VYV84" s="31"/>
      <c r="VYW84" s="31"/>
      <c r="VYX84" s="31"/>
      <c r="VYY84" s="31"/>
      <c r="VYZ84" s="31"/>
      <c r="VZA84" s="31"/>
      <c r="VZB84" s="31"/>
      <c r="VZC84" s="31"/>
      <c r="VZD84" s="31"/>
      <c r="VZE84" s="31"/>
      <c r="VZF84" s="31"/>
      <c r="VZG84" s="31"/>
      <c r="VZH84" s="31"/>
      <c r="VZI84" s="31"/>
      <c r="VZJ84" s="31"/>
      <c r="VZK84" s="31"/>
      <c r="VZL84" s="31"/>
      <c r="VZM84" s="31"/>
      <c r="VZN84" s="31"/>
      <c r="VZO84" s="31"/>
      <c r="VZP84" s="31"/>
      <c r="VZQ84" s="31"/>
      <c r="VZR84" s="31"/>
      <c r="VZS84" s="31"/>
      <c r="VZT84" s="31"/>
      <c r="VZU84" s="31"/>
      <c r="VZV84" s="31"/>
      <c r="VZW84" s="31"/>
      <c r="VZX84" s="31"/>
      <c r="VZY84" s="31"/>
      <c r="VZZ84" s="31"/>
      <c r="WAA84" s="31"/>
      <c r="WAB84" s="31"/>
      <c r="WAC84" s="31"/>
      <c r="WAD84" s="31"/>
      <c r="WAE84" s="31"/>
      <c r="WAF84" s="31"/>
      <c r="WAG84" s="31"/>
      <c r="WAH84" s="31"/>
      <c r="WAI84" s="31"/>
      <c r="WAJ84" s="31"/>
      <c r="WAK84" s="31"/>
      <c r="WAL84" s="31"/>
      <c r="WAM84" s="31"/>
      <c r="WAN84" s="31"/>
      <c r="WAO84" s="31"/>
      <c r="WAP84" s="31"/>
      <c r="WAQ84" s="31"/>
      <c r="WAR84" s="31"/>
      <c r="WAS84" s="31"/>
      <c r="WAT84" s="31"/>
      <c r="WAU84" s="31"/>
      <c r="WAV84" s="31"/>
      <c r="WAW84" s="31"/>
      <c r="WAX84" s="31"/>
      <c r="WAY84" s="31"/>
      <c r="WAZ84" s="31"/>
      <c r="WBA84" s="31"/>
      <c r="WBB84" s="31"/>
      <c r="WBC84" s="31"/>
      <c r="WBD84" s="31"/>
      <c r="WBE84" s="31"/>
      <c r="WBF84" s="31"/>
      <c r="WBG84" s="31"/>
      <c r="WBH84" s="31"/>
      <c r="WBI84" s="31"/>
      <c r="WBJ84" s="31"/>
      <c r="WBK84" s="31"/>
      <c r="WBL84" s="31"/>
      <c r="WBM84" s="31"/>
      <c r="WBN84" s="31"/>
      <c r="WBO84" s="31"/>
      <c r="WBP84" s="31"/>
      <c r="WBQ84" s="31"/>
      <c r="WBR84" s="31"/>
      <c r="WBS84" s="31"/>
      <c r="WBT84" s="31"/>
      <c r="WBU84" s="31"/>
      <c r="WBV84" s="31"/>
      <c r="WBW84" s="31"/>
      <c r="WBX84" s="31"/>
      <c r="WBY84" s="31"/>
      <c r="WBZ84" s="31"/>
      <c r="WCA84" s="31"/>
      <c r="WCB84" s="31"/>
      <c r="WCC84" s="31"/>
      <c r="WCD84" s="31"/>
      <c r="WCE84" s="31"/>
      <c r="WCF84" s="31"/>
      <c r="WCG84" s="31"/>
      <c r="WCH84" s="31"/>
      <c r="WCI84" s="31"/>
      <c r="WCJ84" s="31"/>
      <c r="WCK84" s="31"/>
      <c r="WCL84" s="31"/>
      <c r="WCM84" s="31"/>
      <c r="WCN84" s="31"/>
      <c r="WCO84" s="31"/>
      <c r="WCP84" s="31"/>
      <c r="WCQ84" s="31"/>
      <c r="WCR84" s="31"/>
      <c r="WCS84" s="31"/>
      <c r="WCT84" s="31"/>
      <c r="WCU84" s="31"/>
      <c r="WCV84" s="31"/>
      <c r="WCW84" s="31"/>
      <c r="WCX84" s="31"/>
      <c r="WCY84" s="31"/>
      <c r="WCZ84" s="31"/>
      <c r="WDA84" s="31"/>
      <c r="WDB84" s="31"/>
      <c r="WDC84" s="31"/>
      <c r="WDD84" s="31"/>
      <c r="WDE84" s="31"/>
      <c r="WDF84" s="31"/>
      <c r="WDG84" s="31"/>
      <c r="WDH84" s="31"/>
      <c r="WDI84" s="31"/>
      <c r="WDJ84" s="31"/>
      <c r="WDK84" s="31"/>
      <c r="WDL84" s="31"/>
      <c r="WDM84" s="31"/>
      <c r="WDN84" s="31"/>
      <c r="WDO84" s="31"/>
      <c r="WDP84" s="31"/>
      <c r="WDQ84" s="31"/>
      <c r="WDR84" s="31"/>
      <c r="WDS84" s="31"/>
      <c r="WDT84" s="31"/>
      <c r="WDU84" s="31"/>
      <c r="WDV84" s="31"/>
      <c r="WDW84" s="31"/>
      <c r="WDX84" s="31"/>
      <c r="WDY84" s="31"/>
      <c r="WDZ84" s="31"/>
      <c r="WEA84" s="31"/>
      <c r="WEB84" s="31"/>
      <c r="WEC84" s="31"/>
      <c r="WED84" s="31"/>
      <c r="WEE84" s="31"/>
      <c r="WEF84" s="31"/>
      <c r="WEG84" s="31"/>
      <c r="WEH84" s="31"/>
      <c r="WEI84" s="31"/>
      <c r="WEJ84" s="31"/>
      <c r="WEK84" s="31"/>
      <c r="WEL84" s="31"/>
      <c r="WEM84" s="31"/>
      <c r="WEN84" s="31"/>
      <c r="WEO84" s="31"/>
      <c r="WEP84" s="31"/>
      <c r="WEQ84" s="31"/>
      <c r="WER84" s="31"/>
      <c r="WES84" s="31"/>
      <c r="WET84" s="31"/>
      <c r="WEU84" s="31"/>
      <c r="WEV84" s="31"/>
      <c r="WEW84" s="31"/>
      <c r="WEX84" s="31"/>
      <c r="WEY84" s="31"/>
      <c r="WEZ84" s="31"/>
      <c r="WFA84" s="31"/>
      <c r="WFB84" s="31"/>
      <c r="WFC84" s="31"/>
      <c r="WFD84" s="31"/>
      <c r="WFE84" s="31"/>
      <c r="WFF84" s="31"/>
      <c r="WFG84" s="31"/>
      <c r="WFH84" s="31"/>
      <c r="WFI84" s="31"/>
      <c r="WFJ84" s="31"/>
      <c r="WFK84" s="31"/>
      <c r="WFL84" s="31"/>
      <c r="WFM84" s="31"/>
      <c r="WFN84" s="31"/>
      <c r="WFO84" s="31"/>
      <c r="WFP84" s="31"/>
      <c r="WFQ84" s="31"/>
      <c r="WFR84" s="31"/>
      <c r="WFS84" s="31"/>
      <c r="WFT84" s="31"/>
      <c r="WFU84" s="31"/>
      <c r="WFV84" s="31"/>
      <c r="WFW84" s="31"/>
      <c r="WFX84" s="31"/>
      <c r="WFY84" s="31"/>
      <c r="WFZ84" s="31"/>
      <c r="WGA84" s="31"/>
      <c r="WGB84" s="31"/>
      <c r="WGC84" s="31"/>
      <c r="WGD84" s="31"/>
      <c r="WGE84" s="31"/>
      <c r="WGF84" s="31"/>
      <c r="WGG84" s="31"/>
      <c r="WGH84" s="31"/>
      <c r="WGI84" s="31"/>
      <c r="WGJ84" s="31"/>
      <c r="WGK84" s="31"/>
      <c r="WGL84" s="31"/>
      <c r="WGM84" s="31"/>
      <c r="WGN84" s="31"/>
      <c r="WGO84" s="31"/>
      <c r="WGP84" s="31"/>
      <c r="WGQ84" s="31"/>
      <c r="WGR84" s="31"/>
      <c r="WGS84" s="31"/>
      <c r="WGT84" s="31"/>
      <c r="WGU84" s="31"/>
      <c r="WGV84" s="31"/>
      <c r="WGW84" s="31"/>
      <c r="WGX84" s="31"/>
      <c r="WGY84" s="31"/>
      <c r="WGZ84" s="31"/>
      <c r="WHA84" s="31"/>
      <c r="WHB84" s="31"/>
      <c r="WHC84" s="31"/>
      <c r="WHD84" s="31"/>
      <c r="WHE84" s="31"/>
      <c r="WHF84" s="31"/>
      <c r="WHG84" s="31"/>
      <c r="WHH84" s="31"/>
      <c r="WHI84" s="31"/>
      <c r="WHJ84" s="31"/>
      <c r="WHK84" s="31"/>
      <c r="WHL84" s="31"/>
      <c r="WHM84" s="31"/>
      <c r="WHN84" s="31"/>
      <c r="WHO84" s="31"/>
      <c r="WHP84" s="31"/>
      <c r="WHQ84" s="31"/>
      <c r="WHR84" s="31"/>
      <c r="WHS84" s="31"/>
      <c r="WHT84" s="31"/>
      <c r="WHU84" s="31"/>
      <c r="WHV84" s="31"/>
      <c r="WHW84" s="31"/>
      <c r="WHX84" s="31"/>
      <c r="WHY84" s="31"/>
      <c r="WHZ84" s="31"/>
      <c r="WIA84" s="31"/>
      <c r="WIB84" s="31"/>
      <c r="WIC84" s="31"/>
      <c r="WID84" s="31"/>
      <c r="WIE84" s="31"/>
      <c r="WIF84" s="31"/>
      <c r="WIG84" s="31"/>
      <c r="WIH84" s="31"/>
      <c r="WII84" s="31"/>
      <c r="WIJ84" s="31"/>
      <c r="WIK84" s="31"/>
      <c r="WIL84" s="31"/>
      <c r="WIM84" s="31"/>
      <c r="WIN84" s="31"/>
      <c r="WIO84" s="31"/>
      <c r="WIP84" s="31"/>
      <c r="WIQ84" s="31"/>
      <c r="WIR84" s="31"/>
      <c r="WIS84" s="31"/>
      <c r="WIT84" s="31"/>
      <c r="WIU84" s="31"/>
      <c r="WIV84" s="31"/>
      <c r="WIW84" s="31"/>
      <c r="WIX84" s="31"/>
      <c r="WIY84" s="31"/>
      <c r="WIZ84" s="31"/>
      <c r="WJA84" s="31"/>
      <c r="WJB84" s="31"/>
      <c r="WJC84" s="31"/>
      <c r="WJD84" s="31"/>
      <c r="WJE84" s="31"/>
      <c r="WJF84" s="31"/>
      <c r="WJG84" s="31"/>
      <c r="WJH84" s="31"/>
      <c r="WJI84" s="31"/>
      <c r="WJJ84" s="31"/>
      <c r="WJK84" s="31"/>
      <c r="WJL84" s="31"/>
      <c r="WJM84" s="31"/>
      <c r="WJN84" s="31"/>
      <c r="WJO84" s="31"/>
      <c r="WJP84" s="31"/>
      <c r="WJQ84" s="31"/>
      <c r="WJR84" s="31"/>
      <c r="WJS84" s="31"/>
      <c r="WJT84" s="31"/>
      <c r="WJU84" s="31"/>
      <c r="WJV84" s="31"/>
      <c r="WJW84" s="31"/>
      <c r="WJX84" s="31"/>
      <c r="WJY84" s="31"/>
      <c r="WJZ84" s="31"/>
      <c r="WKA84" s="31"/>
      <c r="WKB84" s="31"/>
      <c r="WKC84" s="31"/>
      <c r="WKD84" s="31"/>
      <c r="WKE84" s="31"/>
      <c r="WKF84" s="31"/>
      <c r="WKG84" s="31"/>
      <c r="WKH84" s="31"/>
      <c r="WKI84" s="31"/>
      <c r="WKJ84" s="31"/>
      <c r="WKK84" s="31"/>
      <c r="WKL84" s="31"/>
      <c r="WKM84" s="31"/>
      <c r="WKN84" s="31"/>
      <c r="WKO84" s="31"/>
      <c r="WKP84" s="31"/>
      <c r="WKQ84" s="31"/>
      <c r="WKR84" s="31"/>
      <c r="WKS84" s="31"/>
      <c r="WKT84" s="31"/>
      <c r="WKU84" s="31"/>
      <c r="WKV84" s="31"/>
      <c r="WKW84" s="31"/>
      <c r="WKX84" s="31"/>
      <c r="WKY84" s="31"/>
      <c r="WKZ84" s="31"/>
      <c r="WLA84" s="31"/>
      <c r="WLB84" s="31"/>
      <c r="WLC84" s="31"/>
      <c r="WLD84" s="31"/>
      <c r="WLE84" s="31"/>
      <c r="WLF84" s="31"/>
      <c r="WLG84" s="31"/>
      <c r="WLH84" s="31"/>
      <c r="WLI84" s="31"/>
      <c r="WLJ84" s="31"/>
      <c r="WLK84" s="31"/>
      <c r="WLL84" s="31"/>
      <c r="WLM84" s="31"/>
      <c r="WLN84" s="31"/>
      <c r="WLO84" s="31"/>
      <c r="WLP84" s="31"/>
      <c r="WLQ84" s="31"/>
      <c r="WLR84" s="31"/>
      <c r="WLS84" s="31"/>
      <c r="WLT84" s="31"/>
      <c r="WLU84" s="31"/>
      <c r="WLV84" s="31"/>
      <c r="WLW84" s="31"/>
      <c r="WLX84" s="31"/>
      <c r="WLY84" s="31"/>
      <c r="WLZ84" s="31"/>
      <c r="WMA84" s="31"/>
      <c r="WMB84" s="31"/>
      <c r="WMC84" s="31"/>
      <c r="WMD84" s="31"/>
      <c r="WME84" s="31"/>
      <c r="WMF84" s="31"/>
      <c r="WMG84" s="31"/>
      <c r="WMH84" s="31"/>
      <c r="WMI84" s="31"/>
      <c r="WMJ84" s="31"/>
      <c r="WMK84" s="31"/>
      <c r="WML84" s="31"/>
      <c r="WMM84" s="31"/>
      <c r="WMN84" s="31"/>
      <c r="WMO84" s="31"/>
      <c r="WMP84" s="31"/>
      <c r="WMQ84" s="31"/>
      <c r="WMR84" s="31"/>
      <c r="WMS84" s="31"/>
      <c r="WMT84" s="31"/>
      <c r="WMU84" s="31"/>
      <c r="WMV84" s="31"/>
      <c r="WMW84" s="31"/>
      <c r="WMX84" s="31"/>
      <c r="WMY84" s="31"/>
      <c r="WMZ84" s="31"/>
      <c r="WNA84" s="31"/>
      <c r="WNB84" s="31"/>
      <c r="WNC84" s="31"/>
      <c r="WND84" s="31"/>
      <c r="WNE84" s="31"/>
      <c r="WNF84" s="31"/>
      <c r="WNG84" s="31"/>
      <c r="WNH84" s="31"/>
      <c r="WNI84" s="31"/>
      <c r="WNJ84" s="31"/>
      <c r="WNK84" s="31"/>
      <c r="WNL84" s="31"/>
      <c r="WNM84" s="31"/>
      <c r="WNN84" s="31"/>
      <c r="WNO84" s="31"/>
      <c r="WNP84" s="31"/>
      <c r="WNQ84" s="31"/>
      <c r="WNR84" s="31"/>
      <c r="WNS84" s="31"/>
      <c r="WNT84" s="31"/>
      <c r="WNU84" s="31"/>
      <c r="WNV84" s="31"/>
      <c r="WNW84" s="31"/>
      <c r="WNX84" s="31"/>
      <c r="WNY84" s="31"/>
      <c r="WNZ84" s="31"/>
      <c r="WOA84" s="31"/>
      <c r="WOB84" s="31"/>
      <c r="WOC84" s="31"/>
      <c r="WOD84" s="31"/>
      <c r="WOE84" s="31"/>
      <c r="WOF84" s="31"/>
      <c r="WOG84" s="31"/>
      <c r="WOH84" s="31"/>
      <c r="WOI84" s="31"/>
      <c r="WOJ84" s="31"/>
      <c r="WOK84" s="31"/>
      <c r="WOL84" s="31"/>
      <c r="WOM84" s="31"/>
      <c r="WON84" s="31"/>
      <c r="WOO84" s="31"/>
      <c r="WOP84" s="31"/>
      <c r="WOQ84" s="31"/>
      <c r="WOR84" s="31"/>
      <c r="WOS84" s="31"/>
      <c r="WOT84" s="31"/>
      <c r="WOU84" s="31"/>
      <c r="WOV84" s="31"/>
      <c r="WOW84" s="31"/>
      <c r="WOX84" s="31"/>
      <c r="WOY84" s="31"/>
      <c r="WOZ84" s="31"/>
      <c r="WPA84" s="31"/>
      <c r="WPB84" s="31"/>
      <c r="WPC84" s="31"/>
      <c r="WPD84" s="31"/>
      <c r="WPE84" s="31"/>
      <c r="WPF84" s="31"/>
      <c r="WPG84" s="31"/>
      <c r="WPH84" s="31"/>
      <c r="WPI84" s="31"/>
      <c r="WPJ84" s="31"/>
      <c r="WPK84" s="31"/>
      <c r="WPL84" s="31"/>
      <c r="WPM84" s="31"/>
      <c r="WPN84" s="31"/>
      <c r="WPO84" s="31"/>
      <c r="WPP84" s="31"/>
      <c r="WPQ84" s="31"/>
      <c r="WPR84" s="31"/>
      <c r="WPS84" s="31"/>
      <c r="WPT84" s="31"/>
      <c r="WPU84" s="31"/>
      <c r="WPV84" s="31"/>
      <c r="WPW84" s="31"/>
      <c r="WPX84" s="31"/>
      <c r="WPY84" s="31"/>
      <c r="WPZ84" s="31"/>
      <c r="WQA84" s="31"/>
      <c r="WQB84" s="31"/>
      <c r="WQC84" s="31"/>
      <c r="WQD84" s="31"/>
      <c r="WQE84" s="31"/>
      <c r="WQF84" s="31"/>
      <c r="WQG84" s="31"/>
      <c r="WQH84" s="31"/>
      <c r="WQI84" s="31"/>
      <c r="WQJ84" s="31"/>
      <c r="WQK84" s="31"/>
      <c r="WQL84" s="31"/>
      <c r="WQM84" s="31"/>
      <c r="WQN84" s="31"/>
      <c r="WQO84" s="31"/>
      <c r="WQP84" s="31"/>
      <c r="WQQ84" s="31"/>
      <c r="WQR84" s="31"/>
      <c r="WQS84" s="31"/>
      <c r="WQT84" s="31"/>
      <c r="WQU84" s="31"/>
      <c r="WQV84" s="31"/>
      <c r="WQW84" s="31"/>
      <c r="WQX84" s="31"/>
      <c r="WQY84" s="31"/>
      <c r="WQZ84" s="31"/>
      <c r="WRA84" s="31"/>
      <c r="WRB84" s="31"/>
      <c r="WRC84" s="31"/>
      <c r="WRD84" s="31"/>
      <c r="WRE84" s="31"/>
      <c r="WRF84" s="31"/>
      <c r="WRG84" s="31"/>
      <c r="WRH84" s="31"/>
      <c r="WRI84" s="31"/>
      <c r="WRJ84" s="31"/>
      <c r="WRK84" s="31"/>
      <c r="WRL84" s="31"/>
      <c r="WRM84" s="31"/>
      <c r="WRN84" s="31"/>
      <c r="WRO84" s="31"/>
      <c r="WRP84" s="31"/>
      <c r="WRQ84" s="31"/>
      <c r="WRR84" s="31"/>
      <c r="WRS84" s="31"/>
      <c r="WRT84" s="31"/>
      <c r="WRU84" s="31"/>
      <c r="WRV84" s="31"/>
      <c r="WRW84" s="31"/>
      <c r="WRX84" s="31"/>
      <c r="WRY84" s="31"/>
      <c r="WRZ84" s="31"/>
      <c r="WSA84" s="31"/>
      <c r="WSB84" s="31"/>
      <c r="WSC84" s="31"/>
      <c r="WSD84" s="31"/>
      <c r="WSE84" s="31"/>
      <c r="WSF84" s="31"/>
      <c r="WSG84" s="31"/>
      <c r="WSH84" s="31"/>
      <c r="WSI84" s="31"/>
      <c r="WSJ84" s="31"/>
      <c r="WSK84" s="31"/>
      <c r="WSL84" s="31"/>
      <c r="WSM84" s="31"/>
      <c r="WSN84" s="31"/>
      <c r="WSO84" s="31"/>
      <c r="WSP84" s="31"/>
      <c r="WSQ84" s="31"/>
      <c r="WSR84" s="31"/>
      <c r="WSS84" s="31"/>
      <c r="WST84" s="31"/>
      <c r="WSU84" s="31"/>
      <c r="WSV84" s="31"/>
      <c r="WSW84" s="31"/>
      <c r="WSX84" s="31"/>
      <c r="WSY84" s="31"/>
      <c r="WSZ84" s="31"/>
      <c r="WTA84" s="31"/>
      <c r="WTB84" s="31"/>
      <c r="WTC84" s="31"/>
      <c r="WTD84" s="31"/>
      <c r="WTE84" s="31"/>
      <c r="WTF84" s="31"/>
      <c r="WTG84" s="31"/>
      <c r="WTH84" s="31"/>
      <c r="WTI84" s="31"/>
      <c r="WTJ84" s="31"/>
      <c r="WTK84" s="31"/>
      <c r="WTL84" s="31"/>
      <c r="WTM84" s="31"/>
      <c r="WTN84" s="31"/>
      <c r="WTO84" s="31"/>
      <c r="WTP84" s="31"/>
      <c r="WTQ84" s="31"/>
      <c r="WTR84" s="31"/>
      <c r="WTS84" s="31"/>
      <c r="WTT84" s="31"/>
      <c r="WTU84" s="31"/>
      <c r="WTV84" s="31"/>
      <c r="WTW84" s="31"/>
      <c r="WTX84" s="31"/>
      <c r="WTY84" s="31"/>
      <c r="WTZ84" s="31"/>
      <c r="WUA84" s="31"/>
      <c r="WUB84" s="31"/>
      <c r="WUC84" s="31"/>
      <c r="WUD84" s="31"/>
      <c r="WUE84" s="31"/>
      <c r="WUF84" s="31"/>
      <c r="WUG84" s="31"/>
      <c r="WUH84" s="31"/>
      <c r="WUI84" s="31"/>
      <c r="WUJ84" s="31"/>
      <c r="WUK84" s="31"/>
      <c r="WUL84" s="31"/>
      <c r="WUM84" s="31"/>
      <c r="WUN84" s="31"/>
      <c r="WUO84" s="31"/>
      <c r="WUP84" s="31"/>
      <c r="WUQ84" s="31"/>
      <c r="WUR84" s="31"/>
      <c r="WUS84" s="31"/>
      <c r="WUT84" s="31"/>
      <c r="WUU84" s="31"/>
      <c r="WUV84" s="31"/>
      <c r="WUW84" s="31"/>
      <c r="WUX84" s="31"/>
      <c r="WUY84" s="31"/>
      <c r="WUZ84" s="31"/>
      <c r="WVA84" s="31"/>
      <c r="WVB84" s="31"/>
      <c r="WVC84" s="31"/>
      <c r="WVD84" s="31"/>
      <c r="WVE84" s="31"/>
      <c r="WVF84" s="31"/>
      <c r="WVG84" s="31"/>
      <c r="WVH84" s="31"/>
      <c r="WVI84" s="31"/>
      <c r="WVJ84" s="31"/>
      <c r="WVK84" s="31"/>
      <c r="WVL84" s="31"/>
      <c r="WVM84" s="31"/>
      <c r="WVN84" s="31"/>
      <c r="WVO84" s="31"/>
      <c r="WVP84" s="31"/>
      <c r="WVQ84" s="31"/>
      <c r="WVR84" s="31"/>
      <c r="WVS84" s="31"/>
      <c r="WVT84" s="31"/>
      <c r="WVU84" s="31"/>
      <c r="WVV84" s="31"/>
      <c r="WVW84" s="31"/>
      <c r="WVX84" s="31"/>
      <c r="WVY84" s="31"/>
      <c r="WVZ84" s="31"/>
      <c r="WWA84" s="31"/>
      <c r="WWB84" s="31"/>
      <c r="WWC84" s="31"/>
      <c r="WWD84" s="31"/>
      <c r="WWE84" s="31"/>
      <c r="WWF84" s="31"/>
      <c r="WWG84" s="31"/>
      <c r="WWH84" s="31"/>
      <c r="WWI84" s="31"/>
      <c r="WWJ84" s="31"/>
      <c r="WWK84" s="31"/>
      <c r="WWL84" s="31"/>
      <c r="WWM84" s="31"/>
      <c r="WWN84" s="31"/>
      <c r="WWO84" s="31"/>
      <c r="WWP84" s="31"/>
      <c r="WWQ84" s="31"/>
      <c r="WWR84" s="31"/>
      <c r="WWS84" s="31"/>
      <c r="WWT84" s="31"/>
      <c r="WWU84" s="31"/>
      <c r="WWV84" s="31"/>
      <c r="WWW84" s="31"/>
      <c r="WWX84" s="31"/>
      <c r="WWY84" s="31"/>
      <c r="WWZ84" s="31"/>
      <c r="WXA84" s="31"/>
      <c r="WXB84" s="31"/>
      <c r="WXC84" s="31"/>
      <c r="WXD84" s="31"/>
      <c r="WXE84" s="31"/>
      <c r="WXF84" s="31"/>
      <c r="WXG84" s="31"/>
      <c r="WXH84" s="31"/>
      <c r="WXI84" s="31"/>
      <c r="WXJ84" s="31"/>
      <c r="WXK84" s="31"/>
      <c r="WXL84" s="31"/>
      <c r="WXM84" s="31"/>
      <c r="WXN84" s="31"/>
      <c r="WXO84" s="31"/>
      <c r="WXP84" s="31"/>
      <c r="WXQ84" s="31"/>
      <c r="WXR84" s="31"/>
      <c r="WXS84" s="31"/>
      <c r="WXT84" s="31"/>
      <c r="WXU84" s="31"/>
      <c r="WXV84" s="31"/>
      <c r="WXW84" s="31"/>
      <c r="WXX84" s="31"/>
      <c r="WXY84" s="31"/>
      <c r="WXZ84" s="31"/>
      <c r="WYA84" s="31"/>
      <c r="WYB84" s="31"/>
      <c r="WYC84" s="31"/>
      <c r="WYD84" s="31"/>
      <c r="WYE84" s="31"/>
      <c r="WYF84" s="31"/>
      <c r="WYG84" s="31"/>
      <c r="WYH84" s="31"/>
      <c r="WYI84" s="31"/>
      <c r="WYJ84" s="31"/>
      <c r="WYK84" s="31"/>
      <c r="WYL84" s="31"/>
      <c r="WYM84" s="31"/>
      <c r="WYN84" s="31"/>
      <c r="WYO84" s="31"/>
      <c r="WYP84" s="31"/>
      <c r="WYQ84" s="31"/>
      <c r="WYR84" s="31"/>
      <c r="WYS84" s="31"/>
      <c r="WYT84" s="31"/>
      <c r="WYU84" s="31"/>
      <c r="WYV84" s="31"/>
      <c r="WYW84" s="31"/>
      <c r="WYX84" s="31"/>
      <c r="WYY84" s="31"/>
      <c r="WYZ84" s="31"/>
      <c r="WZA84" s="31"/>
      <c r="WZB84" s="31"/>
      <c r="WZC84" s="31"/>
      <c r="WZD84" s="31"/>
      <c r="WZE84" s="31"/>
      <c r="WZF84" s="31"/>
      <c r="WZG84" s="31"/>
      <c r="WZH84" s="31"/>
      <c r="WZI84" s="31"/>
      <c r="WZJ84" s="31"/>
      <c r="WZK84" s="31"/>
      <c r="WZL84" s="31"/>
      <c r="WZM84" s="31"/>
      <c r="WZN84" s="31"/>
      <c r="WZO84" s="31"/>
      <c r="WZP84" s="31"/>
      <c r="WZQ84" s="31"/>
      <c r="WZR84" s="31"/>
      <c r="WZS84" s="31"/>
      <c r="WZT84" s="31"/>
      <c r="WZU84" s="31"/>
      <c r="WZV84" s="31"/>
      <c r="WZW84" s="31"/>
      <c r="WZX84" s="31"/>
      <c r="WZY84" s="31"/>
      <c r="WZZ84" s="31"/>
      <c r="XAA84" s="31"/>
      <c r="XAB84" s="31"/>
      <c r="XAC84" s="31"/>
      <c r="XAD84" s="31"/>
      <c r="XAE84" s="31"/>
      <c r="XAF84" s="31"/>
      <c r="XAG84" s="31"/>
      <c r="XAH84" s="31"/>
      <c r="XAI84" s="31"/>
      <c r="XAJ84" s="31"/>
      <c r="XAK84" s="31"/>
      <c r="XAL84" s="31"/>
      <c r="XAM84" s="31"/>
      <c r="XAN84" s="31"/>
      <c r="XAO84" s="31"/>
      <c r="XAP84" s="31"/>
      <c r="XAQ84" s="31"/>
      <c r="XAR84" s="31"/>
      <c r="XAS84" s="31"/>
      <c r="XAT84" s="31"/>
      <c r="XAU84" s="31"/>
      <c r="XAV84" s="31"/>
      <c r="XAW84" s="31"/>
      <c r="XAX84" s="31"/>
      <c r="XAY84" s="31"/>
      <c r="XAZ84" s="31"/>
      <c r="XBA84" s="31"/>
      <c r="XBB84" s="31"/>
      <c r="XBC84" s="31"/>
      <c r="XBD84" s="31"/>
      <c r="XBE84" s="31"/>
      <c r="XBF84" s="31"/>
      <c r="XBG84" s="31"/>
      <c r="XBH84" s="31"/>
      <c r="XBI84" s="31"/>
      <c r="XBJ84" s="31"/>
      <c r="XBK84" s="31"/>
      <c r="XBL84" s="31"/>
      <c r="XBM84" s="31"/>
      <c r="XBN84" s="31"/>
      <c r="XBO84" s="31"/>
      <c r="XBP84" s="31"/>
      <c r="XBQ84" s="31"/>
      <c r="XBR84" s="31"/>
      <c r="XBS84" s="31"/>
      <c r="XBT84" s="31"/>
      <c r="XBU84" s="31"/>
      <c r="XBV84" s="31"/>
      <c r="XBW84" s="31"/>
      <c r="XBX84" s="31"/>
      <c r="XBY84" s="31"/>
      <c r="XBZ84" s="31"/>
      <c r="XCA84" s="31"/>
      <c r="XCB84" s="31"/>
      <c r="XCC84" s="31"/>
      <c r="XCD84" s="31"/>
      <c r="XCE84" s="31"/>
      <c r="XCF84" s="31"/>
      <c r="XCG84" s="31"/>
      <c r="XCH84" s="31"/>
      <c r="XCI84" s="31"/>
      <c r="XCJ84" s="31"/>
      <c r="XCK84" s="31"/>
      <c r="XCL84" s="31"/>
      <c r="XCM84" s="31"/>
      <c r="XCN84" s="31"/>
      <c r="XCO84" s="31"/>
      <c r="XCP84" s="31"/>
      <c r="XCQ84" s="31"/>
      <c r="XCR84" s="31"/>
      <c r="XCS84" s="31"/>
      <c r="XCT84" s="31"/>
      <c r="XCU84" s="31"/>
      <c r="XCV84" s="31"/>
      <c r="XCW84" s="31"/>
      <c r="XCX84" s="31"/>
      <c r="XCY84" s="31"/>
      <c r="XCZ84" s="31"/>
      <c r="XDA84" s="31"/>
      <c r="XDB84" s="31"/>
      <c r="XDC84" s="31"/>
      <c r="XDD84" s="31"/>
      <c r="XDE84" s="31"/>
      <c r="XDF84" s="31"/>
      <c r="XDG84" s="31"/>
      <c r="XDH84" s="31"/>
      <c r="XDI84" s="31"/>
      <c r="XDJ84" s="31"/>
      <c r="XDK84" s="31"/>
      <c r="XDL84" s="31"/>
      <c r="XDM84" s="31"/>
      <c r="XDN84" s="31"/>
      <c r="XDO84" s="31"/>
      <c r="XDP84" s="31"/>
      <c r="XDQ84" s="31"/>
      <c r="XDR84" s="31"/>
      <c r="XDS84" s="31"/>
      <c r="XDT84" s="31"/>
      <c r="XDU84" s="31"/>
      <c r="XDV84" s="31"/>
      <c r="XDW84" s="31"/>
      <c r="XDX84" s="31"/>
      <c r="XDY84" s="31"/>
      <c r="XDZ84" s="31"/>
      <c r="XEA84" s="31"/>
      <c r="XEB84" s="31"/>
      <c r="XEC84" s="31"/>
      <c r="XED84" s="31"/>
      <c r="XEE84" s="31"/>
      <c r="XEF84" s="31"/>
      <c r="XEG84" s="31"/>
      <c r="XEH84" s="31"/>
      <c r="XEI84" s="31"/>
      <c r="XEJ84" s="31"/>
      <c r="XEK84" s="31"/>
      <c r="XEL84" s="31"/>
      <c r="XEM84" s="31"/>
      <c r="XEN84" s="31"/>
      <c r="XEO84" s="31"/>
      <c r="XEP84" s="31"/>
      <c r="XEQ84" s="31"/>
      <c r="XER84" s="31"/>
      <c r="XES84" s="31"/>
      <c r="XET84" s="31"/>
      <c r="XEU84" s="31"/>
      <c r="XEV84" s="31"/>
      <c r="XEW84" s="31"/>
      <c r="XEX84" s="31"/>
      <c r="XEY84" s="31"/>
      <c r="XEZ84" s="31"/>
      <c r="XFA84" s="31"/>
      <c r="XFB84" s="31"/>
    </row>
    <row r="85" spans="1:16382" s="343" customFormat="1" ht="18" customHeight="1" thickBot="1" x14ac:dyDescent="0.25">
      <c r="A85" s="2445"/>
      <c r="B85" s="2442" t="s">
        <v>1224</v>
      </c>
      <c r="C85" s="2442"/>
      <c r="D85" s="2442"/>
      <c r="E85" s="2443"/>
      <c r="F85" s="2260">
        <f>SUM(F81:F84)</f>
        <v>10</v>
      </c>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1"/>
      <c r="CK85" s="31"/>
      <c r="CL85" s="31"/>
      <c r="CM85" s="31"/>
      <c r="CN85" s="31"/>
      <c r="CO85" s="31"/>
      <c r="CP85" s="31"/>
      <c r="CQ85" s="31"/>
      <c r="CR85" s="31"/>
      <c r="CS85" s="31"/>
      <c r="CT85" s="31"/>
      <c r="CU85" s="31"/>
      <c r="CV85" s="31"/>
      <c r="CW85" s="31"/>
      <c r="CX85" s="31"/>
      <c r="CY85" s="31"/>
      <c r="CZ85" s="31"/>
      <c r="DA85" s="31"/>
      <c r="DB85" s="31"/>
      <c r="DC85" s="31"/>
      <c r="DD85" s="31"/>
      <c r="DE85" s="31"/>
      <c r="DF85" s="31"/>
      <c r="DG85" s="31"/>
      <c r="DH85" s="31"/>
      <c r="DI85" s="31"/>
      <c r="DJ85" s="31"/>
      <c r="DK85" s="31"/>
      <c r="DL85" s="31"/>
      <c r="DM85" s="31"/>
      <c r="DN85" s="31"/>
      <c r="DO85" s="31"/>
      <c r="DP85" s="31"/>
      <c r="DQ85" s="31"/>
      <c r="DR85" s="31"/>
      <c r="DS85" s="31"/>
      <c r="DT85" s="31"/>
      <c r="DU85" s="31"/>
      <c r="DV85" s="31"/>
      <c r="DW85" s="31"/>
      <c r="DX85" s="31"/>
      <c r="DY85" s="31"/>
      <c r="DZ85" s="31"/>
      <c r="EA85" s="31"/>
      <c r="EB85" s="31"/>
      <c r="EC85" s="31"/>
      <c r="ED85" s="31"/>
      <c r="EE85" s="31"/>
      <c r="EF85" s="31"/>
      <c r="EG85" s="31"/>
      <c r="EH85" s="31"/>
      <c r="EI85" s="31"/>
      <c r="EJ85" s="31"/>
      <c r="EK85" s="31"/>
      <c r="EL85" s="31"/>
      <c r="EM85" s="31"/>
      <c r="EN85" s="31"/>
      <c r="EO85" s="31"/>
      <c r="EP85" s="31"/>
      <c r="EQ85" s="31"/>
      <c r="ER85" s="31"/>
      <c r="ES85" s="31"/>
      <c r="ET85" s="31"/>
      <c r="EU85" s="31"/>
      <c r="EV85" s="31"/>
      <c r="EW85" s="31"/>
      <c r="EX85" s="31"/>
      <c r="EY85" s="31"/>
      <c r="EZ85" s="31"/>
      <c r="FA85" s="31"/>
      <c r="FB85" s="31"/>
      <c r="FC85" s="31"/>
      <c r="FD85" s="31"/>
      <c r="FE85" s="31"/>
      <c r="FF85" s="31"/>
      <c r="FG85" s="31"/>
      <c r="FH85" s="31"/>
      <c r="FI85" s="31"/>
      <c r="FJ85" s="31"/>
      <c r="FK85" s="31"/>
      <c r="FL85" s="31"/>
      <c r="FM85" s="31"/>
      <c r="FN85" s="31"/>
      <c r="FO85" s="31"/>
      <c r="FP85" s="31"/>
      <c r="FQ85" s="31"/>
      <c r="FR85" s="31"/>
      <c r="FS85" s="31"/>
      <c r="FT85" s="31"/>
      <c r="FU85" s="31"/>
      <c r="FV85" s="31"/>
      <c r="FW85" s="31"/>
      <c r="FX85" s="31"/>
      <c r="FY85" s="31"/>
      <c r="FZ85" s="31"/>
      <c r="GA85" s="31"/>
      <c r="GB85" s="31"/>
      <c r="GC85" s="31"/>
      <c r="GD85" s="31"/>
      <c r="GE85" s="31"/>
      <c r="GF85" s="31"/>
      <c r="GG85" s="31"/>
      <c r="GH85" s="31"/>
      <c r="GI85" s="31"/>
      <c r="GJ85" s="31"/>
      <c r="GK85" s="31"/>
      <c r="GL85" s="31"/>
      <c r="GM85" s="31"/>
      <c r="GN85" s="31"/>
      <c r="GO85" s="31"/>
      <c r="GP85" s="31"/>
      <c r="GQ85" s="31"/>
      <c r="GR85" s="31"/>
      <c r="GS85" s="31"/>
      <c r="GT85" s="31"/>
      <c r="GU85" s="31"/>
      <c r="GV85" s="31"/>
      <c r="GW85" s="31"/>
      <c r="GX85" s="31"/>
      <c r="GY85" s="31"/>
      <c r="GZ85" s="31"/>
      <c r="HA85" s="31"/>
      <c r="HB85" s="31"/>
      <c r="HC85" s="31"/>
      <c r="HD85" s="31"/>
      <c r="HE85" s="31"/>
      <c r="HF85" s="31"/>
      <c r="HG85" s="31"/>
      <c r="HH85" s="31"/>
      <c r="HI85" s="31"/>
      <c r="HJ85" s="31"/>
      <c r="HK85" s="31"/>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31"/>
      <c r="IZ85" s="31"/>
      <c r="JA85" s="31"/>
      <c r="JB85" s="31"/>
      <c r="JC85" s="31"/>
      <c r="JD85" s="31"/>
      <c r="JE85" s="31"/>
      <c r="JF85" s="31"/>
      <c r="JG85" s="31"/>
      <c r="JH85" s="31"/>
      <c r="JI85" s="31"/>
      <c r="JJ85" s="31"/>
      <c r="JK85" s="31"/>
      <c r="JL85" s="31"/>
      <c r="JM85" s="31"/>
      <c r="JN85" s="31"/>
      <c r="JO85" s="31"/>
      <c r="JP85" s="31"/>
      <c r="JQ85" s="31"/>
      <c r="JR85" s="31"/>
      <c r="JS85" s="31"/>
      <c r="JT85" s="31"/>
      <c r="JU85" s="31"/>
      <c r="JV85" s="31"/>
      <c r="JW85" s="31"/>
      <c r="JX85" s="31"/>
      <c r="JY85" s="31"/>
      <c r="JZ85" s="31"/>
      <c r="KA85" s="31"/>
      <c r="KB85" s="31"/>
      <c r="KC85" s="31"/>
      <c r="KD85" s="31"/>
      <c r="KE85" s="31"/>
      <c r="KF85" s="31"/>
      <c r="KG85" s="31"/>
      <c r="KH85" s="31"/>
      <c r="KI85" s="31"/>
      <c r="KJ85" s="31"/>
      <c r="KK85" s="31"/>
      <c r="KL85" s="31"/>
      <c r="KM85" s="31"/>
      <c r="KN85" s="31"/>
      <c r="KO85" s="31"/>
      <c r="KP85" s="31"/>
      <c r="KQ85" s="31"/>
      <c r="KR85" s="31"/>
      <c r="KS85" s="31"/>
      <c r="KT85" s="31"/>
      <c r="KU85" s="31"/>
      <c r="KV85" s="31"/>
      <c r="KW85" s="31"/>
      <c r="KX85" s="31"/>
      <c r="KY85" s="31"/>
      <c r="KZ85" s="31"/>
      <c r="LA85" s="31"/>
      <c r="LB85" s="31"/>
      <c r="LC85" s="31"/>
      <c r="LD85" s="31"/>
      <c r="LE85" s="31"/>
      <c r="LF85" s="31"/>
      <c r="LG85" s="31"/>
      <c r="LH85" s="31"/>
      <c r="LI85" s="31"/>
      <c r="LJ85" s="31"/>
      <c r="LK85" s="31"/>
      <c r="LL85" s="31"/>
      <c r="LM85" s="31"/>
      <c r="LN85" s="31"/>
      <c r="LO85" s="31"/>
      <c r="LP85" s="31"/>
      <c r="LQ85" s="31"/>
      <c r="LR85" s="31"/>
      <c r="LS85" s="31"/>
      <c r="LT85" s="31"/>
      <c r="LU85" s="31"/>
      <c r="LV85" s="31"/>
      <c r="LW85" s="31"/>
      <c r="LX85" s="31"/>
      <c r="LY85" s="31"/>
      <c r="LZ85" s="31"/>
      <c r="MA85" s="31"/>
      <c r="MB85" s="31"/>
      <c r="MC85" s="31"/>
      <c r="MD85" s="31"/>
      <c r="ME85" s="31"/>
      <c r="MF85" s="31"/>
      <c r="MG85" s="31"/>
      <c r="MH85" s="31"/>
      <c r="MI85" s="31"/>
      <c r="MJ85" s="31"/>
      <c r="MK85" s="31"/>
      <c r="ML85" s="31"/>
      <c r="MM85" s="31"/>
      <c r="MN85" s="31"/>
      <c r="MO85" s="31"/>
      <c r="MP85" s="31"/>
      <c r="MQ85" s="31"/>
      <c r="MR85" s="31"/>
      <c r="MS85" s="31"/>
      <c r="MT85" s="31"/>
      <c r="MU85" s="31"/>
      <c r="MV85" s="31"/>
      <c r="MW85" s="31"/>
      <c r="MX85" s="31"/>
      <c r="MY85" s="31"/>
      <c r="MZ85" s="31"/>
      <c r="NA85" s="31"/>
      <c r="NB85" s="31"/>
      <c r="NC85" s="31"/>
      <c r="ND85" s="31"/>
      <c r="NE85" s="31"/>
      <c r="NF85" s="31"/>
      <c r="NG85" s="31"/>
      <c r="NH85" s="31"/>
      <c r="NI85" s="31"/>
      <c r="NJ85" s="31"/>
      <c r="NK85" s="31"/>
      <c r="NL85" s="31"/>
      <c r="NM85" s="31"/>
      <c r="NN85" s="31"/>
      <c r="NO85" s="31"/>
      <c r="NP85" s="31"/>
      <c r="NQ85" s="31"/>
      <c r="NR85" s="31"/>
      <c r="NS85" s="31"/>
      <c r="NT85" s="31"/>
      <c r="NU85" s="31"/>
      <c r="NV85" s="31"/>
      <c r="NW85" s="31"/>
      <c r="NX85" s="31"/>
      <c r="NY85" s="31"/>
      <c r="NZ85" s="31"/>
      <c r="OA85" s="31"/>
      <c r="OB85" s="31"/>
      <c r="OC85" s="31"/>
      <c r="OD85" s="31"/>
      <c r="OE85" s="31"/>
      <c r="OF85" s="31"/>
      <c r="OG85" s="31"/>
      <c r="OH85" s="31"/>
      <c r="OI85" s="31"/>
      <c r="OJ85" s="31"/>
      <c r="OK85" s="31"/>
      <c r="OL85" s="31"/>
      <c r="OM85" s="31"/>
      <c r="ON85" s="31"/>
      <c r="OO85" s="31"/>
      <c r="OP85" s="31"/>
      <c r="OQ85" s="31"/>
      <c r="OR85" s="31"/>
      <c r="OS85" s="31"/>
      <c r="OT85" s="31"/>
      <c r="OU85" s="31"/>
      <c r="OV85" s="31"/>
      <c r="OW85" s="31"/>
      <c r="OX85" s="31"/>
      <c r="OY85" s="31"/>
      <c r="OZ85" s="31"/>
      <c r="PA85" s="31"/>
      <c r="PB85" s="31"/>
      <c r="PC85" s="31"/>
      <c r="PD85" s="31"/>
      <c r="PE85" s="31"/>
      <c r="PF85" s="31"/>
      <c r="PG85" s="31"/>
      <c r="PH85" s="31"/>
      <c r="PI85" s="31"/>
      <c r="PJ85" s="31"/>
      <c r="PK85" s="31"/>
      <c r="PL85" s="31"/>
      <c r="PM85" s="31"/>
      <c r="PN85" s="31"/>
      <c r="PO85" s="31"/>
      <c r="PP85" s="31"/>
      <c r="PQ85" s="31"/>
      <c r="PR85" s="31"/>
      <c r="PS85" s="31"/>
      <c r="PT85" s="31"/>
      <c r="PU85" s="31"/>
      <c r="PV85" s="31"/>
      <c r="PW85" s="31"/>
      <c r="PX85" s="31"/>
      <c r="PY85" s="31"/>
      <c r="PZ85" s="31"/>
      <c r="QA85" s="31"/>
      <c r="QB85" s="31"/>
      <c r="QC85" s="31"/>
      <c r="QD85" s="31"/>
      <c r="QE85" s="31"/>
      <c r="QF85" s="31"/>
      <c r="QG85" s="31"/>
      <c r="QH85" s="31"/>
      <c r="QI85" s="31"/>
      <c r="QJ85" s="31"/>
      <c r="QK85" s="31"/>
      <c r="QL85" s="31"/>
      <c r="QM85" s="31"/>
      <c r="QN85" s="31"/>
      <c r="QO85" s="31"/>
      <c r="QP85" s="31"/>
      <c r="QQ85" s="31"/>
      <c r="QR85" s="31"/>
      <c r="QS85" s="31"/>
      <c r="QT85" s="31"/>
      <c r="QU85" s="31"/>
      <c r="QV85" s="31"/>
      <c r="QW85" s="31"/>
      <c r="QX85" s="31"/>
      <c r="QY85" s="31"/>
      <c r="QZ85" s="31"/>
      <c r="RA85" s="31"/>
      <c r="RB85" s="31"/>
      <c r="RC85" s="31"/>
      <c r="RD85" s="31"/>
      <c r="RE85" s="31"/>
      <c r="RF85" s="31"/>
      <c r="RG85" s="31"/>
      <c r="RH85" s="31"/>
      <c r="RI85" s="31"/>
      <c r="RJ85" s="31"/>
      <c r="RK85" s="31"/>
      <c r="RL85" s="31"/>
      <c r="RM85" s="31"/>
      <c r="RN85" s="31"/>
      <c r="RO85" s="31"/>
      <c r="RP85" s="31"/>
      <c r="RQ85" s="31"/>
      <c r="RR85" s="31"/>
      <c r="RS85" s="31"/>
      <c r="RT85" s="31"/>
      <c r="RU85" s="31"/>
      <c r="RV85" s="31"/>
      <c r="RW85" s="31"/>
      <c r="RX85" s="31"/>
      <c r="RY85" s="31"/>
      <c r="RZ85" s="31"/>
      <c r="SA85" s="31"/>
      <c r="SB85" s="31"/>
      <c r="SC85" s="31"/>
      <c r="SD85" s="31"/>
      <c r="SE85" s="31"/>
      <c r="SF85" s="31"/>
      <c r="SG85" s="31"/>
      <c r="SH85" s="31"/>
      <c r="SI85" s="31"/>
      <c r="SJ85" s="31"/>
      <c r="SK85" s="31"/>
      <c r="SL85" s="31"/>
      <c r="SM85" s="31"/>
      <c r="SN85" s="31"/>
      <c r="SO85" s="31"/>
      <c r="SP85" s="31"/>
      <c r="SQ85" s="31"/>
      <c r="SR85" s="31"/>
      <c r="SS85" s="31"/>
      <c r="ST85" s="31"/>
      <c r="SU85" s="31"/>
      <c r="SV85" s="31"/>
      <c r="SW85" s="31"/>
      <c r="SX85" s="31"/>
      <c r="SY85" s="31"/>
      <c r="SZ85" s="31"/>
      <c r="TA85" s="31"/>
      <c r="TB85" s="31"/>
      <c r="TC85" s="31"/>
      <c r="TD85" s="31"/>
      <c r="TE85" s="31"/>
      <c r="TF85" s="31"/>
      <c r="TG85" s="31"/>
      <c r="TH85" s="31"/>
      <c r="TI85" s="31"/>
      <c r="TJ85" s="31"/>
      <c r="TK85" s="31"/>
      <c r="TL85" s="31"/>
      <c r="TM85" s="31"/>
      <c r="TN85" s="31"/>
      <c r="TO85" s="31"/>
      <c r="TP85" s="31"/>
      <c r="TQ85" s="31"/>
      <c r="TR85" s="31"/>
      <c r="TS85" s="31"/>
      <c r="TT85" s="31"/>
      <c r="TU85" s="31"/>
      <c r="TV85" s="31"/>
      <c r="TW85" s="31"/>
      <c r="TX85" s="31"/>
      <c r="TY85" s="31"/>
      <c r="TZ85" s="31"/>
      <c r="UA85" s="31"/>
      <c r="UB85" s="31"/>
      <c r="UC85" s="31"/>
      <c r="UD85" s="31"/>
      <c r="UE85" s="31"/>
      <c r="UF85" s="31"/>
      <c r="UG85" s="31"/>
      <c r="UH85" s="31"/>
      <c r="UI85" s="31"/>
      <c r="UJ85" s="31"/>
      <c r="UK85" s="31"/>
      <c r="UL85" s="31"/>
      <c r="UM85" s="31"/>
      <c r="UN85" s="31"/>
      <c r="UO85" s="31"/>
      <c r="UP85" s="31"/>
      <c r="UQ85" s="31"/>
      <c r="UR85" s="31"/>
      <c r="US85" s="31"/>
      <c r="UT85" s="31"/>
      <c r="UU85" s="31"/>
      <c r="UV85" s="31"/>
      <c r="UW85" s="31"/>
      <c r="UX85" s="31"/>
      <c r="UY85" s="31"/>
      <c r="UZ85" s="31"/>
      <c r="VA85" s="31"/>
      <c r="VB85" s="31"/>
      <c r="VC85" s="31"/>
      <c r="VD85" s="31"/>
      <c r="VE85" s="31"/>
      <c r="VF85" s="31"/>
      <c r="VG85" s="31"/>
      <c r="VH85" s="31"/>
      <c r="VI85" s="31"/>
      <c r="VJ85" s="31"/>
      <c r="VK85" s="31"/>
      <c r="VL85" s="31"/>
      <c r="VM85" s="31"/>
      <c r="VN85" s="31"/>
      <c r="VO85" s="31"/>
      <c r="VP85" s="31"/>
      <c r="VQ85" s="31"/>
      <c r="VR85" s="31"/>
      <c r="VS85" s="31"/>
      <c r="VT85" s="31"/>
      <c r="VU85" s="31"/>
      <c r="VV85" s="31"/>
      <c r="VW85" s="31"/>
      <c r="VX85" s="31"/>
      <c r="VY85" s="31"/>
      <c r="VZ85" s="31"/>
      <c r="WA85" s="31"/>
      <c r="WB85" s="31"/>
      <c r="WC85" s="31"/>
      <c r="WD85" s="31"/>
      <c r="WE85" s="31"/>
      <c r="WF85" s="31"/>
      <c r="WG85" s="31"/>
      <c r="WH85" s="31"/>
      <c r="WI85" s="31"/>
      <c r="WJ85" s="31"/>
      <c r="WK85" s="31"/>
      <c r="WL85" s="31"/>
      <c r="WM85" s="31"/>
      <c r="WN85" s="31"/>
      <c r="WO85" s="31"/>
      <c r="WP85" s="31"/>
      <c r="WQ85" s="31"/>
      <c r="WR85" s="31"/>
      <c r="WS85" s="31"/>
      <c r="WT85" s="31"/>
      <c r="WU85" s="31"/>
      <c r="WV85" s="31"/>
      <c r="WW85" s="31"/>
      <c r="WX85" s="31"/>
      <c r="WY85" s="31"/>
      <c r="WZ85" s="31"/>
      <c r="XA85" s="31"/>
      <c r="XB85" s="31"/>
      <c r="XC85" s="31"/>
      <c r="XD85" s="31"/>
      <c r="XE85" s="31"/>
      <c r="XF85" s="31"/>
      <c r="XG85" s="31"/>
      <c r="XH85" s="31"/>
      <c r="XI85" s="31"/>
      <c r="XJ85" s="31"/>
      <c r="XK85" s="31"/>
      <c r="XL85" s="31"/>
      <c r="XM85" s="31"/>
      <c r="XN85" s="31"/>
      <c r="XO85" s="31"/>
      <c r="XP85" s="31"/>
      <c r="XQ85" s="31"/>
      <c r="XR85" s="31"/>
      <c r="XS85" s="31"/>
      <c r="XT85" s="31"/>
      <c r="XU85" s="31"/>
      <c r="XV85" s="31"/>
      <c r="XW85" s="31"/>
      <c r="XX85" s="31"/>
      <c r="XY85" s="31"/>
      <c r="XZ85" s="31"/>
      <c r="YA85" s="31"/>
      <c r="YB85" s="31"/>
      <c r="YC85" s="31"/>
      <c r="YD85" s="31"/>
      <c r="YE85" s="31"/>
      <c r="YF85" s="31"/>
      <c r="YG85" s="31"/>
      <c r="YH85" s="31"/>
      <c r="YI85" s="31"/>
      <c r="YJ85" s="31"/>
      <c r="YK85" s="31"/>
      <c r="YL85" s="31"/>
      <c r="YM85" s="31"/>
      <c r="YN85" s="31"/>
      <c r="YO85" s="31"/>
      <c r="YP85" s="31"/>
      <c r="YQ85" s="31"/>
      <c r="YR85" s="31"/>
      <c r="YS85" s="31"/>
      <c r="YT85" s="31"/>
      <c r="YU85" s="31"/>
      <c r="YV85" s="31"/>
      <c r="YW85" s="31"/>
      <c r="YX85" s="31"/>
      <c r="YY85" s="31"/>
      <c r="YZ85" s="31"/>
      <c r="ZA85" s="31"/>
      <c r="ZB85" s="31"/>
      <c r="ZC85" s="31"/>
      <c r="ZD85" s="31"/>
      <c r="ZE85" s="31"/>
      <c r="ZF85" s="31"/>
      <c r="ZG85" s="31"/>
      <c r="ZH85" s="31"/>
      <c r="ZI85" s="31"/>
      <c r="ZJ85" s="31"/>
      <c r="ZK85" s="31"/>
      <c r="ZL85" s="31"/>
      <c r="ZM85" s="31"/>
      <c r="ZN85" s="31"/>
      <c r="ZO85" s="31"/>
      <c r="ZP85" s="31"/>
      <c r="ZQ85" s="31"/>
      <c r="ZR85" s="31"/>
      <c r="ZS85" s="31"/>
      <c r="ZT85" s="31"/>
      <c r="ZU85" s="31"/>
      <c r="ZV85" s="31"/>
      <c r="ZW85" s="31"/>
      <c r="ZX85" s="31"/>
      <c r="ZY85" s="31"/>
      <c r="ZZ85" s="31"/>
      <c r="AAA85" s="31"/>
      <c r="AAB85" s="31"/>
      <c r="AAC85" s="31"/>
      <c r="AAD85" s="31"/>
      <c r="AAE85" s="31"/>
      <c r="AAF85" s="31"/>
      <c r="AAG85" s="31"/>
      <c r="AAH85" s="31"/>
      <c r="AAI85" s="31"/>
      <c r="AAJ85" s="31"/>
      <c r="AAK85" s="31"/>
      <c r="AAL85" s="31"/>
      <c r="AAM85" s="31"/>
      <c r="AAN85" s="31"/>
      <c r="AAO85" s="31"/>
      <c r="AAP85" s="31"/>
      <c r="AAQ85" s="31"/>
      <c r="AAR85" s="31"/>
      <c r="AAS85" s="31"/>
      <c r="AAT85" s="31"/>
      <c r="AAU85" s="31"/>
      <c r="AAV85" s="31"/>
      <c r="AAW85" s="31"/>
      <c r="AAX85" s="31"/>
      <c r="AAY85" s="31"/>
      <c r="AAZ85" s="31"/>
      <c r="ABA85" s="31"/>
      <c r="ABB85" s="31"/>
      <c r="ABC85" s="31"/>
      <c r="ABD85" s="31"/>
      <c r="ABE85" s="31"/>
      <c r="ABF85" s="31"/>
      <c r="ABG85" s="31"/>
      <c r="ABH85" s="31"/>
      <c r="ABI85" s="31"/>
      <c r="ABJ85" s="31"/>
      <c r="ABK85" s="31"/>
      <c r="ABL85" s="31"/>
      <c r="ABM85" s="31"/>
      <c r="ABN85" s="31"/>
      <c r="ABO85" s="31"/>
      <c r="ABP85" s="31"/>
      <c r="ABQ85" s="31"/>
      <c r="ABR85" s="31"/>
      <c r="ABS85" s="31"/>
      <c r="ABT85" s="31"/>
      <c r="ABU85" s="31"/>
      <c r="ABV85" s="31"/>
      <c r="ABW85" s="31"/>
      <c r="ABX85" s="31"/>
      <c r="ABY85" s="31"/>
      <c r="ABZ85" s="31"/>
      <c r="ACA85" s="31"/>
      <c r="ACB85" s="31"/>
      <c r="ACC85" s="31"/>
      <c r="ACD85" s="31"/>
      <c r="ACE85" s="31"/>
      <c r="ACF85" s="31"/>
      <c r="ACG85" s="31"/>
      <c r="ACH85" s="31"/>
      <c r="ACI85" s="31"/>
      <c r="ACJ85" s="31"/>
      <c r="ACK85" s="31"/>
      <c r="ACL85" s="31"/>
      <c r="ACM85" s="31"/>
      <c r="ACN85" s="31"/>
      <c r="ACO85" s="31"/>
      <c r="ACP85" s="31"/>
      <c r="ACQ85" s="31"/>
      <c r="ACR85" s="31"/>
      <c r="ACS85" s="31"/>
      <c r="ACT85" s="31"/>
      <c r="ACU85" s="31"/>
      <c r="ACV85" s="31"/>
      <c r="ACW85" s="31"/>
      <c r="ACX85" s="31"/>
      <c r="ACY85" s="31"/>
      <c r="ACZ85" s="31"/>
      <c r="ADA85" s="31"/>
      <c r="ADB85" s="31"/>
      <c r="ADC85" s="31"/>
      <c r="ADD85" s="31"/>
      <c r="ADE85" s="31"/>
      <c r="ADF85" s="31"/>
      <c r="ADG85" s="31"/>
      <c r="ADH85" s="31"/>
      <c r="ADI85" s="31"/>
      <c r="ADJ85" s="31"/>
      <c r="ADK85" s="31"/>
      <c r="ADL85" s="31"/>
      <c r="ADM85" s="31"/>
      <c r="ADN85" s="31"/>
      <c r="ADO85" s="31"/>
      <c r="ADP85" s="31"/>
      <c r="ADQ85" s="31"/>
      <c r="ADR85" s="31"/>
      <c r="ADS85" s="31"/>
      <c r="ADT85" s="31"/>
      <c r="ADU85" s="31"/>
      <c r="ADV85" s="31"/>
      <c r="ADW85" s="31"/>
      <c r="ADX85" s="31"/>
      <c r="ADY85" s="31"/>
      <c r="ADZ85" s="31"/>
      <c r="AEA85" s="31"/>
      <c r="AEB85" s="31"/>
      <c r="AEC85" s="31"/>
      <c r="AED85" s="31"/>
      <c r="AEE85" s="31"/>
      <c r="AEF85" s="31"/>
      <c r="AEG85" s="31"/>
      <c r="AEH85" s="31"/>
      <c r="AEI85" s="31"/>
      <c r="AEJ85" s="31"/>
      <c r="AEK85" s="31"/>
      <c r="AEL85" s="31"/>
      <c r="AEM85" s="31"/>
      <c r="AEN85" s="31"/>
      <c r="AEO85" s="31"/>
      <c r="AEP85" s="31"/>
      <c r="AEQ85" s="31"/>
      <c r="AER85" s="31"/>
      <c r="AES85" s="31"/>
      <c r="AET85" s="31"/>
      <c r="AEU85" s="31"/>
      <c r="AEV85" s="31"/>
      <c r="AEW85" s="31"/>
      <c r="AEX85" s="31"/>
      <c r="AEY85" s="31"/>
      <c r="AEZ85" s="31"/>
      <c r="AFA85" s="31"/>
      <c r="AFB85" s="31"/>
      <c r="AFC85" s="31"/>
      <c r="AFD85" s="31"/>
      <c r="AFE85" s="31"/>
      <c r="AFF85" s="31"/>
      <c r="AFG85" s="31"/>
      <c r="AFH85" s="31"/>
      <c r="AFI85" s="31"/>
      <c r="AFJ85" s="31"/>
      <c r="AFK85" s="31"/>
      <c r="AFL85" s="31"/>
      <c r="AFM85" s="31"/>
      <c r="AFN85" s="31"/>
      <c r="AFO85" s="31"/>
      <c r="AFP85" s="31"/>
      <c r="AFQ85" s="31"/>
      <c r="AFR85" s="31"/>
      <c r="AFS85" s="31"/>
      <c r="AFT85" s="31"/>
      <c r="AFU85" s="31"/>
      <c r="AFV85" s="31"/>
      <c r="AFW85" s="31"/>
      <c r="AFX85" s="31"/>
      <c r="AFY85" s="31"/>
      <c r="AFZ85" s="31"/>
      <c r="AGA85" s="31"/>
      <c r="AGB85" s="31"/>
      <c r="AGC85" s="31"/>
      <c r="AGD85" s="31"/>
      <c r="AGE85" s="31"/>
      <c r="AGF85" s="31"/>
      <c r="AGG85" s="31"/>
      <c r="AGH85" s="31"/>
      <c r="AGI85" s="31"/>
      <c r="AGJ85" s="31"/>
      <c r="AGK85" s="31"/>
      <c r="AGL85" s="31"/>
      <c r="AGM85" s="31"/>
      <c r="AGN85" s="31"/>
      <c r="AGO85" s="31"/>
      <c r="AGP85" s="31"/>
      <c r="AGQ85" s="31"/>
      <c r="AGR85" s="31"/>
      <c r="AGS85" s="31"/>
      <c r="AGT85" s="31"/>
      <c r="AGU85" s="31"/>
      <c r="AGV85" s="31"/>
      <c r="AGW85" s="31"/>
      <c r="AGX85" s="31"/>
      <c r="AGY85" s="31"/>
      <c r="AGZ85" s="31"/>
      <c r="AHA85" s="31"/>
      <c r="AHB85" s="31"/>
      <c r="AHC85" s="31"/>
      <c r="AHD85" s="31"/>
      <c r="AHE85" s="31"/>
      <c r="AHF85" s="31"/>
      <c r="AHG85" s="31"/>
      <c r="AHH85" s="31"/>
      <c r="AHI85" s="31"/>
      <c r="AHJ85" s="31"/>
      <c r="AHK85" s="31"/>
      <c r="AHL85" s="31"/>
      <c r="AHM85" s="31"/>
      <c r="AHN85" s="31"/>
      <c r="AHO85" s="31"/>
      <c r="AHP85" s="31"/>
      <c r="AHQ85" s="31"/>
      <c r="AHR85" s="31"/>
      <c r="AHS85" s="31"/>
      <c r="AHT85" s="31"/>
      <c r="AHU85" s="31"/>
      <c r="AHV85" s="31"/>
      <c r="AHW85" s="31"/>
      <c r="AHX85" s="31"/>
      <c r="AHY85" s="31"/>
      <c r="AHZ85" s="31"/>
      <c r="AIA85" s="31"/>
      <c r="AIB85" s="31"/>
      <c r="AIC85" s="31"/>
      <c r="AID85" s="31"/>
      <c r="AIE85" s="31"/>
      <c r="AIF85" s="31"/>
      <c r="AIG85" s="31"/>
      <c r="AIH85" s="31"/>
      <c r="AII85" s="31"/>
      <c r="AIJ85" s="31"/>
      <c r="AIK85" s="31"/>
      <c r="AIL85" s="31"/>
      <c r="AIM85" s="31"/>
      <c r="AIN85" s="31"/>
      <c r="AIO85" s="31"/>
      <c r="AIP85" s="31"/>
      <c r="AIQ85" s="31"/>
      <c r="AIR85" s="31"/>
      <c r="AIS85" s="31"/>
      <c r="AIT85" s="31"/>
      <c r="AIU85" s="31"/>
      <c r="AIV85" s="31"/>
      <c r="AIW85" s="31"/>
      <c r="AIX85" s="31"/>
      <c r="AIY85" s="31"/>
      <c r="AIZ85" s="31"/>
      <c r="AJA85" s="31"/>
      <c r="AJB85" s="31"/>
      <c r="AJC85" s="31"/>
      <c r="AJD85" s="31"/>
      <c r="AJE85" s="31"/>
      <c r="AJF85" s="31"/>
      <c r="AJG85" s="31"/>
      <c r="AJH85" s="31"/>
      <c r="AJI85" s="31"/>
      <c r="AJJ85" s="31"/>
      <c r="AJK85" s="31"/>
      <c r="AJL85" s="31"/>
      <c r="AJM85" s="31"/>
      <c r="AJN85" s="31"/>
      <c r="AJO85" s="31"/>
      <c r="AJP85" s="31"/>
      <c r="AJQ85" s="31"/>
      <c r="AJR85" s="31"/>
      <c r="AJS85" s="31"/>
      <c r="AJT85" s="31"/>
      <c r="AJU85" s="31"/>
      <c r="AJV85" s="31"/>
      <c r="AJW85" s="31"/>
      <c r="AJX85" s="31"/>
      <c r="AJY85" s="31"/>
      <c r="AJZ85" s="31"/>
      <c r="AKA85" s="31"/>
      <c r="AKB85" s="31"/>
      <c r="AKC85" s="31"/>
      <c r="AKD85" s="31"/>
      <c r="AKE85" s="31"/>
      <c r="AKF85" s="31"/>
      <c r="AKG85" s="31"/>
      <c r="AKH85" s="31"/>
      <c r="AKI85" s="31"/>
      <c r="AKJ85" s="31"/>
      <c r="AKK85" s="31"/>
      <c r="AKL85" s="31"/>
      <c r="AKM85" s="31"/>
      <c r="AKN85" s="31"/>
      <c r="AKO85" s="31"/>
      <c r="AKP85" s="31"/>
      <c r="AKQ85" s="31"/>
      <c r="AKR85" s="31"/>
      <c r="AKS85" s="31"/>
      <c r="AKT85" s="31"/>
      <c r="AKU85" s="31"/>
      <c r="AKV85" s="31"/>
      <c r="AKW85" s="31"/>
      <c r="AKX85" s="31"/>
      <c r="AKY85" s="31"/>
      <c r="AKZ85" s="31"/>
      <c r="ALA85" s="31"/>
      <c r="ALB85" s="31"/>
      <c r="ALC85" s="31"/>
      <c r="ALD85" s="31"/>
      <c r="ALE85" s="31"/>
      <c r="ALF85" s="31"/>
      <c r="ALG85" s="31"/>
      <c r="ALH85" s="31"/>
      <c r="ALI85" s="31"/>
      <c r="ALJ85" s="31"/>
      <c r="ALK85" s="31"/>
      <c r="ALL85" s="31"/>
      <c r="ALM85" s="31"/>
      <c r="ALN85" s="31"/>
      <c r="ALO85" s="31"/>
      <c r="ALP85" s="31"/>
      <c r="ALQ85" s="31"/>
      <c r="ALR85" s="31"/>
      <c r="ALS85" s="31"/>
      <c r="ALT85" s="31"/>
      <c r="ALU85" s="31"/>
      <c r="ALV85" s="31"/>
      <c r="ALW85" s="31"/>
      <c r="ALX85" s="31"/>
      <c r="ALY85" s="31"/>
      <c r="ALZ85" s="31"/>
      <c r="AMA85" s="31"/>
      <c r="AMB85" s="31"/>
      <c r="AMC85" s="31"/>
      <c r="AMD85" s="31"/>
      <c r="AME85" s="31"/>
      <c r="AMF85" s="31"/>
      <c r="AMG85" s="31"/>
      <c r="AMH85" s="31"/>
      <c r="AMI85" s="31"/>
      <c r="AMJ85" s="31"/>
      <c r="AMK85" s="31"/>
      <c r="AML85" s="31"/>
      <c r="AMM85" s="31"/>
      <c r="AMN85" s="31"/>
      <c r="AMO85" s="31"/>
      <c r="AMP85" s="31"/>
      <c r="AMQ85" s="31"/>
      <c r="AMR85" s="31"/>
      <c r="AMS85" s="31"/>
      <c r="AMT85" s="31"/>
      <c r="AMU85" s="31"/>
      <c r="AMV85" s="31"/>
      <c r="AMW85" s="31"/>
      <c r="AMX85" s="31"/>
      <c r="AMY85" s="31"/>
      <c r="AMZ85" s="31"/>
      <c r="ANA85" s="31"/>
      <c r="ANB85" s="31"/>
      <c r="ANC85" s="31"/>
      <c r="AND85" s="31"/>
      <c r="ANE85" s="31"/>
      <c r="ANF85" s="31"/>
      <c r="ANG85" s="31"/>
      <c r="ANH85" s="31"/>
      <c r="ANI85" s="31"/>
      <c r="ANJ85" s="31"/>
      <c r="ANK85" s="31"/>
      <c r="ANL85" s="31"/>
      <c r="ANM85" s="31"/>
      <c r="ANN85" s="31"/>
      <c r="ANO85" s="31"/>
      <c r="ANP85" s="31"/>
      <c r="ANQ85" s="31"/>
      <c r="ANR85" s="31"/>
      <c r="ANS85" s="31"/>
      <c r="ANT85" s="31"/>
      <c r="ANU85" s="31"/>
      <c r="ANV85" s="31"/>
      <c r="ANW85" s="31"/>
      <c r="ANX85" s="31"/>
      <c r="ANY85" s="31"/>
      <c r="ANZ85" s="31"/>
      <c r="AOA85" s="31"/>
      <c r="AOB85" s="31"/>
      <c r="AOC85" s="31"/>
      <c r="AOD85" s="31"/>
      <c r="AOE85" s="31"/>
      <c r="AOF85" s="31"/>
      <c r="AOG85" s="31"/>
      <c r="AOH85" s="31"/>
      <c r="AOI85" s="31"/>
      <c r="AOJ85" s="31"/>
      <c r="AOK85" s="31"/>
      <c r="AOL85" s="31"/>
      <c r="AOM85" s="31"/>
      <c r="AON85" s="31"/>
      <c r="AOO85" s="31"/>
      <c r="AOP85" s="31"/>
      <c r="AOQ85" s="31"/>
      <c r="AOR85" s="31"/>
      <c r="AOS85" s="31"/>
      <c r="AOT85" s="31"/>
      <c r="AOU85" s="31"/>
      <c r="AOV85" s="31"/>
      <c r="AOW85" s="31"/>
      <c r="AOX85" s="31"/>
      <c r="AOY85" s="31"/>
      <c r="AOZ85" s="31"/>
      <c r="APA85" s="31"/>
      <c r="APB85" s="31"/>
      <c r="APC85" s="31"/>
      <c r="APD85" s="31"/>
      <c r="APE85" s="31"/>
      <c r="APF85" s="31"/>
      <c r="APG85" s="31"/>
      <c r="APH85" s="31"/>
      <c r="API85" s="31"/>
      <c r="APJ85" s="31"/>
      <c r="APK85" s="31"/>
      <c r="APL85" s="31"/>
      <c r="APM85" s="31"/>
      <c r="APN85" s="31"/>
      <c r="APO85" s="31"/>
      <c r="APP85" s="31"/>
      <c r="APQ85" s="31"/>
      <c r="APR85" s="31"/>
      <c r="APS85" s="31"/>
      <c r="APT85" s="31"/>
      <c r="APU85" s="31"/>
      <c r="APV85" s="31"/>
      <c r="APW85" s="31"/>
      <c r="APX85" s="31"/>
      <c r="APY85" s="31"/>
      <c r="APZ85" s="31"/>
      <c r="AQA85" s="31"/>
      <c r="AQB85" s="31"/>
      <c r="AQC85" s="31"/>
      <c r="AQD85" s="31"/>
      <c r="AQE85" s="31"/>
      <c r="AQF85" s="31"/>
      <c r="AQG85" s="31"/>
      <c r="AQH85" s="31"/>
      <c r="AQI85" s="31"/>
      <c r="AQJ85" s="31"/>
      <c r="AQK85" s="31"/>
      <c r="AQL85" s="31"/>
      <c r="AQM85" s="31"/>
      <c r="AQN85" s="31"/>
      <c r="AQO85" s="31"/>
      <c r="AQP85" s="31"/>
      <c r="AQQ85" s="31"/>
      <c r="AQR85" s="31"/>
      <c r="AQS85" s="31"/>
      <c r="AQT85" s="31"/>
      <c r="AQU85" s="31"/>
      <c r="AQV85" s="31"/>
      <c r="AQW85" s="31"/>
      <c r="AQX85" s="31"/>
      <c r="AQY85" s="31"/>
      <c r="AQZ85" s="31"/>
      <c r="ARA85" s="31"/>
      <c r="ARB85" s="31"/>
      <c r="ARC85" s="31"/>
      <c r="ARD85" s="31"/>
      <c r="ARE85" s="31"/>
      <c r="ARF85" s="31"/>
      <c r="ARG85" s="31"/>
      <c r="ARH85" s="31"/>
      <c r="ARI85" s="31"/>
      <c r="ARJ85" s="31"/>
      <c r="ARK85" s="31"/>
      <c r="ARL85" s="31"/>
      <c r="ARM85" s="31"/>
      <c r="ARN85" s="31"/>
      <c r="ARO85" s="31"/>
      <c r="ARP85" s="31"/>
      <c r="ARQ85" s="31"/>
      <c r="ARR85" s="31"/>
      <c r="ARS85" s="31"/>
      <c r="ART85" s="31"/>
      <c r="ARU85" s="31"/>
      <c r="ARV85" s="31"/>
      <c r="ARW85" s="31"/>
      <c r="ARX85" s="31"/>
      <c r="ARY85" s="31"/>
      <c r="ARZ85" s="31"/>
      <c r="ASA85" s="31"/>
      <c r="ASB85" s="31"/>
      <c r="ASC85" s="31"/>
      <c r="ASD85" s="31"/>
      <c r="ASE85" s="31"/>
      <c r="ASF85" s="31"/>
      <c r="ASG85" s="31"/>
      <c r="ASH85" s="31"/>
      <c r="ASI85" s="31"/>
      <c r="ASJ85" s="31"/>
      <c r="ASK85" s="31"/>
      <c r="ASL85" s="31"/>
      <c r="ASM85" s="31"/>
      <c r="ASN85" s="31"/>
      <c r="ASO85" s="31"/>
      <c r="ASP85" s="31"/>
      <c r="ASQ85" s="31"/>
      <c r="ASR85" s="31"/>
      <c r="ASS85" s="31"/>
      <c r="AST85" s="31"/>
      <c r="ASU85" s="31"/>
      <c r="ASV85" s="31"/>
      <c r="ASW85" s="31"/>
      <c r="ASX85" s="31"/>
      <c r="ASY85" s="31"/>
      <c r="ASZ85" s="31"/>
      <c r="ATA85" s="31"/>
      <c r="ATB85" s="31"/>
      <c r="ATC85" s="31"/>
      <c r="ATD85" s="31"/>
      <c r="ATE85" s="31"/>
      <c r="ATF85" s="31"/>
      <c r="ATG85" s="31"/>
      <c r="ATH85" s="31"/>
      <c r="ATI85" s="31"/>
      <c r="ATJ85" s="31"/>
      <c r="ATK85" s="31"/>
      <c r="ATL85" s="31"/>
      <c r="ATM85" s="31"/>
      <c r="ATN85" s="31"/>
      <c r="ATO85" s="31"/>
      <c r="ATP85" s="31"/>
      <c r="ATQ85" s="31"/>
      <c r="ATR85" s="31"/>
      <c r="ATS85" s="31"/>
      <c r="ATT85" s="31"/>
      <c r="ATU85" s="31"/>
      <c r="ATV85" s="31"/>
      <c r="ATW85" s="31"/>
      <c r="ATX85" s="31"/>
      <c r="ATY85" s="31"/>
      <c r="ATZ85" s="31"/>
      <c r="AUA85" s="31"/>
      <c r="AUB85" s="31"/>
      <c r="AUC85" s="31"/>
      <c r="AUD85" s="31"/>
      <c r="AUE85" s="31"/>
      <c r="AUF85" s="31"/>
      <c r="AUG85" s="31"/>
      <c r="AUH85" s="31"/>
      <c r="AUI85" s="31"/>
      <c r="AUJ85" s="31"/>
      <c r="AUK85" s="31"/>
      <c r="AUL85" s="31"/>
      <c r="AUM85" s="31"/>
      <c r="AUN85" s="31"/>
      <c r="AUO85" s="31"/>
      <c r="AUP85" s="31"/>
      <c r="AUQ85" s="31"/>
      <c r="AUR85" s="31"/>
      <c r="AUS85" s="31"/>
      <c r="AUT85" s="31"/>
      <c r="AUU85" s="31"/>
      <c r="AUV85" s="31"/>
      <c r="AUW85" s="31"/>
      <c r="AUX85" s="31"/>
      <c r="AUY85" s="31"/>
      <c r="AUZ85" s="31"/>
      <c r="AVA85" s="31"/>
      <c r="AVB85" s="31"/>
      <c r="AVC85" s="31"/>
      <c r="AVD85" s="31"/>
      <c r="AVE85" s="31"/>
      <c r="AVF85" s="31"/>
      <c r="AVG85" s="31"/>
      <c r="AVH85" s="31"/>
      <c r="AVI85" s="31"/>
      <c r="AVJ85" s="31"/>
      <c r="AVK85" s="31"/>
      <c r="AVL85" s="31"/>
      <c r="AVM85" s="31"/>
      <c r="AVN85" s="31"/>
      <c r="AVO85" s="31"/>
      <c r="AVP85" s="31"/>
      <c r="AVQ85" s="31"/>
      <c r="AVR85" s="31"/>
      <c r="AVS85" s="31"/>
      <c r="AVT85" s="31"/>
      <c r="AVU85" s="31"/>
      <c r="AVV85" s="31"/>
      <c r="AVW85" s="31"/>
      <c r="AVX85" s="31"/>
      <c r="AVY85" s="31"/>
      <c r="AVZ85" s="31"/>
      <c r="AWA85" s="31"/>
      <c r="AWB85" s="31"/>
      <c r="AWC85" s="31"/>
      <c r="AWD85" s="31"/>
      <c r="AWE85" s="31"/>
      <c r="AWF85" s="31"/>
      <c r="AWG85" s="31"/>
      <c r="AWH85" s="31"/>
      <c r="AWI85" s="31"/>
      <c r="AWJ85" s="31"/>
      <c r="AWK85" s="31"/>
      <c r="AWL85" s="31"/>
      <c r="AWM85" s="31"/>
      <c r="AWN85" s="31"/>
      <c r="AWO85" s="31"/>
      <c r="AWP85" s="31"/>
      <c r="AWQ85" s="31"/>
      <c r="AWR85" s="31"/>
      <c r="AWS85" s="31"/>
      <c r="AWT85" s="31"/>
      <c r="AWU85" s="31"/>
      <c r="AWV85" s="31"/>
      <c r="AWW85" s="31"/>
      <c r="AWX85" s="31"/>
      <c r="AWY85" s="31"/>
      <c r="AWZ85" s="31"/>
      <c r="AXA85" s="31"/>
      <c r="AXB85" s="31"/>
      <c r="AXC85" s="31"/>
      <c r="AXD85" s="31"/>
      <c r="AXE85" s="31"/>
      <c r="AXF85" s="31"/>
      <c r="AXG85" s="31"/>
      <c r="AXH85" s="31"/>
      <c r="AXI85" s="31"/>
      <c r="AXJ85" s="31"/>
      <c r="AXK85" s="31"/>
      <c r="AXL85" s="31"/>
      <c r="AXM85" s="31"/>
      <c r="AXN85" s="31"/>
      <c r="AXO85" s="31"/>
      <c r="AXP85" s="31"/>
      <c r="AXQ85" s="31"/>
      <c r="AXR85" s="31"/>
      <c r="AXS85" s="31"/>
      <c r="AXT85" s="31"/>
      <c r="AXU85" s="31"/>
      <c r="AXV85" s="31"/>
      <c r="AXW85" s="31"/>
      <c r="AXX85" s="31"/>
      <c r="AXY85" s="31"/>
      <c r="AXZ85" s="31"/>
      <c r="AYA85" s="31"/>
      <c r="AYB85" s="31"/>
      <c r="AYC85" s="31"/>
      <c r="AYD85" s="31"/>
      <c r="AYE85" s="31"/>
      <c r="AYF85" s="31"/>
      <c r="AYG85" s="31"/>
      <c r="AYH85" s="31"/>
      <c r="AYI85" s="31"/>
      <c r="AYJ85" s="31"/>
      <c r="AYK85" s="31"/>
      <c r="AYL85" s="31"/>
      <c r="AYM85" s="31"/>
      <c r="AYN85" s="31"/>
      <c r="AYO85" s="31"/>
      <c r="AYP85" s="31"/>
      <c r="AYQ85" s="31"/>
      <c r="AYR85" s="31"/>
      <c r="AYS85" s="31"/>
      <c r="AYT85" s="31"/>
      <c r="AYU85" s="31"/>
      <c r="AYV85" s="31"/>
      <c r="AYW85" s="31"/>
      <c r="AYX85" s="31"/>
      <c r="AYY85" s="31"/>
      <c r="AYZ85" s="31"/>
      <c r="AZA85" s="31"/>
      <c r="AZB85" s="31"/>
      <c r="AZC85" s="31"/>
      <c r="AZD85" s="31"/>
      <c r="AZE85" s="31"/>
      <c r="AZF85" s="31"/>
      <c r="AZG85" s="31"/>
      <c r="AZH85" s="31"/>
      <c r="AZI85" s="31"/>
      <c r="AZJ85" s="31"/>
      <c r="AZK85" s="31"/>
      <c r="AZL85" s="31"/>
      <c r="AZM85" s="31"/>
      <c r="AZN85" s="31"/>
      <c r="AZO85" s="31"/>
      <c r="AZP85" s="31"/>
      <c r="AZQ85" s="31"/>
      <c r="AZR85" s="31"/>
      <c r="AZS85" s="31"/>
      <c r="AZT85" s="31"/>
      <c r="AZU85" s="31"/>
      <c r="AZV85" s="31"/>
      <c r="AZW85" s="31"/>
      <c r="AZX85" s="31"/>
      <c r="AZY85" s="31"/>
      <c r="AZZ85" s="31"/>
      <c r="BAA85" s="31"/>
      <c r="BAB85" s="31"/>
      <c r="BAC85" s="31"/>
      <c r="BAD85" s="31"/>
      <c r="BAE85" s="31"/>
      <c r="BAF85" s="31"/>
      <c r="BAG85" s="31"/>
      <c r="BAH85" s="31"/>
      <c r="BAI85" s="31"/>
      <c r="BAJ85" s="31"/>
      <c r="BAK85" s="31"/>
      <c r="BAL85" s="31"/>
      <c r="BAM85" s="31"/>
      <c r="BAN85" s="31"/>
      <c r="BAO85" s="31"/>
      <c r="BAP85" s="31"/>
      <c r="BAQ85" s="31"/>
      <c r="BAR85" s="31"/>
      <c r="BAS85" s="31"/>
      <c r="BAT85" s="31"/>
      <c r="BAU85" s="31"/>
      <c r="BAV85" s="31"/>
      <c r="BAW85" s="31"/>
      <c r="BAX85" s="31"/>
      <c r="BAY85" s="31"/>
      <c r="BAZ85" s="31"/>
      <c r="BBA85" s="31"/>
      <c r="BBB85" s="31"/>
      <c r="BBC85" s="31"/>
      <c r="BBD85" s="31"/>
      <c r="BBE85" s="31"/>
      <c r="BBF85" s="31"/>
      <c r="BBG85" s="31"/>
      <c r="BBH85" s="31"/>
      <c r="BBI85" s="31"/>
      <c r="BBJ85" s="31"/>
      <c r="BBK85" s="31"/>
      <c r="BBL85" s="31"/>
      <c r="BBM85" s="31"/>
      <c r="BBN85" s="31"/>
      <c r="BBO85" s="31"/>
      <c r="BBP85" s="31"/>
      <c r="BBQ85" s="31"/>
      <c r="BBR85" s="31"/>
      <c r="BBS85" s="31"/>
      <c r="BBT85" s="31"/>
      <c r="BBU85" s="31"/>
      <c r="BBV85" s="31"/>
      <c r="BBW85" s="31"/>
      <c r="BBX85" s="31"/>
      <c r="BBY85" s="31"/>
      <c r="BBZ85" s="31"/>
      <c r="BCA85" s="31"/>
      <c r="BCB85" s="31"/>
      <c r="BCC85" s="31"/>
      <c r="BCD85" s="31"/>
      <c r="BCE85" s="31"/>
      <c r="BCF85" s="31"/>
      <c r="BCG85" s="31"/>
      <c r="BCH85" s="31"/>
      <c r="BCI85" s="31"/>
      <c r="BCJ85" s="31"/>
      <c r="BCK85" s="31"/>
      <c r="BCL85" s="31"/>
      <c r="BCM85" s="31"/>
      <c r="BCN85" s="31"/>
      <c r="BCO85" s="31"/>
      <c r="BCP85" s="31"/>
      <c r="BCQ85" s="31"/>
      <c r="BCR85" s="31"/>
      <c r="BCS85" s="31"/>
      <c r="BCT85" s="31"/>
      <c r="BCU85" s="31"/>
      <c r="BCV85" s="31"/>
      <c r="BCW85" s="31"/>
      <c r="BCX85" s="31"/>
      <c r="BCY85" s="31"/>
      <c r="BCZ85" s="31"/>
      <c r="BDA85" s="31"/>
      <c r="BDB85" s="31"/>
      <c r="BDC85" s="31"/>
      <c r="BDD85" s="31"/>
      <c r="BDE85" s="31"/>
      <c r="BDF85" s="31"/>
      <c r="BDG85" s="31"/>
      <c r="BDH85" s="31"/>
      <c r="BDI85" s="31"/>
      <c r="BDJ85" s="31"/>
      <c r="BDK85" s="31"/>
      <c r="BDL85" s="31"/>
      <c r="BDM85" s="31"/>
      <c r="BDN85" s="31"/>
      <c r="BDO85" s="31"/>
      <c r="BDP85" s="31"/>
      <c r="BDQ85" s="31"/>
      <c r="BDR85" s="31"/>
      <c r="BDS85" s="31"/>
      <c r="BDT85" s="31"/>
      <c r="BDU85" s="31"/>
      <c r="BDV85" s="31"/>
      <c r="BDW85" s="31"/>
      <c r="BDX85" s="31"/>
      <c r="BDY85" s="31"/>
      <c r="BDZ85" s="31"/>
      <c r="BEA85" s="31"/>
      <c r="BEB85" s="31"/>
      <c r="BEC85" s="31"/>
      <c r="BED85" s="31"/>
      <c r="BEE85" s="31"/>
      <c r="BEF85" s="31"/>
      <c r="BEG85" s="31"/>
      <c r="BEH85" s="31"/>
      <c r="BEI85" s="31"/>
      <c r="BEJ85" s="31"/>
      <c r="BEK85" s="31"/>
      <c r="BEL85" s="31"/>
      <c r="BEM85" s="31"/>
      <c r="BEN85" s="31"/>
      <c r="BEO85" s="31"/>
      <c r="BEP85" s="31"/>
      <c r="BEQ85" s="31"/>
      <c r="BER85" s="31"/>
      <c r="BES85" s="31"/>
      <c r="BET85" s="31"/>
      <c r="BEU85" s="31"/>
      <c r="BEV85" s="31"/>
      <c r="BEW85" s="31"/>
      <c r="BEX85" s="31"/>
      <c r="BEY85" s="31"/>
      <c r="BEZ85" s="31"/>
      <c r="BFA85" s="31"/>
      <c r="BFB85" s="31"/>
      <c r="BFC85" s="31"/>
      <c r="BFD85" s="31"/>
      <c r="BFE85" s="31"/>
      <c r="BFF85" s="31"/>
      <c r="BFG85" s="31"/>
      <c r="BFH85" s="31"/>
      <c r="BFI85" s="31"/>
      <c r="BFJ85" s="31"/>
      <c r="BFK85" s="31"/>
      <c r="BFL85" s="31"/>
      <c r="BFM85" s="31"/>
      <c r="BFN85" s="31"/>
      <c r="BFO85" s="31"/>
      <c r="BFP85" s="31"/>
      <c r="BFQ85" s="31"/>
      <c r="BFR85" s="31"/>
      <c r="BFS85" s="31"/>
      <c r="BFT85" s="31"/>
      <c r="BFU85" s="31"/>
      <c r="BFV85" s="31"/>
      <c r="BFW85" s="31"/>
      <c r="BFX85" s="31"/>
      <c r="BFY85" s="31"/>
      <c r="BFZ85" s="31"/>
      <c r="BGA85" s="31"/>
      <c r="BGB85" s="31"/>
      <c r="BGC85" s="31"/>
      <c r="BGD85" s="31"/>
      <c r="BGE85" s="31"/>
      <c r="BGF85" s="31"/>
      <c r="BGG85" s="31"/>
      <c r="BGH85" s="31"/>
      <c r="BGI85" s="31"/>
      <c r="BGJ85" s="31"/>
      <c r="BGK85" s="31"/>
      <c r="BGL85" s="31"/>
      <c r="BGM85" s="31"/>
      <c r="BGN85" s="31"/>
      <c r="BGO85" s="31"/>
      <c r="BGP85" s="31"/>
      <c r="BGQ85" s="31"/>
      <c r="BGR85" s="31"/>
      <c r="BGS85" s="31"/>
      <c r="BGT85" s="31"/>
      <c r="BGU85" s="31"/>
      <c r="BGV85" s="31"/>
      <c r="BGW85" s="31"/>
      <c r="BGX85" s="31"/>
      <c r="BGY85" s="31"/>
      <c r="BGZ85" s="31"/>
      <c r="BHA85" s="31"/>
      <c r="BHB85" s="31"/>
      <c r="BHC85" s="31"/>
      <c r="BHD85" s="31"/>
      <c r="BHE85" s="31"/>
      <c r="BHF85" s="31"/>
      <c r="BHG85" s="31"/>
      <c r="BHH85" s="31"/>
      <c r="BHI85" s="31"/>
      <c r="BHJ85" s="31"/>
      <c r="BHK85" s="31"/>
      <c r="BHL85" s="31"/>
      <c r="BHM85" s="31"/>
      <c r="BHN85" s="31"/>
      <c r="BHO85" s="31"/>
      <c r="BHP85" s="31"/>
      <c r="BHQ85" s="31"/>
      <c r="BHR85" s="31"/>
      <c r="BHS85" s="31"/>
      <c r="BHT85" s="31"/>
      <c r="BHU85" s="31"/>
      <c r="BHV85" s="31"/>
      <c r="BHW85" s="31"/>
      <c r="BHX85" s="31"/>
      <c r="BHY85" s="31"/>
      <c r="BHZ85" s="31"/>
      <c r="BIA85" s="31"/>
      <c r="BIB85" s="31"/>
      <c r="BIC85" s="31"/>
      <c r="BID85" s="31"/>
      <c r="BIE85" s="31"/>
      <c r="BIF85" s="31"/>
      <c r="BIG85" s="31"/>
      <c r="BIH85" s="31"/>
      <c r="BII85" s="31"/>
      <c r="BIJ85" s="31"/>
      <c r="BIK85" s="31"/>
      <c r="BIL85" s="31"/>
      <c r="BIM85" s="31"/>
      <c r="BIN85" s="31"/>
      <c r="BIO85" s="31"/>
      <c r="BIP85" s="31"/>
      <c r="BIQ85" s="31"/>
      <c r="BIR85" s="31"/>
      <c r="BIS85" s="31"/>
      <c r="BIT85" s="31"/>
      <c r="BIU85" s="31"/>
      <c r="BIV85" s="31"/>
      <c r="BIW85" s="31"/>
      <c r="BIX85" s="31"/>
      <c r="BIY85" s="31"/>
      <c r="BIZ85" s="31"/>
      <c r="BJA85" s="31"/>
      <c r="BJB85" s="31"/>
      <c r="BJC85" s="31"/>
      <c r="BJD85" s="31"/>
      <c r="BJE85" s="31"/>
      <c r="BJF85" s="31"/>
      <c r="BJG85" s="31"/>
      <c r="BJH85" s="31"/>
      <c r="BJI85" s="31"/>
      <c r="BJJ85" s="31"/>
      <c r="BJK85" s="31"/>
      <c r="BJL85" s="31"/>
      <c r="BJM85" s="31"/>
      <c r="BJN85" s="31"/>
      <c r="BJO85" s="31"/>
      <c r="BJP85" s="31"/>
      <c r="BJQ85" s="31"/>
      <c r="BJR85" s="31"/>
      <c r="BJS85" s="31"/>
      <c r="BJT85" s="31"/>
      <c r="BJU85" s="31"/>
      <c r="BJV85" s="31"/>
      <c r="BJW85" s="31"/>
      <c r="BJX85" s="31"/>
      <c r="BJY85" s="31"/>
      <c r="BJZ85" s="31"/>
      <c r="BKA85" s="31"/>
      <c r="BKB85" s="31"/>
      <c r="BKC85" s="31"/>
      <c r="BKD85" s="31"/>
      <c r="BKE85" s="31"/>
      <c r="BKF85" s="31"/>
      <c r="BKG85" s="31"/>
      <c r="BKH85" s="31"/>
      <c r="BKI85" s="31"/>
      <c r="BKJ85" s="31"/>
      <c r="BKK85" s="31"/>
      <c r="BKL85" s="31"/>
      <c r="BKM85" s="31"/>
      <c r="BKN85" s="31"/>
      <c r="BKO85" s="31"/>
      <c r="BKP85" s="31"/>
      <c r="BKQ85" s="31"/>
      <c r="BKR85" s="31"/>
      <c r="BKS85" s="31"/>
      <c r="BKT85" s="31"/>
      <c r="BKU85" s="31"/>
      <c r="BKV85" s="31"/>
      <c r="BKW85" s="31"/>
      <c r="BKX85" s="31"/>
      <c r="BKY85" s="31"/>
      <c r="BKZ85" s="31"/>
      <c r="BLA85" s="31"/>
      <c r="BLB85" s="31"/>
      <c r="BLC85" s="31"/>
      <c r="BLD85" s="31"/>
      <c r="BLE85" s="31"/>
      <c r="BLF85" s="31"/>
      <c r="BLG85" s="31"/>
      <c r="BLH85" s="31"/>
      <c r="BLI85" s="31"/>
      <c r="BLJ85" s="31"/>
      <c r="BLK85" s="31"/>
      <c r="BLL85" s="31"/>
      <c r="BLM85" s="31"/>
      <c r="BLN85" s="31"/>
      <c r="BLO85" s="31"/>
      <c r="BLP85" s="31"/>
      <c r="BLQ85" s="31"/>
      <c r="BLR85" s="31"/>
      <c r="BLS85" s="31"/>
      <c r="BLT85" s="31"/>
      <c r="BLU85" s="31"/>
      <c r="BLV85" s="31"/>
      <c r="BLW85" s="31"/>
      <c r="BLX85" s="31"/>
      <c r="BLY85" s="31"/>
      <c r="BLZ85" s="31"/>
      <c r="BMA85" s="31"/>
      <c r="BMB85" s="31"/>
      <c r="BMC85" s="31"/>
      <c r="BMD85" s="31"/>
      <c r="BME85" s="31"/>
      <c r="BMF85" s="31"/>
      <c r="BMG85" s="31"/>
      <c r="BMH85" s="31"/>
      <c r="BMI85" s="31"/>
      <c r="BMJ85" s="31"/>
      <c r="BMK85" s="31"/>
      <c r="BML85" s="31"/>
      <c r="BMM85" s="31"/>
      <c r="BMN85" s="31"/>
      <c r="BMO85" s="31"/>
      <c r="BMP85" s="31"/>
      <c r="BMQ85" s="31"/>
      <c r="BMR85" s="31"/>
      <c r="BMS85" s="31"/>
      <c r="BMT85" s="31"/>
      <c r="BMU85" s="31"/>
      <c r="BMV85" s="31"/>
      <c r="BMW85" s="31"/>
      <c r="BMX85" s="31"/>
      <c r="BMY85" s="31"/>
      <c r="BMZ85" s="31"/>
      <c r="BNA85" s="31"/>
      <c r="BNB85" s="31"/>
      <c r="BNC85" s="31"/>
      <c r="BND85" s="31"/>
      <c r="BNE85" s="31"/>
      <c r="BNF85" s="31"/>
      <c r="BNG85" s="31"/>
      <c r="BNH85" s="31"/>
      <c r="BNI85" s="31"/>
      <c r="BNJ85" s="31"/>
      <c r="BNK85" s="31"/>
      <c r="BNL85" s="31"/>
      <c r="BNM85" s="31"/>
      <c r="BNN85" s="31"/>
      <c r="BNO85" s="31"/>
      <c r="BNP85" s="31"/>
      <c r="BNQ85" s="31"/>
      <c r="BNR85" s="31"/>
      <c r="BNS85" s="31"/>
      <c r="BNT85" s="31"/>
      <c r="BNU85" s="31"/>
      <c r="BNV85" s="31"/>
      <c r="BNW85" s="31"/>
      <c r="BNX85" s="31"/>
      <c r="BNY85" s="31"/>
      <c r="BNZ85" s="31"/>
      <c r="BOA85" s="31"/>
      <c r="BOB85" s="31"/>
      <c r="BOC85" s="31"/>
      <c r="BOD85" s="31"/>
      <c r="BOE85" s="31"/>
      <c r="BOF85" s="31"/>
      <c r="BOG85" s="31"/>
      <c r="BOH85" s="31"/>
      <c r="BOI85" s="31"/>
      <c r="BOJ85" s="31"/>
      <c r="BOK85" s="31"/>
      <c r="BOL85" s="31"/>
      <c r="BOM85" s="31"/>
      <c r="BON85" s="31"/>
      <c r="BOO85" s="31"/>
      <c r="BOP85" s="31"/>
      <c r="BOQ85" s="31"/>
      <c r="BOR85" s="31"/>
      <c r="BOS85" s="31"/>
      <c r="BOT85" s="31"/>
      <c r="BOU85" s="31"/>
      <c r="BOV85" s="31"/>
      <c r="BOW85" s="31"/>
      <c r="BOX85" s="31"/>
      <c r="BOY85" s="31"/>
      <c r="BOZ85" s="31"/>
      <c r="BPA85" s="31"/>
      <c r="BPB85" s="31"/>
      <c r="BPC85" s="31"/>
      <c r="BPD85" s="31"/>
      <c r="BPE85" s="31"/>
      <c r="BPF85" s="31"/>
      <c r="BPG85" s="31"/>
      <c r="BPH85" s="31"/>
      <c r="BPI85" s="31"/>
      <c r="BPJ85" s="31"/>
      <c r="BPK85" s="31"/>
      <c r="BPL85" s="31"/>
      <c r="BPM85" s="31"/>
      <c r="BPN85" s="31"/>
      <c r="BPO85" s="31"/>
      <c r="BPP85" s="31"/>
      <c r="BPQ85" s="31"/>
      <c r="BPR85" s="31"/>
      <c r="BPS85" s="31"/>
      <c r="BPT85" s="31"/>
      <c r="BPU85" s="31"/>
      <c r="BPV85" s="31"/>
      <c r="BPW85" s="31"/>
      <c r="BPX85" s="31"/>
      <c r="BPY85" s="31"/>
      <c r="BPZ85" s="31"/>
      <c r="BQA85" s="31"/>
      <c r="BQB85" s="31"/>
      <c r="BQC85" s="31"/>
      <c r="BQD85" s="31"/>
      <c r="BQE85" s="31"/>
      <c r="BQF85" s="31"/>
      <c r="BQG85" s="31"/>
      <c r="BQH85" s="31"/>
      <c r="BQI85" s="31"/>
      <c r="BQJ85" s="31"/>
      <c r="BQK85" s="31"/>
      <c r="BQL85" s="31"/>
      <c r="BQM85" s="31"/>
      <c r="BQN85" s="31"/>
      <c r="BQO85" s="31"/>
      <c r="BQP85" s="31"/>
      <c r="BQQ85" s="31"/>
      <c r="BQR85" s="31"/>
      <c r="BQS85" s="31"/>
      <c r="BQT85" s="31"/>
      <c r="BQU85" s="31"/>
      <c r="BQV85" s="31"/>
      <c r="BQW85" s="31"/>
      <c r="BQX85" s="31"/>
      <c r="BQY85" s="31"/>
      <c r="BQZ85" s="31"/>
      <c r="BRA85" s="31"/>
      <c r="BRB85" s="31"/>
      <c r="BRC85" s="31"/>
      <c r="BRD85" s="31"/>
      <c r="BRE85" s="31"/>
      <c r="BRF85" s="31"/>
      <c r="BRG85" s="31"/>
      <c r="BRH85" s="31"/>
      <c r="BRI85" s="31"/>
      <c r="BRJ85" s="31"/>
      <c r="BRK85" s="31"/>
      <c r="BRL85" s="31"/>
      <c r="BRM85" s="31"/>
      <c r="BRN85" s="31"/>
      <c r="BRO85" s="31"/>
      <c r="BRP85" s="31"/>
      <c r="BRQ85" s="31"/>
      <c r="BRR85" s="31"/>
      <c r="BRS85" s="31"/>
      <c r="BRT85" s="31"/>
      <c r="BRU85" s="31"/>
      <c r="BRV85" s="31"/>
      <c r="BRW85" s="31"/>
      <c r="BRX85" s="31"/>
      <c r="BRY85" s="31"/>
      <c r="BRZ85" s="31"/>
      <c r="BSA85" s="31"/>
      <c r="BSB85" s="31"/>
      <c r="BSC85" s="31"/>
      <c r="BSD85" s="31"/>
      <c r="BSE85" s="31"/>
      <c r="BSF85" s="31"/>
      <c r="BSG85" s="31"/>
      <c r="BSH85" s="31"/>
      <c r="BSI85" s="31"/>
      <c r="BSJ85" s="31"/>
      <c r="BSK85" s="31"/>
      <c r="BSL85" s="31"/>
      <c r="BSM85" s="31"/>
      <c r="BSN85" s="31"/>
      <c r="BSO85" s="31"/>
      <c r="BSP85" s="31"/>
      <c r="BSQ85" s="31"/>
      <c r="BSR85" s="31"/>
      <c r="BSS85" s="31"/>
      <c r="BST85" s="31"/>
      <c r="BSU85" s="31"/>
      <c r="BSV85" s="31"/>
      <c r="BSW85" s="31"/>
      <c r="BSX85" s="31"/>
      <c r="BSY85" s="31"/>
      <c r="BSZ85" s="31"/>
      <c r="BTA85" s="31"/>
      <c r="BTB85" s="31"/>
      <c r="BTC85" s="31"/>
      <c r="BTD85" s="31"/>
      <c r="BTE85" s="31"/>
      <c r="BTF85" s="31"/>
      <c r="BTG85" s="31"/>
      <c r="BTH85" s="31"/>
      <c r="BTI85" s="31"/>
      <c r="BTJ85" s="31"/>
      <c r="BTK85" s="31"/>
      <c r="BTL85" s="31"/>
      <c r="BTM85" s="31"/>
      <c r="BTN85" s="31"/>
      <c r="BTO85" s="31"/>
      <c r="BTP85" s="31"/>
      <c r="BTQ85" s="31"/>
      <c r="BTR85" s="31"/>
      <c r="BTS85" s="31"/>
      <c r="BTT85" s="31"/>
      <c r="BTU85" s="31"/>
      <c r="BTV85" s="31"/>
      <c r="BTW85" s="31"/>
      <c r="BTX85" s="31"/>
      <c r="BTY85" s="31"/>
      <c r="BTZ85" s="31"/>
      <c r="BUA85" s="31"/>
      <c r="BUB85" s="31"/>
      <c r="BUC85" s="31"/>
      <c r="BUD85" s="31"/>
      <c r="BUE85" s="31"/>
      <c r="BUF85" s="31"/>
      <c r="BUG85" s="31"/>
      <c r="BUH85" s="31"/>
      <c r="BUI85" s="31"/>
      <c r="BUJ85" s="31"/>
      <c r="BUK85" s="31"/>
      <c r="BUL85" s="31"/>
      <c r="BUM85" s="31"/>
      <c r="BUN85" s="31"/>
      <c r="BUO85" s="31"/>
      <c r="BUP85" s="31"/>
      <c r="BUQ85" s="31"/>
      <c r="BUR85" s="31"/>
      <c r="BUS85" s="31"/>
      <c r="BUT85" s="31"/>
      <c r="BUU85" s="31"/>
      <c r="BUV85" s="31"/>
      <c r="BUW85" s="31"/>
      <c r="BUX85" s="31"/>
      <c r="BUY85" s="31"/>
      <c r="BUZ85" s="31"/>
      <c r="BVA85" s="31"/>
      <c r="BVB85" s="31"/>
      <c r="BVC85" s="31"/>
      <c r="BVD85" s="31"/>
      <c r="BVE85" s="31"/>
      <c r="BVF85" s="31"/>
      <c r="BVG85" s="31"/>
      <c r="BVH85" s="31"/>
      <c r="BVI85" s="31"/>
      <c r="BVJ85" s="31"/>
      <c r="BVK85" s="31"/>
      <c r="BVL85" s="31"/>
      <c r="BVM85" s="31"/>
      <c r="BVN85" s="31"/>
      <c r="BVO85" s="31"/>
      <c r="BVP85" s="31"/>
      <c r="BVQ85" s="31"/>
      <c r="BVR85" s="31"/>
      <c r="BVS85" s="31"/>
      <c r="BVT85" s="31"/>
      <c r="BVU85" s="31"/>
      <c r="BVV85" s="31"/>
      <c r="BVW85" s="31"/>
      <c r="BVX85" s="31"/>
      <c r="BVY85" s="31"/>
      <c r="BVZ85" s="31"/>
      <c r="BWA85" s="31"/>
      <c r="BWB85" s="31"/>
      <c r="BWC85" s="31"/>
      <c r="BWD85" s="31"/>
      <c r="BWE85" s="31"/>
      <c r="BWF85" s="31"/>
      <c r="BWG85" s="31"/>
      <c r="BWH85" s="31"/>
      <c r="BWI85" s="31"/>
      <c r="BWJ85" s="31"/>
      <c r="BWK85" s="31"/>
      <c r="BWL85" s="31"/>
      <c r="BWM85" s="31"/>
      <c r="BWN85" s="31"/>
      <c r="BWO85" s="31"/>
      <c r="BWP85" s="31"/>
      <c r="BWQ85" s="31"/>
      <c r="BWR85" s="31"/>
      <c r="BWS85" s="31"/>
      <c r="BWT85" s="31"/>
      <c r="BWU85" s="31"/>
      <c r="BWV85" s="31"/>
      <c r="BWW85" s="31"/>
      <c r="BWX85" s="31"/>
      <c r="BWY85" s="31"/>
      <c r="BWZ85" s="31"/>
      <c r="BXA85" s="31"/>
      <c r="BXB85" s="31"/>
      <c r="BXC85" s="31"/>
      <c r="BXD85" s="31"/>
      <c r="BXE85" s="31"/>
      <c r="BXF85" s="31"/>
      <c r="BXG85" s="31"/>
      <c r="BXH85" s="31"/>
      <c r="BXI85" s="31"/>
      <c r="BXJ85" s="31"/>
      <c r="BXK85" s="31"/>
      <c r="BXL85" s="31"/>
      <c r="BXM85" s="31"/>
      <c r="BXN85" s="31"/>
      <c r="BXO85" s="31"/>
      <c r="BXP85" s="31"/>
      <c r="BXQ85" s="31"/>
      <c r="BXR85" s="31"/>
      <c r="BXS85" s="31"/>
      <c r="BXT85" s="31"/>
      <c r="BXU85" s="31"/>
      <c r="BXV85" s="31"/>
      <c r="BXW85" s="31"/>
      <c r="BXX85" s="31"/>
      <c r="BXY85" s="31"/>
      <c r="BXZ85" s="31"/>
      <c r="BYA85" s="31"/>
      <c r="BYB85" s="31"/>
      <c r="BYC85" s="31"/>
      <c r="BYD85" s="31"/>
      <c r="BYE85" s="31"/>
      <c r="BYF85" s="31"/>
      <c r="BYG85" s="31"/>
      <c r="BYH85" s="31"/>
      <c r="BYI85" s="31"/>
      <c r="BYJ85" s="31"/>
      <c r="BYK85" s="31"/>
      <c r="BYL85" s="31"/>
      <c r="BYM85" s="31"/>
      <c r="BYN85" s="31"/>
      <c r="BYO85" s="31"/>
      <c r="BYP85" s="31"/>
      <c r="BYQ85" s="31"/>
      <c r="BYR85" s="31"/>
      <c r="BYS85" s="31"/>
      <c r="BYT85" s="31"/>
      <c r="BYU85" s="31"/>
      <c r="BYV85" s="31"/>
      <c r="BYW85" s="31"/>
      <c r="BYX85" s="31"/>
      <c r="BYY85" s="31"/>
      <c r="BYZ85" s="31"/>
      <c r="BZA85" s="31"/>
      <c r="BZB85" s="31"/>
      <c r="BZC85" s="31"/>
      <c r="BZD85" s="31"/>
      <c r="BZE85" s="31"/>
      <c r="BZF85" s="31"/>
      <c r="BZG85" s="31"/>
      <c r="BZH85" s="31"/>
      <c r="BZI85" s="31"/>
      <c r="BZJ85" s="31"/>
      <c r="BZK85" s="31"/>
      <c r="BZL85" s="31"/>
      <c r="BZM85" s="31"/>
      <c r="BZN85" s="31"/>
      <c r="BZO85" s="31"/>
      <c r="BZP85" s="31"/>
      <c r="BZQ85" s="31"/>
      <c r="BZR85" s="31"/>
      <c r="BZS85" s="31"/>
      <c r="BZT85" s="31"/>
      <c r="BZU85" s="31"/>
      <c r="BZV85" s="31"/>
      <c r="BZW85" s="31"/>
      <c r="BZX85" s="31"/>
      <c r="BZY85" s="31"/>
      <c r="BZZ85" s="31"/>
      <c r="CAA85" s="31"/>
      <c r="CAB85" s="31"/>
      <c r="CAC85" s="31"/>
      <c r="CAD85" s="31"/>
      <c r="CAE85" s="31"/>
      <c r="CAF85" s="31"/>
      <c r="CAG85" s="31"/>
      <c r="CAH85" s="31"/>
      <c r="CAI85" s="31"/>
      <c r="CAJ85" s="31"/>
      <c r="CAK85" s="31"/>
      <c r="CAL85" s="31"/>
      <c r="CAM85" s="31"/>
      <c r="CAN85" s="31"/>
      <c r="CAO85" s="31"/>
      <c r="CAP85" s="31"/>
      <c r="CAQ85" s="31"/>
      <c r="CAR85" s="31"/>
      <c r="CAS85" s="31"/>
      <c r="CAT85" s="31"/>
      <c r="CAU85" s="31"/>
      <c r="CAV85" s="31"/>
      <c r="CAW85" s="31"/>
      <c r="CAX85" s="31"/>
      <c r="CAY85" s="31"/>
      <c r="CAZ85" s="31"/>
      <c r="CBA85" s="31"/>
      <c r="CBB85" s="31"/>
      <c r="CBC85" s="31"/>
      <c r="CBD85" s="31"/>
      <c r="CBE85" s="31"/>
      <c r="CBF85" s="31"/>
      <c r="CBG85" s="31"/>
      <c r="CBH85" s="31"/>
      <c r="CBI85" s="31"/>
      <c r="CBJ85" s="31"/>
      <c r="CBK85" s="31"/>
      <c r="CBL85" s="31"/>
      <c r="CBM85" s="31"/>
      <c r="CBN85" s="31"/>
      <c r="CBO85" s="31"/>
      <c r="CBP85" s="31"/>
      <c r="CBQ85" s="31"/>
      <c r="CBR85" s="31"/>
      <c r="CBS85" s="31"/>
      <c r="CBT85" s="31"/>
      <c r="CBU85" s="31"/>
      <c r="CBV85" s="31"/>
      <c r="CBW85" s="31"/>
      <c r="CBX85" s="31"/>
      <c r="CBY85" s="31"/>
      <c r="CBZ85" s="31"/>
      <c r="CCA85" s="31"/>
      <c r="CCB85" s="31"/>
      <c r="CCC85" s="31"/>
      <c r="CCD85" s="31"/>
      <c r="CCE85" s="31"/>
      <c r="CCF85" s="31"/>
      <c r="CCG85" s="31"/>
      <c r="CCH85" s="31"/>
      <c r="CCI85" s="31"/>
      <c r="CCJ85" s="31"/>
      <c r="CCK85" s="31"/>
      <c r="CCL85" s="31"/>
      <c r="CCM85" s="31"/>
      <c r="CCN85" s="31"/>
      <c r="CCO85" s="31"/>
      <c r="CCP85" s="31"/>
      <c r="CCQ85" s="31"/>
      <c r="CCR85" s="31"/>
      <c r="CCS85" s="31"/>
      <c r="CCT85" s="31"/>
      <c r="CCU85" s="31"/>
      <c r="CCV85" s="31"/>
      <c r="CCW85" s="31"/>
      <c r="CCX85" s="31"/>
      <c r="CCY85" s="31"/>
      <c r="CCZ85" s="31"/>
      <c r="CDA85" s="31"/>
      <c r="CDB85" s="31"/>
      <c r="CDC85" s="31"/>
      <c r="CDD85" s="31"/>
      <c r="CDE85" s="31"/>
      <c r="CDF85" s="31"/>
      <c r="CDG85" s="31"/>
      <c r="CDH85" s="31"/>
      <c r="CDI85" s="31"/>
      <c r="CDJ85" s="31"/>
      <c r="CDK85" s="31"/>
      <c r="CDL85" s="31"/>
      <c r="CDM85" s="31"/>
      <c r="CDN85" s="31"/>
      <c r="CDO85" s="31"/>
      <c r="CDP85" s="31"/>
      <c r="CDQ85" s="31"/>
      <c r="CDR85" s="31"/>
      <c r="CDS85" s="31"/>
      <c r="CDT85" s="31"/>
      <c r="CDU85" s="31"/>
      <c r="CDV85" s="31"/>
      <c r="CDW85" s="31"/>
      <c r="CDX85" s="31"/>
      <c r="CDY85" s="31"/>
      <c r="CDZ85" s="31"/>
      <c r="CEA85" s="31"/>
      <c r="CEB85" s="31"/>
      <c r="CEC85" s="31"/>
      <c r="CED85" s="31"/>
      <c r="CEE85" s="31"/>
      <c r="CEF85" s="31"/>
      <c r="CEG85" s="31"/>
      <c r="CEH85" s="31"/>
      <c r="CEI85" s="31"/>
      <c r="CEJ85" s="31"/>
      <c r="CEK85" s="31"/>
      <c r="CEL85" s="31"/>
      <c r="CEM85" s="31"/>
      <c r="CEN85" s="31"/>
      <c r="CEO85" s="31"/>
      <c r="CEP85" s="31"/>
      <c r="CEQ85" s="31"/>
      <c r="CER85" s="31"/>
      <c r="CES85" s="31"/>
      <c r="CET85" s="31"/>
      <c r="CEU85" s="31"/>
      <c r="CEV85" s="31"/>
      <c r="CEW85" s="31"/>
      <c r="CEX85" s="31"/>
      <c r="CEY85" s="31"/>
      <c r="CEZ85" s="31"/>
      <c r="CFA85" s="31"/>
      <c r="CFB85" s="31"/>
      <c r="CFC85" s="31"/>
      <c r="CFD85" s="31"/>
      <c r="CFE85" s="31"/>
      <c r="CFF85" s="31"/>
      <c r="CFG85" s="31"/>
      <c r="CFH85" s="31"/>
      <c r="CFI85" s="31"/>
      <c r="CFJ85" s="31"/>
      <c r="CFK85" s="31"/>
      <c r="CFL85" s="31"/>
      <c r="CFM85" s="31"/>
      <c r="CFN85" s="31"/>
      <c r="CFO85" s="31"/>
      <c r="CFP85" s="31"/>
      <c r="CFQ85" s="31"/>
      <c r="CFR85" s="31"/>
      <c r="CFS85" s="31"/>
      <c r="CFT85" s="31"/>
      <c r="CFU85" s="31"/>
      <c r="CFV85" s="31"/>
      <c r="CFW85" s="31"/>
      <c r="CFX85" s="31"/>
      <c r="CFY85" s="31"/>
      <c r="CFZ85" s="31"/>
      <c r="CGA85" s="31"/>
      <c r="CGB85" s="31"/>
      <c r="CGC85" s="31"/>
      <c r="CGD85" s="31"/>
      <c r="CGE85" s="31"/>
      <c r="CGF85" s="31"/>
      <c r="CGG85" s="31"/>
      <c r="CGH85" s="31"/>
      <c r="CGI85" s="31"/>
      <c r="CGJ85" s="31"/>
      <c r="CGK85" s="31"/>
      <c r="CGL85" s="31"/>
      <c r="CGM85" s="31"/>
      <c r="CGN85" s="31"/>
      <c r="CGO85" s="31"/>
      <c r="CGP85" s="31"/>
      <c r="CGQ85" s="31"/>
      <c r="CGR85" s="31"/>
      <c r="CGS85" s="31"/>
      <c r="CGT85" s="31"/>
      <c r="CGU85" s="31"/>
      <c r="CGV85" s="31"/>
      <c r="CGW85" s="31"/>
      <c r="CGX85" s="31"/>
      <c r="CGY85" s="31"/>
      <c r="CGZ85" s="31"/>
      <c r="CHA85" s="31"/>
      <c r="CHB85" s="31"/>
      <c r="CHC85" s="31"/>
      <c r="CHD85" s="31"/>
      <c r="CHE85" s="31"/>
      <c r="CHF85" s="31"/>
      <c r="CHG85" s="31"/>
      <c r="CHH85" s="31"/>
      <c r="CHI85" s="31"/>
      <c r="CHJ85" s="31"/>
      <c r="CHK85" s="31"/>
      <c r="CHL85" s="31"/>
      <c r="CHM85" s="31"/>
      <c r="CHN85" s="31"/>
      <c r="CHO85" s="31"/>
      <c r="CHP85" s="31"/>
      <c r="CHQ85" s="31"/>
      <c r="CHR85" s="31"/>
      <c r="CHS85" s="31"/>
      <c r="CHT85" s="31"/>
      <c r="CHU85" s="31"/>
      <c r="CHV85" s="31"/>
      <c r="CHW85" s="31"/>
      <c r="CHX85" s="31"/>
      <c r="CHY85" s="31"/>
      <c r="CHZ85" s="31"/>
      <c r="CIA85" s="31"/>
      <c r="CIB85" s="31"/>
      <c r="CIC85" s="31"/>
      <c r="CID85" s="31"/>
      <c r="CIE85" s="31"/>
      <c r="CIF85" s="31"/>
      <c r="CIG85" s="31"/>
      <c r="CIH85" s="31"/>
      <c r="CII85" s="31"/>
      <c r="CIJ85" s="31"/>
      <c r="CIK85" s="31"/>
      <c r="CIL85" s="31"/>
      <c r="CIM85" s="31"/>
      <c r="CIN85" s="31"/>
      <c r="CIO85" s="31"/>
      <c r="CIP85" s="31"/>
      <c r="CIQ85" s="31"/>
      <c r="CIR85" s="31"/>
      <c r="CIS85" s="31"/>
      <c r="CIT85" s="31"/>
      <c r="CIU85" s="31"/>
      <c r="CIV85" s="31"/>
      <c r="CIW85" s="31"/>
      <c r="CIX85" s="31"/>
      <c r="CIY85" s="31"/>
      <c r="CIZ85" s="31"/>
      <c r="CJA85" s="31"/>
      <c r="CJB85" s="31"/>
      <c r="CJC85" s="31"/>
      <c r="CJD85" s="31"/>
      <c r="CJE85" s="31"/>
      <c r="CJF85" s="31"/>
      <c r="CJG85" s="31"/>
      <c r="CJH85" s="31"/>
      <c r="CJI85" s="31"/>
      <c r="CJJ85" s="31"/>
      <c r="CJK85" s="31"/>
      <c r="CJL85" s="31"/>
      <c r="CJM85" s="31"/>
      <c r="CJN85" s="31"/>
      <c r="CJO85" s="31"/>
      <c r="CJP85" s="31"/>
      <c r="CJQ85" s="31"/>
      <c r="CJR85" s="31"/>
      <c r="CJS85" s="31"/>
      <c r="CJT85" s="31"/>
      <c r="CJU85" s="31"/>
      <c r="CJV85" s="31"/>
      <c r="CJW85" s="31"/>
      <c r="CJX85" s="31"/>
      <c r="CJY85" s="31"/>
      <c r="CJZ85" s="31"/>
      <c r="CKA85" s="31"/>
      <c r="CKB85" s="31"/>
      <c r="CKC85" s="31"/>
      <c r="CKD85" s="31"/>
      <c r="CKE85" s="31"/>
      <c r="CKF85" s="31"/>
      <c r="CKG85" s="31"/>
      <c r="CKH85" s="31"/>
      <c r="CKI85" s="31"/>
      <c r="CKJ85" s="31"/>
      <c r="CKK85" s="31"/>
      <c r="CKL85" s="31"/>
      <c r="CKM85" s="31"/>
      <c r="CKN85" s="31"/>
      <c r="CKO85" s="31"/>
      <c r="CKP85" s="31"/>
      <c r="CKQ85" s="31"/>
      <c r="CKR85" s="31"/>
      <c r="CKS85" s="31"/>
      <c r="CKT85" s="31"/>
      <c r="CKU85" s="31"/>
      <c r="CKV85" s="31"/>
      <c r="CKW85" s="31"/>
      <c r="CKX85" s="31"/>
      <c r="CKY85" s="31"/>
      <c r="CKZ85" s="31"/>
      <c r="CLA85" s="31"/>
      <c r="CLB85" s="31"/>
      <c r="CLC85" s="31"/>
      <c r="CLD85" s="31"/>
      <c r="CLE85" s="31"/>
      <c r="CLF85" s="31"/>
      <c r="CLG85" s="31"/>
      <c r="CLH85" s="31"/>
      <c r="CLI85" s="31"/>
      <c r="CLJ85" s="31"/>
      <c r="CLK85" s="31"/>
      <c r="CLL85" s="31"/>
      <c r="CLM85" s="31"/>
      <c r="CLN85" s="31"/>
      <c r="CLO85" s="31"/>
      <c r="CLP85" s="31"/>
      <c r="CLQ85" s="31"/>
      <c r="CLR85" s="31"/>
      <c r="CLS85" s="31"/>
      <c r="CLT85" s="31"/>
      <c r="CLU85" s="31"/>
      <c r="CLV85" s="31"/>
      <c r="CLW85" s="31"/>
      <c r="CLX85" s="31"/>
      <c r="CLY85" s="31"/>
      <c r="CLZ85" s="31"/>
      <c r="CMA85" s="31"/>
      <c r="CMB85" s="31"/>
      <c r="CMC85" s="31"/>
      <c r="CMD85" s="31"/>
      <c r="CME85" s="31"/>
      <c r="CMF85" s="31"/>
      <c r="CMG85" s="31"/>
      <c r="CMH85" s="31"/>
      <c r="CMI85" s="31"/>
      <c r="CMJ85" s="31"/>
      <c r="CMK85" s="31"/>
      <c r="CML85" s="31"/>
      <c r="CMM85" s="31"/>
      <c r="CMN85" s="31"/>
      <c r="CMO85" s="31"/>
      <c r="CMP85" s="31"/>
      <c r="CMQ85" s="31"/>
      <c r="CMR85" s="31"/>
      <c r="CMS85" s="31"/>
      <c r="CMT85" s="31"/>
      <c r="CMU85" s="31"/>
      <c r="CMV85" s="31"/>
      <c r="CMW85" s="31"/>
      <c r="CMX85" s="31"/>
      <c r="CMY85" s="31"/>
      <c r="CMZ85" s="31"/>
      <c r="CNA85" s="31"/>
      <c r="CNB85" s="31"/>
      <c r="CNC85" s="31"/>
      <c r="CND85" s="31"/>
      <c r="CNE85" s="31"/>
      <c r="CNF85" s="31"/>
      <c r="CNG85" s="31"/>
      <c r="CNH85" s="31"/>
      <c r="CNI85" s="31"/>
      <c r="CNJ85" s="31"/>
      <c r="CNK85" s="31"/>
      <c r="CNL85" s="31"/>
      <c r="CNM85" s="31"/>
      <c r="CNN85" s="31"/>
      <c r="CNO85" s="31"/>
      <c r="CNP85" s="31"/>
      <c r="CNQ85" s="31"/>
      <c r="CNR85" s="31"/>
      <c r="CNS85" s="31"/>
      <c r="CNT85" s="31"/>
      <c r="CNU85" s="31"/>
      <c r="CNV85" s="31"/>
      <c r="CNW85" s="31"/>
      <c r="CNX85" s="31"/>
      <c r="CNY85" s="31"/>
      <c r="CNZ85" s="31"/>
      <c r="COA85" s="31"/>
      <c r="COB85" s="31"/>
      <c r="COC85" s="31"/>
      <c r="COD85" s="31"/>
      <c r="COE85" s="31"/>
      <c r="COF85" s="31"/>
      <c r="COG85" s="31"/>
      <c r="COH85" s="31"/>
      <c r="COI85" s="31"/>
      <c r="COJ85" s="31"/>
      <c r="COK85" s="31"/>
      <c r="COL85" s="31"/>
      <c r="COM85" s="31"/>
      <c r="CON85" s="31"/>
      <c r="COO85" s="31"/>
      <c r="COP85" s="31"/>
      <c r="COQ85" s="31"/>
      <c r="COR85" s="31"/>
      <c r="COS85" s="31"/>
      <c r="COT85" s="31"/>
      <c r="COU85" s="31"/>
      <c r="COV85" s="31"/>
      <c r="COW85" s="31"/>
      <c r="COX85" s="31"/>
      <c r="COY85" s="31"/>
      <c r="COZ85" s="31"/>
      <c r="CPA85" s="31"/>
      <c r="CPB85" s="31"/>
      <c r="CPC85" s="31"/>
      <c r="CPD85" s="31"/>
      <c r="CPE85" s="31"/>
      <c r="CPF85" s="31"/>
      <c r="CPG85" s="31"/>
      <c r="CPH85" s="31"/>
      <c r="CPI85" s="31"/>
      <c r="CPJ85" s="31"/>
      <c r="CPK85" s="31"/>
      <c r="CPL85" s="31"/>
      <c r="CPM85" s="31"/>
      <c r="CPN85" s="31"/>
      <c r="CPO85" s="31"/>
      <c r="CPP85" s="31"/>
      <c r="CPQ85" s="31"/>
      <c r="CPR85" s="31"/>
      <c r="CPS85" s="31"/>
      <c r="CPT85" s="31"/>
      <c r="CPU85" s="31"/>
      <c r="CPV85" s="31"/>
      <c r="CPW85" s="31"/>
      <c r="CPX85" s="31"/>
      <c r="CPY85" s="31"/>
      <c r="CPZ85" s="31"/>
      <c r="CQA85" s="31"/>
      <c r="CQB85" s="31"/>
      <c r="CQC85" s="31"/>
      <c r="CQD85" s="31"/>
      <c r="CQE85" s="31"/>
      <c r="CQF85" s="31"/>
      <c r="CQG85" s="31"/>
      <c r="CQH85" s="31"/>
      <c r="CQI85" s="31"/>
      <c r="CQJ85" s="31"/>
      <c r="CQK85" s="31"/>
      <c r="CQL85" s="31"/>
      <c r="CQM85" s="31"/>
      <c r="CQN85" s="31"/>
      <c r="CQO85" s="31"/>
      <c r="CQP85" s="31"/>
      <c r="CQQ85" s="31"/>
      <c r="CQR85" s="31"/>
      <c r="CQS85" s="31"/>
      <c r="CQT85" s="31"/>
      <c r="CQU85" s="31"/>
      <c r="CQV85" s="31"/>
      <c r="CQW85" s="31"/>
      <c r="CQX85" s="31"/>
      <c r="CQY85" s="31"/>
      <c r="CQZ85" s="31"/>
      <c r="CRA85" s="31"/>
      <c r="CRB85" s="31"/>
      <c r="CRC85" s="31"/>
      <c r="CRD85" s="31"/>
      <c r="CRE85" s="31"/>
      <c r="CRF85" s="31"/>
      <c r="CRG85" s="31"/>
      <c r="CRH85" s="31"/>
      <c r="CRI85" s="31"/>
      <c r="CRJ85" s="31"/>
      <c r="CRK85" s="31"/>
      <c r="CRL85" s="31"/>
      <c r="CRM85" s="31"/>
      <c r="CRN85" s="31"/>
      <c r="CRO85" s="31"/>
      <c r="CRP85" s="31"/>
      <c r="CRQ85" s="31"/>
      <c r="CRR85" s="31"/>
      <c r="CRS85" s="31"/>
      <c r="CRT85" s="31"/>
      <c r="CRU85" s="31"/>
      <c r="CRV85" s="31"/>
      <c r="CRW85" s="31"/>
      <c r="CRX85" s="31"/>
      <c r="CRY85" s="31"/>
      <c r="CRZ85" s="31"/>
      <c r="CSA85" s="31"/>
      <c r="CSB85" s="31"/>
      <c r="CSC85" s="31"/>
      <c r="CSD85" s="31"/>
      <c r="CSE85" s="31"/>
      <c r="CSF85" s="31"/>
      <c r="CSG85" s="31"/>
      <c r="CSH85" s="31"/>
      <c r="CSI85" s="31"/>
      <c r="CSJ85" s="31"/>
      <c r="CSK85" s="31"/>
      <c r="CSL85" s="31"/>
      <c r="CSM85" s="31"/>
      <c r="CSN85" s="31"/>
      <c r="CSO85" s="31"/>
      <c r="CSP85" s="31"/>
      <c r="CSQ85" s="31"/>
      <c r="CSR85" s="31"/>
      <c r="CSS85" s="31"/>
      <c r="CST85" s="31"/>
      <c r="CSU85" s="31"/>
      <c r="CSV85" s="31"/>
      <c r="CSW85" s="31"/>
      <c r="CSX85" s="31"/>
      <c r="CSY85" s="31"/>
      <c r="CSZ85" s="31"/>
      <c r="CTA85" s="31"/>
      <c r="CTB85" s="31"/>
      <c r="CTC85" s="31"/>
      <c r="CTD85" s="31"/>
      <c r="CTE85" s="31"/>
      <c r="CTF85" s="31"/>
      <c r="CTG85" s="31"/>
      <c r="CTH85" s="31"/>
      <c r="CTI85" s="31"/>
      <c r="CTJ85" s="31"/>
      <c r="CTK85" s="31"/>
      <c r="CTL85" s="31"/>
      <c r="CTM85" s="31"/>
      <c r="CTN85" s="31"/>
      <c r="CTO85" s="31"/>
      <c r="CTP85" s="31"/>
      <c r="CTQ85" s="31"/>
      <c r="CTR85" s="31"/>
      <c r="CTS85" s="31"/>
      <c r="CTT85" s="31"/>
      <c r="CTU85" s="31"/>
      <c r="CTV85" s="31"/>
      <c r="CTW85" s="31"/>
      <c r="CTX85" s="31"/>
      <c r="CTY85" s="31"/>
      <c r="CTZ85" s="31"/>
      <c r="CUA85" s="31"/>
      <c r="CUB85" s="31"/>
      <c r="CUC85" s="31"/>
      <c r="CUD85" s="31"/>
      <c r="CUE85" s="31"/>
      <c r="CUF85" s="31"/>
      <c r="CUG85" s="31"/>
      <c r="CUH85" s="31"/>
      <c r="CUI85" s="31"/>
      <c r="CUJ85" s="31"/>
      <c r="CUK85" s="31"/>
      <c r="CUL85" s="31"/>
      <c r="CUM85" s="31"/>
      <c r="CUN85" s="31"/>
      <c r="CUO85" s="31"/>
      <c r="CUP85" s="31"/>
      <c r="CUQ85" s="31"/>
      <c r="CUR85" s="31"/>
      <c r="CUS85" s="31"/>
      <c r="CUT85" s="31"/>
      <c r="CUU85" s="31"/>
      <c r="CUV85" s="31"/>
      <c r="CUW85" s="31"/>
      <c r="CUX85" s="31"/>
      <c r="CUY85" s="31"/>
      <c r="CUZ85" s="31"/>
      <c r="CVA85" s="31"/>
      <c r="CVB85" s="31"/>
      <c r="CVC85" s="31"/>
      <c r="CVD85" s="31"/>
      <c r="CVE85" s="31"/>
      <c r="CVF85" s="31"/>
      <c r="CVG85" s="31"/>
      <c r="CVH85" s="31"/>
      <c r="CVI85" s="31"/>
      <c r="CVJ85" s="31"/>
      <c r="CVK85" s="31"/>
      <c r="CVL85" s="31"/>
      <c r="CVM85" s="31"/>
      <c r="CVN85" s="31"/>
      <c r="CVO85" s="31"/>
      <c r="CVP85" s="31"/>
      <c r="CVQ85" s="31"/>
      <c r="CVR85" s="31"/>
      <c r="CVS85" s="31"/>
      <c r="CVT85" s="31"/>
      <c r="CVU85" s="31"/>
      <c r="CVV85" s="31"/>
      <c r="CVW85" s="31"/>
      <c r="CVX85" s="31"/>
      <c r="CVY85" s="31"/>
      <c r="CVZ85" s="31"/>
      <c r="CWA85" s="31"/>
      <c r="CWB85" s="31"/>
      <c r="CWC85" s="31"/>
      <c r="CWD85" s="31"/>
      <c r="CWE85" s="31"/>
      <c r="CWF85" s="31"/>
      <c r="CWG85" s="31"/>
      <c r="CWH85" s="31"/>
      <c r="CWI85" s="31"/>
      <c r="CWJ85" s="31"/>
      <c r="CWK85" s="31"/>
      <c r="CWL85" s="31"/>
      <c r="CWM85" s="31"/>
      <c r="CWN85" s="31"/>
      <c r="CWO85" s="31"/>
      <c r="CWP85" s="31"/>
      <c r="CWQ85" s="31"/>
      <c r="CWR85" s="31"/>
      <c r="CWS85" s="31"/>
      <c r="CWT85" s="31"/>
      <c r="CWU85" s="31"/>
      <c r="CWV85" s="31"/>
      <c r="CWW85" s="31"/>
      <c r="CWX85" s="31"/>
      <c r="CWY85" s="31"/>
      <c r="CWZ85" s="31"/>
      <c r="CXA85" s="31"/>
      <c r="CXB85" s="31"/>
      <c r="CXC85" s="31"/>
      <c r="CXD85" s="31"/>
      <c r="CXE85" s="31"/>
      <c r="CXF85" s="31"/>
      <c r="CXG85" s="31"/>
      <c r="CXH85" s="31"/>
      <c r="CXI85" s="31"/>
      <c r="CXJ85" s="31"/>
      <c r="CXK85" s="31"/>
      <c r="CXL85" s="31"/>
      <c r="CXM85" s="31"/>
      <c r="CXN85" s="31"/>
      <c r="CXO85" s="31"/>
      <c r="CXP85" s="31"/>
      <c r="CXQ85" s="31"/>
      <c r="CXR85" s="31"/>
      <c r="CXS85" s="31"/>
      <c r="CXT85" s="31"/>
      <c r="CXU85" s="31"/>
      <c r="CXV85" s="31"/>
      <c r="CXW85" s="31"/>
      <c r="CXX85" s="31"/>
      <c r="CXY85" s="31"/>
      <c r="CXZ85" s="31"/>
      <c r="CYA85" s="31"/>
      <c r="CYB85" s="31"/>
      <c r="CYC85" s="31"/>
      <c r="CYD85" s="31"/>
      <c r="CYE85" s="31"/>
      <c r="CYF85" s="31"/>
      <c r="CYG85" s="31"/>
      <c r="CYH85" s="31"/>
      <c r="CYI85" s="31"/>
      <c r="CYJ85" s="31"/>
      <c r="CYK85" s="31"/>
      <c r="CYL85" s="31"/>
      <c r="CYM85" s="31"/>
      <c r="CYN85" s="31"/>
      <c r="CYO85" s="31"/>
      <c r="CYP85" s="31"/>
      <c r="CYQ85" s="31"/>
      <c r="CYR85" s="31"/>
      <c r="CYS85" s="31"/>
      <c r="CYT85" s="31"/>
      <c r="CYU85" s="31"/>
      <c r="CYV85" s="31"/>
      <c r="CYW85" s="31"/>
      <c r="CYX85" s="31"/>
      <c r="CYY85" s="31"/>
      <c r="CYZ85" s="31"/>
      <c r="CZA85" s="31"/>
      <c r="CZB85" s="31"/>
      <c r="CZC85" s="31"/>
      <c r="CZD85" s="31"/>
      <c r="CZE85" s="31"/>
      <c r="CZF85" s="31"/>
      <c r="CZG85" s="31"/>
      <c r="CZH85" s="31"/>
      <c r="CZI85" s="31"/>
      <c r="CZJ85" s="31"/>
      <c r="CZK85" s="31"/>
      <c r="CZL85" s="31"/>
      <c r="CZM85" s="31"/>
      <c r="CZN85" s="31"/>
      <c r="CZO85" s="31"/>
      <c r="CZP85" s="31"/>
      <c r="CZQ85" s="31"/>
      <c r="CZR85" s="31"/>
      <c r="CZS85" s="31"/>
      <c r="CZT85" s="31"/>
      <c r="CZU85" s="31"/>
      <c r="CZV85" s="31"/>
      <c r="CZW85" s="31"/>
      <c r="CZX85" s="31"/>
      <c r="CZY85" s="31"/>
      <c r="CZZ85" s="31"/>
      <c r="DAA85" s="31"/>
      <c r="DAB85" s="31"/>
      <c r="DAC85" s="31"/>
      <c r="DAD85" s="31"/>
      <c r="DAE85" s="31"/>
      <c r="DAF85" s="31"/>
      <c r="DAG85" s="31"/>
      <c r="DAH85" s="31"/>
      <c r="DAI85" s="31"/>
      <c r="DAJ85" s="31"/>
      <c r="DAK85" s="31"/>
      <c r="DAL85" s="31"/>
      <c r="DAM85" s="31"/>
      <c r="DAN85" s="31"/>
      <c r="DAO85" s="31"/>
      <c r="DAP85" s="31"/>
      <c r="DAQ85" s="31"/>
      <c r="DAR85" s="31"/>
      <c r="DAS85" s="31"/>
      <c r="DAT85" s="31"/>
      <c r="DAU85" s="31"/>
      <c r="DAV85" s="31"/>
      <c r="DAW85" s="31"/>
      <c r="DAX85" s="31"/>
      <c r="DAY85" s="31"/>
      <c r="DAZ85" s="31"/>
      <c r="DBA85" s="31"/>
      <c r="DBB85" s="31"/>
      <c r="DBC85" s="31"/>
      <c r="DBD85" s="31"/>
      <c r="DBE85" s="31"/>
      <c r="DBF85" s="31"/>
      <c r="DBG85" s="31"/>
      <c r="DBH85" s="31"/>
      <c r="DBI85" s="31"/>
      <c r="DBJ85" s="31"/>
      <c r="DBK85" s="31"/>
      <c r="DBL85" s="31"/>
      <c r="DBM85" s="31"/>
      <c r="DBN85" s="31"/>
      <c r="DBO85" s="31"/>
      <c r="DBP85" s="31"/>
      <c r="DBQ85" s="31"/>
      <c r="DBR85" s="31"/>
      <c r="DBS85" s="31"/>
      <c r="DBT85" s="31"/>
      <c r="DBU85" s="31"/>
      <c r="DBV85" s="31"/>
      <c r="DBW85" s="31"/>
      <c r="DBX85" s="31"/>
      <c r="DBY85" s="31"/>
      <c r="DBZ85" s="31"/>
      <c r="DCA85" s="31"/>
      <c r="DCB85" s="31"/>
      <c r="DCC85" s="31"/>
      <c r="DCD85" s="31"/>
      <c r="DCE85" s="31"/>
      <c r="DCF85" s="31"/>
      <c r="DCG85" s="31"/>
      <c r="DCH85" s="31"/>
      <c r="DCI85" s="31"/>
      <c r="DCJ85" s="31"/>
      <c r="DCK85" s="31"/>
      <c r="DCL85" s="31"/>
      <c r="DCM85" s="31"/>
      <c r="DCN85" s="31"/>
      <c r="DCO85" s="31"/>
      <c r="DCP85" s="31"/>
      <c r="DCQ85" s="31"/>
      <c r="DCR85" s="31"/>
      <c r="DCS85" s="31"/>
      <c r="DCT85" s="31"/>
      <c r="DCU85" s="31"/>
      <c r="DCV85" s="31"/>
      <c r="DCW85" s="31"/>
      <c r="DCX85" s="31"/>
      <c r="DCY85" s="31"/>
      <c r="DCZ85" s="31"/>
      <c r="DDA85" s="31"/>
      <c r="DDB85" s="31"/>
      <c r="DDC85" s="31"/>
      <c r="DDD85" s="31"/>
      <c r="DDE85" s="31"/>
      <c r="DDF85" s="31"/>
      <c r="DDG85" s="31"/>
      <c r="DDH85" s="31"/>
      <c r="DDI85" s="31"/>
      <c r="DDJ85" s="31"/>
      <c r="DDK85" s="31"/>
      <c r="DDL85" s="31"/>
      <c r="DDM85" s="31"/>
      <c r="DDN85" s="31"/>
      <c r="DDO85" s="31"/>
      <c r="DDP85" s="31"/>
      <c r="DDQ85" s="31"/>
      <c r="DDR85" s="31"/>
      <c r="DDS85" s="31"/>
      <c r="DDT85" s="31"/>
      <c r="DDU85" s="31"/>
      <c r="DDV85" s="31"/>
      <c r="DDW85" s="31"/>
      <c r="DDX85" s="31"/>
      <c r="DDY85" s="31"/>
      <c r="DDZ85" s="31"/>
      <c r="DEA85" s="31"/>
      <c r="DEB85" s="31"/>
      <c r="DEC85" s="31"/>
      <c r="DED85" s="31"/>
      <c r="DEE85" s="31"/>
      <c r="DEF85" s="31"/>
      <c r="DEG85" s="31"/>
      <c r="DEH85" s="31"/>
      <c r="DEI85" s="31"/>
      <c r="DEJ85" s="31"/>
      <c r="DEK85" s="31"/>
      <c r="DEL85" s="31"/>
      <c r="DEM85" s="31"/>
      <c r="DEN85" s="31"/>
      <c r="DEO85" s="31"/>
      <c r="DEP85" s="31"/>
      <c r="DEQ85" s="31"/>
      <c r="DER85" s="31"/>
      <c r="DES85" s="31"/>
      <c r="DET85" s="31"/>
      <c r="DEU85" s="31"/>
      <c r="DEV85" s="31"/>
      <c r="DEW85" s="31"/>
      <c r="DEX85" s="31"/>
      <c r="DEY85" s="31"/>
      <c r="DEZ85" s="31"/>
      <c r="DFA85" s="31"/>
      <c r="DFB85" s="31"/>
      <c r="DFC85" s="31"/>
      <c r="DFD85" s="31"/>
      <c r="DFE85" s="31"/>
      <c r="DFF85" s="31"/>
      <c r="DFG85" s="31"/>
      <c r="DFH85" s="31"/>
      <c r="DFI85" s="31"/>
      <c r="DFJ85" s="31"/>
      <c r="DFK85" s="31"/>
      <c r="DFL85" s="31"/>
      <c r="DFM85" s="31"/>
      <c r="DFN85" s="31"/>
      <c r="DFO85" s="31"/>
      <c r="DFP85" s="31"/>
      <c r="DFQ85" s="31"/>
      <c r="DFR85" s="31"/>
      <c r="DFS85" s="31"/>
      <c r="DFT85" s="31"/>
      <c r="DFU85" s="31"/>
      <c r="DFV85" s="31"/>
      <c r="DFW85" s="31"/>
      <c r="DFX85" s="31"/>
      <c r="DFY85" s="31"/>
      <c r="DFZ85" s="31"/>
      <c r="DGA85" s="31"/>
      <c r="DGB85" s="31"/>
      <c r="DGC85" s="31"/>
      <c r="DGD85" s="31"/>
      <c r="DGE85" s="31"/>
      <c r="DGF85" s="31"/>
      <c r="DGG85" s="31"/>
      <c r="DGH85" s="31"/>
      <c r="DGI85" s="31"/>
      <c r="DGJ85" s="31"/>
      <c r="DGK85" s="31"/>
      <c r="DGL85" s="31"/>
      <c r="DGM85" s="31"/>
      <c r="DGN85" s="31"/>
      <c r="DGO85" s="31"/>
      <c r="DGP85" s="31"/>
      <c r="DGQ85" s="31"/>
      <c r="DGR85" s="31"/>
      <c r="DGS85" s="31"/>
      <c r="DGT85" s="31"/>
      <c r="DGU85" s="31"/>
      <c r="DGV85" s="31"/>
      <c r="DGW85" s="31"/>
      <c r="DGX85" s="31"/>
      <c r="DGY85" s="31"/>
      <c r="DGZ85" s="31"/>
      <c r="DHA85" s="31"/>
      <c r="DHB85" s="31"/>
      <c r="DHC85" s="31"/>
      <c r="DHD85" s="31"/>
      <c r="DHE85" s="31"/>
      <c r="DHF85" s="31"/>
      <c r="DHG85" s="31"/>
      <c r="DHH85" s="31"/>
      <c r="DHI85" s="31"/>
      <c r="DHJ85" s="31"/>
      <c r="DHK85" s="31"/>
      <c r="DHL85" s="31"/>
      <c r="DHM85" s="31"/>
      <c r="DHN85" s="31"/>
      <c r="DHO85" s="31"/>
      <c r="DHP85" s="31"/>
      <c r="DHQ85" s="31"/>
      <c r="DHR85" s="31"/>
      <c r="DHS85" s="31"/>
      <c r="DHT85" s="31"/>
      <c r="DHU85" s="31"/>
      <c r="DHV85" s="31"/>
      <c r="DHW85" s="31"/>
      <c r="DHX85" s="31"/>
      <c r="DHY85" s="31"/>
      <c r="DHZ85" s="31"/>
      <c r="DIA85" s="31"/>
      <c r="DIB85" s="31"/>
      <c r="DIC85" s="31"/>
      <c r="DID85" s="31"/>
      <c r="DIE85" s="31"/>
      <c r="DIF85" s="31"/>
      <c r="DIG85" s="31"/>
      <c r="DIH85" s="31"/>
      <c r="DII85" s="31"/>
      <c r="DIJ85" s="31"/>
      <c r="DIK85" s="31"/>
      <c r="DIL85" s="31"/>
      <c r="DIM85" s="31"/>
      <c r="DIN85" s="31"/>
      <c r="DIO85" s="31"/>
      <c r="DIP85" s="31"/>
      <c r="DIQ85" s="31"/>
      <c r="DIR85" s="31"/>
      <c r="DIS85" s="31"/>
      <c r="DIT85" s="31"/>
      <c r="DIU85" s="31"/>
      <c r="DIV85" s="31"/>
      <c r="DIW85" s="31"/>
      <c r="DIX85" s="31"/>
      <c r="DIY85" s="31"/>
      <c r="DIZ85" s="31"/>
      <c r="DJA85" s="31"/>
      <c r="DJB85" s="31"/>
      <c r="DJC85" s="31"/>
      <c r="DJD85" s="31"/>
      <c r="DJE85" s="31"/>
      <c r="DJF85" s="31"/>
      <c r="DJG85" s="31"/>
      <c r="DJH85" s="31"/>
      <c r="DJI85" s="31"/>
      <c r="DJJ85" s="31"/>
      <c r="DJK85" s="31"/>
      <c r="DJL85" s="31"/>
      <c r="DJM85" s="31"/>
      <c r="DJN85" s="31"/>
      <c r="DJO85" s="31"/>
      <c r="DJP85" s="31"/>
      <c r="DJQ85" s="31"/>
      <c r="DJR85" s="31"/>
      <c r="DJS85" s="31"/>
      <c r="DJT85" s="31"/>
      <c r="DJU85" s="31"/>
      <c r="DJV85" s="31"/>
      <c r="DJW85" s="31"/>
      <c r="DJX85" s="31"/>
      <c r="DJY85" s="31"/>
      <c r="DJZ85" s="31"/>
      <c r="DKA85" s="31"/>
      <c r="DKB85" s="31"/>
      <c r="DKC85" s="31"/>
      <c r="DKD85" s="31"/>
      <c r="DKE85" s="31"/>
      <c r="DKF85" s="31"/>
      <c r="DKG85" s="31"/>
      <c r="DKH85" s="31"/>
      <c r="DKI85" s="31"/>
      <c r="DKJ85" s="31"/>
      <c r="DKK85" s="31"/>
      <c r="DKL85" s="31"/>
      <c r="DKM85" s="31"/>
      <c r="DKN85" s="31"/>
      <c r="DKO85" s="31"/>
      <c r="DKP85" s="31"/>
      <c r="DKQ85" s="31"/>
      <c r="DKR85" s="31"/>
      <c r="DKS85" s="31"/>
      <c r="DKT85" s="31"/>
      <c r="DKU85" s="31"/>
      <c r="DKV85" s="31"/>
      <c r="DKW85" s="31"/>
      <c r="DKX85" s="31"/>
      <c r="DKY85" s="31"/>
      <c r="DKZ85" s="31"/>
      <c r="DLA85" s="31"/>
      <c r="DLB85" s="31"/>
      <c r="DLC85" s="31"/>
      <c r="DLD85" s="31"/>
      <c r="DLE85" s="31"/>
      <c r="DLF85" s="31"/>
      <c r="DLG85" s="31"/>
      <c r="DLH85" s="31"/>
      <c r="DLI85" s="31"/>
      <c r="DLJ85" s="31"/>
      <c r="DLK85" s="31"/>
      <c r="DLL85" s="31"/>
      <c r="DLM85" s="31"/>
      <c r="DLN85" s="31"/>
      <c r="DLO85" s="31"/>
      <c r="DLP85" s="31"/>
      <c r="DLQ85" s="31"/>
      <c r="DLR85" s="31"/>
      <c r="DLS85" s="31"/>
      <c r="DLT85" s="31"/>
      <c r="DLU85" s="31"/>
      <c r="DLV85" s="31"/>
      <c r="DLW85" s="31"/>
      <c r="DLX85" s="31"/>
      <c r="DLY85" s="31"/>
      <c r="DLZ85" s="31"/>
      <c r="DMA85" s="31"/>
      <c r="DMB85" s="31"/>
      <c r="DMC85" s="31"/>
      <c r="DMD85" s="31"/>
      <c r="DME85" s="31"/>
      <c r="DMF85" s="31"/>
      <c r="DMG85" s="31"/>
      <c r="DMH85" s="31"/>
      <c r="DMI85" s="31"/>
      <c r="DMJ85" s="31"/>
      <c r="DMK85" s="31"/>
      <c r="DML85" s="31"/>
      <c r="DMM85" s="31"/>
      <c r="DMN85" s="31"/>
      <c r="DMO85" s="31"/>
      <c r="DMP85" s="31"/>
      <c r="DMQ85" s="31"/>
      <c r="DMR85" s="31"/>
      <c r="DMS85" s="31"/>
      <c r="DMT85" s="31"/>
      <c r="DMU85" s="31"/>
      <c r="DMV85" s="31"/>
      <c r="DMW85" s="31"/>
      <c r="DMX85" s="31"/>
      <c r="DMY85" s="31"/>
      <c r="DMZ85" s="31"/>
      <c r="DNA85" s="31"/>
      <c r="DNB85" s="31"/>
      <c r="DNC85" s="31"/>
      <c r="DND85" s="31"/>
      <c r="DNE85" s="31"/>
      <c r="DNF85" s="31"/>
      <c r="DNG85" s="31"/>
      <c r="DNH85" s="31"/>
      <c r="DNI85" s="31"/>
      <c r="DNJ85" s="31"/>
      <c r="DNK85" s="31"/>
      <c r="DNL85" s="31"/>
      <c r="DNM85" s="31"/>
      <c r="DNN85" s="31"/>
      <c r="DNO85" s="31"/>
      <c r="DNP85" s="31"/>
      <c r="DNQ85" s="31"/>
      <c r="DNR85" s="31"/>
      <c r="DNS85" s="31"/>
      <c r="DNT85" s="31"/>
      <c r="DNU85" s="31"/>
      <c r="DNV85" s="31"/>
      <c r="DNW85" s="31"/>
      <c r="DNX85" s="31"/>
      <c r="DNY85" s="31"/>
      <c r="DNZ85" s="31"/>
      <c r="DOA85" s="31"/>
      <c r="DOB85" s="31"/>
      <c r="DOC85" s="31"/>
      <c r="DOD85" s="31"/>
      <c r="DOE85" s="31"/>
      <c r="DOF85" s="31"/>
      <c r="DOG85" s="31"/>
      <c r="DOH85" s="31"/>
      <c r="DOI85" s="31"/>
      <c r="DOJ85" s="31"/>
      <c r="DOK85" s="31"/>
      <c r="DOL85" s="31"/>
      <c r="DOM85" s="31"/>
      <c r="DON85" s="31"/>
      <c r="DOO85" s="31"/>
      <c r="DOP85" s="31"/>
      <c r="DOQ85" s="31"/>
      <c r="DOR85" s="31"/>
      <c r="DOS85" s="31"/>
      <c r="DOT85" s="31"/>
      <c r="DOU85" s="31"/>
      <c r="DOV85" s="31"/>
      <c r="DOW85" s="31"/>
      <c r="DOX85" s="31"/>
      <c r="DOY85" s="31"/>
      <c r="DOZ85" s="31"/>
      <c r="DPA85" s="31"/>
      <c r="DPB85" s="31"/>
      <c r="DPC85" s="31"/>
      <c r="DPD85" s="31"/>
      <c r="DPE85" s="31"/>
      <c r="DPF85" s="31"/>
      <c r="DPG85" s="31"/>
      <c r="DPH85" s="31"/>
      <c r="DPI85" s="31"/>
      <c r="DPJ85" s="31"/>
      <c r="DPK85" s="31"/>
      <c r="DPL85" s="31"/>
      <c r="DPM85" s="31"/>
      <c r="DPN85" s="31"/>
      <c r="DPO85" s="31"/>
      <c r="DPP85" s="31"/>
      <c r="DPQ85" s="31"/>
      <c r="DPR85" s="31"/>
      <c r="DPS85" s="31"/>
      <c r="DPT85" s="31"/>
      <c r="DPU85" s="31"/>
      <c r="DPV85" s="31"/>
      <c r="DPW85" s="31"/>
      <c r="DPX85" s="31"/>
      <c r="DPY85" s="31"/>
      <c r="DPZ85" s="31"/>
      <c r="DQA85" s="31"/>
      <c r="DQB85" s="31"/>
      <c r="DQC85" s="31"/>
      <c r="DQD85" s="31"/>
      <c r="DQE85" s="31"/>
      <c r="DQF85" s="31"/>
      <c r="DQG85" s="31"/>
      <c r="DQH85" s="31"/>
      <c r="DQI85" s="31"/>
      <c r="DQJ85" s="31"/>
      <c r="DQK85" s="31"/>
      <c r="DQL85" s="31"/>
      <c r="DQM85" s="31"/>
      <c r="DQN85" s="31"/>
      <c r="DQO85" s="31"/>
      <c r="DQP85" s="31"/>
      <c r="DQQ85" s="31"/>
      <c r="DQR85" s="31"/>
      <c r="DQS85" s="31"/>
      <c r="DQT85" s="31"/>
      <c r="DQU85" s="31"/>
      <c r="DQV85" s="31"/>
      <c r="DQW85" s="31"/>
      <c r="DQX85" s="31"/>
      <c r="DQY85" s="31"/>
      <c r="DQZ85" s="31"/>
      <c r="DRA85" s="31"/>
      <c r="DRB85" s="31"/>
      <c r="DRC85" s="31"/>
      <c r="DRD85" s="31"/>
      <c r="DRE85" s="31"/>
      <c r="DRF85" s="31"/>
      <c r="DRG85" s="31"/>
      <c r="DRH85" s="31"/>
      <c r="DRI85" s="31"/>
      <c r="DRJ85" s="31"/>
      <c r="DRK85" s="31"/>
      <c r="DRL85" s="31"/>
      <c r="DRM85" s="31"/>
      <c r="DRN85" s="31"/>
      <c r="DRO85" s="31"/>
      <c r="DRP85" s="31"/>
      <c r="DRQ85" s="31"/>
      <c r="DRR85" s="31"/>
      <c r="DRS85" s="31"/>
      <c r="DRT85" s="31"/>
      <c r="DRU85" s="31"/>
      <c r="DRV85" s="31"/>
      <c r="DRW85" s="31"/>
      <c r="DRX85" s="31"/>
      <c r="DRY85" s="31"/>
      <c r="DRZ85" s="31"/>
      <c r="DSA85" s="31"/>
      <c r="DSB85" s="31"/>
      <c r="DSC85" s="31"/>
      <c r="DSD85" s="31"/>
      <c r="DSE85" s="31"/>
      <c r="DSF85" s="31"/>
      <c r="DSG85" s="31"/>
      <c r="DSH85" s="31"/>
      <c r="DSI85" s="31"/>
      <c r="DSJ85" s="31"/>
      <c r="DSK85" s="31"/>
      <c r="DSL85" s="31"/>
      <c r="DSM85" s="31"/>
      <c r="DSN85" s="31"/>
      <c r="DSO85" s="31"/>
      <c r="DSP85" s="31"/>
      <c r="DSQ85" s="31"/>
      <c r="DSR85" s="31"/>
      <c r="DSS85" s="31"/>
      <c r="DST85" s="31"/>
      <c r="DSU85" s="31"/>
      <c r="DSV85" s="31"/>
      <c r="DSW85" s="31"/>
      <c r="DSX85" s="31"/>
      <c r="DSY85" s="31"/>
      <c r="DSZ85" s="31"/>
      <c r="DTA85" s="31"/>
      <c r="DTB85" s="31"/>
      <c r="DTC85" s="31"/>
      <c r="DTD85" s="31"/>
      <c r="DTE85" s="31"/>
      <c r="DTF85" s="31"/>
      <c r="DTG85" s="31"/>
      <c r="DTH85" s="31"/>
      <c r="DTI85" s="31"/>
      <c r="DTJ85" s="31"/>
      <c r="DTK85" s="31"/>
      <c r="DTL85" s="31"/>
      <c r="DTM85" s="31"/>
      <c r="DTN85" s="31"/>
      <c r="DTO85" s="31"/>
      <c r="DTP85" s="31"/>
      <c r="DTQ85" s="31"/>
      <c r="DTR85" s="31"/>
      <c r="DTS85" s="31"/>
      <c r="DTT85" s="31"/>
      <c r="DTU85" s="31"/>
      <c r="DTV85" s="31"/>
      <c r="DTW85" s="31"/>
      <c r="DTX85" s="31"/>
      <c r="DTY85" s="31"/>
      <c r="DTZ85" s="31"/>
      <c r="DUA85" s="31"/>
      <c r="DUB85" s="31"/>
      <c r="DUC85" s="31"/>
      <c r="DUD85" s="31"/>
      <c r="DUE85" s="31"/>
      <c r="DUF85" s="31"/>
      <c r="DUG85" s="31"/>
      <c r="DUH85" s="31"/>
      <c r="DUI85" s="31"/>
      <c r="DUJ85" s="31"/>
      <c r="DUK85" s="31"/>
      <c r="DUL85" s="31"/>
      <c r="DUM85" s="31"/>
      <c r="DUN85" s="31"/>
      <c r="DUO85" s="31"/>
      <c r="DUP85" s="31"/>
      <c r="DUQ85" s="31"/>
      <c r="DUR85" s="31"/>
      <c r="DUS85" s="31"/>
      <c r="DUT85" s="31"/>
      <c r="DUU85" s="31"/>
      <c r="DUV85" s="31"/>
      <c r="DUW85" s="31"/>
      <c r="DUX85" s="31"/>
      <c r="DUY85" s="31"/>
      <c r="DUZ85" s="31"/>
      <c r="DVA85" s="31"/>
      <c r="DVB85" s="31"/>
      <c r="DVC85" s="31"/>
      <c r="DVD85" s="31"/>
      <c r="DVE85" s="31"/>
      <c r="DVF85" s="31"/>
      <c r="DVG85" s="31"/>
      <c r="DVH85" s="31"/>
      <c r="DVI85" s="31"/>
      <c r="DVJ85" s="31"/>
      <c r="DVK85" s="31"/>
      <c r="DVL85" s="31"/>
      <c r="DVM85" s="31"/>
      <c r="DVN85" s="31"/>
      <c r="DVO85" s="31"/>
      <c r="DVP85" s="31"/>
      <c r="DVQ85" s="31"/>
      <c r="DVR85" s="31"/>
      <c r="DVS85" s="31"/>
      <c r="DVT85" s="31"/>
      <c r="DVU85" s="31"/>
      <c r="DVV85" s="31"/>
      <c r="DVW85" s="31"/>
      <c r="DVX85" s="31"/>
      <c r="DVY85" s="31"/>
      <c r="DVZ85" s="31"/>
      <c r="DWA85" s="31"/>
      <c r="DWB85" s="31"/>
      <c r="DWC85" s="31"/>
      <c r="DWD85" s="31"/>
      <c r="DWE85" s="31"/>
      <c r="DWF85" s="31"/>
      <c r="DWG85" s="31"/>
      <c r="DWH85" s="31"/>
      <c r="DWI85" s="31"/>
      <c r="DWJ85" s="31"/>
      <c r="DWK85" s="31"/>
      <c r="DWL85" s="31"/>
      <c r="DWM85" s="31"/>
      <c r="DWN85" s="31"/>
      <c r="DWO85" s="31"/>
      <c r="DWP85" s="31"/>
      <c r="DWQ85" s="31"/>
      <c r="DWR85" s="31"/>
      <c r="DWS85" s="31"/>
      <c r="DWT85" s="31"/>
      <c r="DWU85" s="31"/>
      <c r="DWV85" s="31"/>
      <c r="DWW85" s="31"/>
      <c r="DWX85" s="31"/>
      <c r="DWY85" s="31"/>
      <c r="DWZ85" s="31"/>
      <c r="DXA85" s="31"/>
      <c r="DXB85" s="31"/>
      <c r="DXC85" s="31"/>
      <c r="DXD85" s="31"/>
      <c r="DXE85" s="31"/>
      <c r="DXF85" s="31"/>
      <c r="DXG85" s="31"/>
      <c r="DXH85" s="31"/>
      <c r="DXI85" s="31"/>
      <c r="DXJ85" s="31"/>
      <c r="DXK85" s="31"/>
      <c r="DXL85" s="31"/>
      <c r="DXM85" s="31"/>
      <c r="DXN85" s="31"/>
      <c r="DXO85" s="31"/>
      <c r="DXP85" s="31"/>
      <c r="DXQ85" s="31"/>
      <c r="DXR85" s="31"/>
      <c r="DXS85" s="31"/>
      <c r="DXT85" s="31"/>
      <c r="DXU85" s="31"/>
      <c r="DXV85" s="31"/>
      <c r="DXW85" s="31"/>
      <c r="DXX85" s="31"/>
      <c r="DXY85" s="31"/>
      <c r="DXZ85" s="31"/>
      <c r="DYA85" s="31"/>
      <c r="DYB85" s="31"/>
      <c r="DYC85" s="31"/>
      <c r="DYD85" s="31"/>
      <c r="DYE85" s="31"/>
      <c r="DYF85" s="31"/>
      <c r="DYG85" s="31"/>
      <c r="DYH85" s="31"/>
      <c r="DYI85" s="31"/>
      <c r="DYJ85" s="31"/>
      <c r="DYK85" s="31"/>
      <c r="DYL85" s="31"/>
      <c r="DYM85" s="31"/>
      <c r="DYN85" s="31"/>
      <c r="DYO85" s="31"/>
      <c r="DYP85" s="31"/>
      <c r="DYQ85" s="31"/>
      <c r="DYR85" s="31"/>
      <c r="DYS85" s="31"/>
      <c r="DYT85" s="31"/>
      <c r="DYU85" s="31"/>
      <c r="DYV85" s="31"/>
      <c r="DYW85" s="31"/>
      <c r="DYX85" s="31"/>
      <c r="DYY85" s="31"/>
      <c r="DYZ85" s="31"/>
      <c r="DZA85" s="31"/>
      <c r="DZB85" s="31"/>
      <c r="DZC85" s="31"/>
      <c r="DZD85" s="31"/>
      <c r="DZE85" s="31"/>
      <c r="DZF85" s="31"/>
      <c r="DZG85" s="31"/>
      <c r="DZH85" s="31"/>
      <c r="DZI85" s="31"/>
      <c r="DZJ85" s="31"/>
      <c r="DZK85" s="31"/>
      <c r="DZL85" s="31"/>
      <c r="DZM85" s="31"/>
      <c r="DZN85" s="31"/>
      <c r="DZO85" s="31"/>
      <c r="DZP85" s="31"/>
      <c r="DZQ85" s="31"/>
      <c r="DZR85" s="31"/>
      <c r="DZS85" s="31"/>
      <c r="DZT85" s="31"/>
      <c r="DZU85" s="31"/>
      <c r="DZV85" s="31"/>
      <c r="DZW85" s="31"/>
      <c r="DZX85" s="31"/>
      <c r="DZY85" s="31"/>
      <c r="DZZ85" s="31"/>
      <c r="EAA85" s="31"/>
      <c r="EAB85" s="31"/>
      <c r="EAC85" s="31"/>
      <c r="EAD85" s="31"/>
      <c r="EAE85" s="31"/>
      <c r="EAF85" s="31"/>
      <c r="EAG85" s="31"/>
      <c r="EAH85" s="31"/>
      <c r="EAI85" s="31"/>
      <c r="EAJ85" s="31"/>
      <c r="EAK85" s="31"/>
      <c r="EAL85" s="31"/>
      <c r="EAM85" s="31"/>
      <c r="EAN85" s="31"/>
      <c r="EAO85" s="31"/>
      <c r="EAP85" s="31"/>
      <c r="EAQ85" s="31"/>
      <c r="EAR85" s="31"/>
      <c r="EAS85" s="31"/>
      <c r="EAT85" s="31"/>
      <c r="EAU85" s="31"/>
      <c r="EAV85" s="31"/>
      <c r="EAW85" s="31"/>
      <c r="EAX85" s="31"/>
      <c r="EAY85" s="31"/>
      <c r="EAZ85" s="31"/>
      <c r="EBA85" s="31"/>
      <c r="EBB85" s="31"/>
      <c r="EBC85" s="31"/>
      <c r="EBD85" s="31"/>
      <c r="EBE85" s="31"/>
      <c r="EBF85" s="31"/>
      <c r="EBG85" s="31"/>
      <c r="EBH85" s="31"/>
      <c r="EBI85" s="31"/>
      <c r="EBJ85" s="31"/>
      <c r="EBK85" s="31"/>
      <c r="EBL85" s="31"/>
      <c r="EBM85" s="31"/>
      <c r="EBN85" s="31"/>
      <c r="EBO85" s="31"/>
      <c r="EBP85" s="31"/>
      <c r="EBQ85" s="31"/>
      <c r="EBR85" s="31"/>
      <c r="EBS85" s="31"/>
      <c r="EBT85" s="31"/>
      <c r="EBU85" s="31"/>
      <c r="EBV85" s="31"/>
      <c r="EBW85" s="31"/>
      <c r="EBX85" s="31"/>
      <c r="EBY85" s="31"/>
      <c r="EBZ85" s="31"/>
      <c r="ECA85" s="31"/>
      <c r="ECB85" s="31"/>
      <c r="ECC85" s="31"/>
      <c r="ECD85" s="31"/>
      <c r="ECE85" s="31"/>
      <c r="ECF85" s="31"/>
      <c r="ECG85" s="31"/>
      <c r="ECH85" s="31"/>
      <c r="ECI85" s="31"/>
      <c r="ECJ85" s="31"/>
      <c r="ECK85" s="31"/>
      <c r="ECL85" s="31"/>
      <c r="ECM85" s="31"/>
      <c r="ECN85" s="31"/>
      <c r="ECO85" s="31"/>
      <c r="ECP85" s="31"/>
      <c r="ECQ85" s="31"/>
      <c r="ECR85" s="31"/>
      <c r="ECS85" s="31"/>
      <c r="ECT85" s="31"/>
      <c r="ECU85" s="31"/>
      <c r="ECV85" s="31"/>
      <c r="ECW85" s="31"/>
      <c r="ECX85" s="31"/>
      <c r="ECY85" s="31"/>
      <c r="ECZ85" s="31"/>
      <c r="EDA85" s="31"/>
      <c r="EDB85" s="31"/>
      <c r="EDC85" s="31"/>
      <c r="EDD85" s="31"/>
      <c r="EDE85" s="31"/>
      <c r="EDF85" s="31"/>
      <c r="EDG85" s="31"/>
      <c r="EDH85" s="31"/>
      <c r="EDI85" s="31"/>
      <c r="EDJ85" s="31"/>
      <c r="EDK85" s="31"/>
      <c r="EDL85" s="31"/>
      <c r="EDM85" s="31"/>
      <c r="EDN85" s="31"/>
      <c r="EDO85" s="31"/>
      <c r="EDP85" s="31"/>
      <c r="EDQ85" s="31"/>
      <c r="EDR85" s="31"/>
      <c r="EDS85" s="31"/>
      <c r="EDT85" s="31"/>
      <c r="EDU85" s="31"/>
      <c r="EDV85" s="31"/>
      <c r="EDW85" s="31"/>
      <c r="EDX85" s="31"/>
      <c r="EDY85" s="31"/>
      <c r="EDZ85" s="31"/>
      <c r="EEA85" s="31"/>
      <c r="EEB85" s="31"/>
      <c r="EEC85" s="31"/>
      <c r="EED85" s="31"/>
      <c r="EEE85" s="31"/>
      <c r="EEF85" s="31"/>
      <c r="EEG85" s="31"/>
      <c r="EEH85" s="31"/>
      <c r="EEI85" s="31"/>
      <c r="EEJ85" s="31"/>
      <c r="EEK85" s="31"/>
      <c r="EEL85" s="31"/>
      <c r="EEM85" s="31"/>
      <c r="EEN85" s="31"/>
      <c r="EEO85" s="31"/>
      <c r="EEP85" s="31"/>
      <c r="EEQ85" s="31"/>
      <c r="EER85" s="31"/>
      <c r="EES85" s="31"/>
      <c r="EET85" s="31"/>
      <c r="EEU85" s="31"/>
      <c r="EEV85" s="31"/>
      <c r="EEW85" s="31"/>
      <c r="EEX85" s="31"/>
      <c r="EEY85" s="31"/>
      <c r="EEZ85" s="31"/>
      <c r="EFA85" s="31"/>
      <c r="EFB85" s="31"/>
      <c r="EFC85" s="31"/>
      <c r="EFD85" s="31"/>
      <c r="EFE85" s="31"/>
      <c r="EFF85" s="31"/>
      <c r="EFG85" s="31"/>
      <c r="EFH85" s="31"/>
      <c r="EFI85" s="31"/>
      <c r="EFJ85" s="31"/>
      <c r="EFK85" s="31"/>
      <c r="EFL85" s="31"/>
      <c r="EFM85" s="31"/>
      <c r="EFN85" s="31"/>
      <c r="EFO85" s="31"/>
      <c r="EFP85" s="31"/>
      <c r="EFQ85" s="31"/>
      <c r="EFR85" s="31"/>
      <c r="EFS85" s="31"/>
      <c r="EFT85" s="31"/>
      <c r="EFU85" s="31"/>
      <c r="EFV85" s="31"/>
      <c r="EFW85" s="31"/>
      <c r="EFX85" s="31"/>
      <c r="EFY85" s="31"/>
      <c r="EFZ85" s="31"/>
      <c r="EGA85" s="31"/>
      <c r="EGB85" s="31"/>
      <c r="EGC85" s="31"/>
      <c r="EGD85" s="31"/>
      <c r="EGE85" s="31"/>
      <c r="EGF85" s="31"/>
      <c r="EGG85" s="31"/>
      <c r="EGH85" s="31"/>
      <c r="EGI85" s="31"/>
      <c r="EGJ85" s="31"/>
      <c r="EGK85" s="31"/>
      <c r="EGL85" s="31"/>
      <c r="EGM85" s="31"/>
      <c r="EGN85" s="31"/>
      <c r="EGO85" s="31"/>
      <c r="EGP85" s="31"/>
      <c r="EGQ85" s="31"/>
      <c r="EGR85" s="31"/>
      <c r="EGS85" s="31"/>
      <c r="EGT85" s="31"/>
      <c r="EGU85" s="31"/>
      <c r="EGV85" s="31"/>
      <c r="EGW85" s="31"/>
      <c r="EGX85" s="31"/>
      <c r="EGY85" s="31"/>
      <c r="EGZ85" s="31"/>
      <c r="EHA85" s="31"/>
      <c r="EHB85" s="31"/>
      <c r="EHC85" s="31"/>
      <c r="EHD85" s="31"/>
      <c r="EHE85" s="31"/>
      <c r="EHF85" s="31"/>
      <c r="EHG85" s="31"/>
      <c r="EHH85" s="31"/>
      <c r="EHI85" s="31"/>
      <c r="EHJ85" s="31"/>
      <c r="EHK85" s="31"/>
      <c r="EHL85" s="31"/>
      <c r="EHM85" s="31"/>
      <c r="EHN85" s="31"/>
      <c r="EHO85" s="31"/>
      <c r="EHP85" s="31"/>
      <c r="EHQ85" s="31"/>
      <c r="EHR85" s="31"/>
      <c r="EHS85" s="31"/>
      <c r="EHT85" s="31"/>
      <c r="EHU85" s="31"/>
      <c r="EHV85" s="31"/>
      <c r="EHW85" s="31"/>
      <c r="EHX85" s="31"/>
      <c r="EHY85" s="31"/>
      <c r="EHZ85" s="31"/>
      <c r="EIA85" s="31"/>
      <c r="EIB85" s="31"/>
      <c r="EIC85" s="31"/>
      <c r="EID85" s="31"/>
      <c r="EIE85" s="31"/>
      <c r="EIF85" s="31"/>
      <c r="EIG85" s="31"/>
      <c r="EIH85" s="31"/>
      <c r="EII85" s="31"/>
      <c r="EIJ85" s="31"/>
      <c r="EIK85" s="31"/>
      <c r="EIL85" s="31"/>
      <c r="EIM85" s="31"/>
      <c r="EIN85" s="31"/>
      <c r="EIO85" s="31"/>
      <c r="EIP85" s="31"/>
      <c r="EIQ85" s="31"/>
      <c r="EIR85" s="31"/>
      <c r="EIS85" s="31"/>
      <c r="EIT85" s="31"/>
      <c r="EIU85" s="31"/>
      <c r="EIV85" s="31"/>
      <c r="EIW85" s="31"/>
      <c r="EIX85" s="31"/>
      <c r="EIY85" s="31"/>
      <c r="EIZ85" s="31"/>
      <c r="EJA85" s="31"/>
      <c r="EJB85" s="31"/>
      <c r="EJC85" s="31"/>
      <c r="EJD85" s="31"/>
      <c r="EJE85" s="31"/>
      <c r="EJF85" s="31"/>
      <c r="EJG85" s="31"/>
      <c r="EJH85" s="31"/>
      <c r="EJI85" s="31"/>
      <c r="EJJ85" s="31"/>
      <c r="EJK85" s="31"/>
      <c r="EJL85" s="31"/>
      <c r="EJM85" s="31"/>
      <c r="EJN85" s="31"/>
      <c r="EJO85" s="31"/>
      <c r="EJP85" s="31"/>
      <c r="EJQ85" s="31"/>
      <c r="EJR85" s="31"/>
      <c r="EJS85" s="31"/>
      <c r="EJT85" s="31"/>
      <c r="EJU85" s="31"/>
      <c r="EJV85" s="31"/>
      <c r="EJW85" s="31"/>
      <c r="EJX85" s="31"/>
      <c r="EJY85" s="31"/>
      <c r="EJZ85" s="31"/>
      <c r="EKA85" s="31"/>
      <c r="EKB85" s="31"/>
      <c r="EKC85" s="31"/>
      <c r="EKD85" s="31"/>
      <c r="EKE85" s="31"/>
      <c r="EKF85" s="31"/>
      <c r="EKG85" s="31"/>
      <c r="EKH85" s="31"/>
      <c r="EKI85" s="31"/>
      <c r="EKJ85" s="31"/>
      <c r="EKK85" s="31"/>
      <c r="EKL85" s="31"/>
      <c r="EKM85" s="31"/>
      <c r="EKN85" s="31"/>
      <c r="EKO85" s="31"/>
      <c r="EKP85" s="31"/>
      <c r="EKQ85" s="31"/>
      <c r="EKR85" s="31"/>
      <c r="EKS85" s="31"/>
      <c r="EKT85" s="31"/>
      <c r="EKU85" s="31"/>
      <c r="EKV85" s="31"/>
      <c r="EKW85" s="31"/>
      <c r="EKX85" s="31"/>
      <c r="EKY85" s="31"/>
      <c r="EKZ85" s="31"/>
      <c r="ELA85" s="31"/>
      <c r="ELB85" s="31"/>
      <c r="ELC85" s="31"/>
      <c r="ELD85" s="31"/>
      <c r="ELE85" s="31"/>
      <c r="ELF85" s="31"/>
      <c r="ELG85" s="31"/>
      <c r="ELH85" s="31"/>
      <c r="ELI85" s="31"/>
      <c r="ELJ85" s="31"/>
      <c r="ELK85" s="31"/>
      <c r="ELL85" s="31"/>
      <c r="ELM85" s="31"/>
      <c r="ELN85" s="31"/>
      <c r="ELO85" s="31"/>
      <c r="ELP85" s="31"/>
      <c r="ELQ85" s="31"/>
      <c r="ELR85" s="31"/>
      <c r="ELS85" s="31"/>
      <c r="ELT85" s="31"/>
      <c r="ELU85" s="31"/>
      <c r="ELV85" s="31"/>
      <c r="ELW85" s="31"/>
      <c r="ELX85" s="31"/>
      <c r="ELY85" s="31"/>
      <c r="ELZ85" s="31"/>
      <c r="EMA85" s="31"/>
      <c r="EMB85" s="31"/>
      <c r="EMC85" s="31"/>
      <c r="EMD85" s="31"/>
      <c r="EME85" s="31"/>
      <c r="EMF85" s="31"/>
      <c r="EMG85" s="31"/>
      <c r="EMH85" s="31"/>
      <c r="EMI85" s="31"/>
      <c r="EMJ85" s="31"/>
      <c r="EMK85" s="31"/>
      <c r="EML85" s="31"/>
      <c r="EMM85" s="31"/>
      <c r="EMN85" s="31"/>
      <c r="EMO85" s="31"/>
      <c r="EMP85" s="31"/>
      <c r="EMQ85" s="31"/>
      <c r="EMR85" s="31"/>
      <c r="EMS85" s="31"/>
      <c r="EMT85" s="31"/>
      <c r="EMU85" s="31"/>
      <c r="EMV85" s="31"/>
      <c r="EMW85" s="31"/>
      <c r="EMX85" s="31"/>
      <c r="EMY85" s="31"/>
      <c r="EMZ85" s="31"/>
      <c r="ENA85" s="31"/>
      <c r="ENB85" s="31"/>
      <c r="ENC85" s="31"/>
      <c r="END85" s="31"/>
      <c r="ENE85" s="31"/>
      <c r="ENF85" s="31"/>
      <c r="ENG85" s="31"/>
      <c r="ENH85" s="31"/>
      <c r="ENI85" s="31"/>
      <c r="ENJ85" s="31"/>
      <c r="ENK85" s="31"/>
      <c r="ENL85" s="31"/>
      <c r="ENM85" s="31"/>
      <c r="ENN85" s="31"/>
      <c r="ENO85" s="31"/>
      <c r="ENP85" s="31"/>
      <c r="ENQ85" s="31"/>
      <c r="ENR85" s="31"/>
      <c r="ENS85" s="31"/>
      <c r="ENT85" s="31"/>
      <c r="ENU85" s="31"/>
      <c r="ENV85" s="31"/>
      <c r="ENW85" s="31"/>
      <c r="ENX85" s="31"/>
      <c r="ENY85" s="31"/>
      <c r="ENZ85" s="31"/>
      <c r="EOA85" s="31"/>
      <c r="EOB85" s="31"/>
      <c r="EOC85" s="31"/>
      <c r="EOD85" s="31"/>
      <c r="EOE85" s="31"/>
      <c r="EOF85" s="31"/>
      <c r="EOG85" s="31"/>
      <c r="EOH85" s="31"/>
      <c r="EOI85" s="31"/>
      <c r="EOJ85" s="31"/>
      <c r="EOK85" s="31"/>
      <c r="EOL85" s="31"/>
      <c r="EOM85" s="31"/>
      <c r="EON85" s="31"/>
      <c r="EOO85" s="31"/>
      <c r="EOP85" s="31"/>
      <c r="EOQ85" s="31"/>
      <c r="EOR85" s="31"/>
      <c r="EOS85" s="31"/>
      <c r="EOT85" s="31"/>
      <c r="EOU85" s="31"/>
      <c r="EOV85" s="31"/>
      <c r="EOW85" s="31"/>
      <c r="EOX85" s="31"/>
      <c r="EOY85" s="31"/>
      <c r="EOZ85" s="31"/>
      <c r="EPA85" s="31"/>
      <c r="EPB85" s="31"/>
      <c r="EPC85" s="31"/>
      <c r="EPD85" s="31"/>
      <c r="EPE85" s="31"/>
      <c r="EPF85" s="31"/>
      <c r="EPG85" s="31"/>
      <c r="EPH85" s="31"/>
      <c r="EPI85" s="31"/>
      <c r="EPJ85" s="31"/>
      <c r="EPK85" s="31"/>
      <c r="EPL85" s="31"/>
      <c r="EPM85" s="31"/>
      <c r="EPN85" s="31"/>
      <c r="EPO85" s="31"/>
      <c r="EPP85" s="31"/>
      <c r="EPQ85" s="31"/>
      <c r="EPR85" s="31"/>
      <c r="EPS85" s="31"/>
      <c r="EPT85" s="31"/>
      <c r="EPU85" s="31"/>
      <c r="EPV85" s="31"/>
      <c r="EPW85" s="31"/>
      <c r="EPX85" s="31"/>
      <c r="EPY85" s="31"/>
      <c r="EPZ85" s="31"/>
      <c r="EQA85" s="31"/>
      <c r="EQB85" s="31"/>
      <c r="EQC85" s="31"/>
      <c r="EQD85" s="31"/>
      <c r="EQE85" s="31"/>
      <c r="EQF85" s="31"/>
      <c r="EQG85" s="31"/>
      <c r="EQH85" s="31"/>
      <c r="EQI85" s="31"/>
      <c r="EQJ85" s="31"/>
      <c r="EQK85" s="31"/>
      <c r="EQL85" s="31"/>
      <c r="EQM85" s="31"/>
      <c r="EQN85" s="31"/>
      <c r="EQO85" s="31"/>
      <c r="EQP85" s="31"/>
      <c r="EQQ85" s="31"/>
      <c r="EQR85" s="31"/>
      <c r="EQS85" s="31"/>
      <c r="EQT85" s="31"/>
      <c r="EQU85" s="31"/>
      <c r="EQV85" s="31"/>
      <c r="EQW85" s="31"/>
      <c r="EQX85" s="31"/>
      <c r="EQY85" s="31"/>
      <c r="EQZ85" s="31"/>
      <c r="ERA85" s="31"/>
      <c r="ERB85" s="31"/>
      <c r="ERC85" s="31"/>
      <c r="ERD85" s="31"/>
      <c r="ERE85" s="31"/>
      <c r="ERF85" s="31"/>
      <c r="ERG85" s="31"/>
      <c r="ERH85" s="31"/>
      <c r="ERI85" s="31"/>
      <c r="ERJ85" s="31"/>
      <c r="ERK85" s="31"/>
      <c r="ERL85" s="31"/>
      <c r="ERM85" s="31"/>
      <c r="ERN85" s="31"/>
      <c r="ERO85" s="31"/>
      <c r="ERP85" s="31"/>
      <c r="ERQ85" s="31"/>
      <c r="ERR85" s="31"/>
      <c r="ERS85" s="31"/>
      <c r="ERT85" s="31"/>
      <c r="ERU85" s="31"/>
      <c r="ERV85" s="31"/>
      <c r="ERW85" s="31"/>
      <c r="ERX85" s="31"/>
      <c r="ERY85" s="31"/>
      <c r="ERZ85" s="31"/>
      <c r="ESA85" s="31"/>
      <c r="ESB85" s="31"/>
      <c r="ESC85" s="31"/>
      <c r="ESD85" s="31"/>
      <c r="ESE85" s="31"/>
      <c r="ESF85" s="31"/>
      <c r="ESG85" s="31"/>
      <c r="ESH85" s="31"/>
      <c r="ESI85" s="31"/>
      <c r="ESJ85" s="31"/>
      <c r="ESK85" s="31"/>
      <c r="ESL85" s="31"/>
      <c r="ESM85" s="31"/>
      <c r="ESN85" s="31"/>
      <c r="ESO85" s="31"/>
      <c r="ESP85" s="31"/>
      <c r="ESQ85" s="31"/>
      <c r="ESR85" s="31"/>
      <c r="ESS85" s="31"/>
      <c r="EST85" s="31"/>
      <c r="ESU85" s="31"/>
      <c r="ESV85" s="31"/>
      <c r="ESW85" s="31"/>
      <c r="ESX85" s="31"/>
      <c r="ESY85" s="31"/>
      <c r="ESZ85" s="31"/>
      <c r="ETA85" s="31"/>
      <c r="ETB85" s="31"/>
      <c r="ETC85" s="31"/>
      <c r="ETD85" s="31"/>
      <c r="ETE85" s="31"/>
      <c r="ETF85" s="31"/>
      <c r="ETG85" s="31"/>
      <c r="ETH85" s="31"/>
      <c r="ETI85" s="31"/>
      <c r="ETJ85" s="31"/>
      <c r="ETK85" s="31"/>
      <c r="ETL85" s="31"/>
      <c r="ETM85" s="31"/>
      <c r="ETN85" s="31"/>
      <c r="ETO85" s="31"/>
      <c r="ETP85" s="31"/>
      <c r="ETQ85" s="31"/>
      <c r="ETR85" s="31"/>
      <c r="ETS85" s="31"/>
      <c r="ETT85" s="31"/>
      <c r="ETU85" s="31"/>
      <c r="ETV85" s="31"/>
      <c r="ETW85" s="31"/>
      <c r="ETX85" s="31"/>
      <c r="ETY85" s="31"/>
      <c r="ETZ85" s="31"/>
      <c r="EUA85" s="31"/>
      <c r="EUB85" s="31"/>
      <c r="EUC85" s="31"/>
      <c r="EUD85" s="31"/>
      <c r="EUE85" s="31"/>
      <c r="EUF85" s="31"/>
      <c r="EUG85" s="31"/>
      <c r="EUH85" s="31"/>
      <c r="EUI85" s="31"/>
      <c r="EUJ85" s="31"/>
      <c r="EUK85" s="31"/>
      <c r="EUL85" s="31"/>
      <c r="EUM85" s="31"/>
      <c r="EUN85" s="31"/>
      <c r="EUO85" s="31"/>
      <c r="EUP85" s="31"/>
      <c r="EUQ85" s="31"/>
      <c r="EUR85" s="31"/>
      <c r="EUS85" s="31"/>
      <c r="EUT85" s="31"/>
      <c r="EUU85" s="31"/>
      <c r="EUV85" s="31"/>
      <c r="EUW85" s="31"/>
      <c r="EUX85" s="31"/>
      <c r="EUY85" s="31"/>
      <c r="EUZ85" s="31"/>
      <c r="EVA85" s="31"/>
      <c r="EVB85" s="31"/>
      <c r="EVC85" s="31"/>
      <c r="EVD85" s="31"/>
      <c r="EVE85" s="31"/>
      <c r="EVF85" s="31"/>
      <c r="EVG85" s="31"/>
      <c r="EVH85" s="31"/>
      <c r="EVI85" s="31"/>
      <c r="EVJ85" s="31"/>
      <c r="EVK85" s="31"/>
      <c r="EVL85" s="31"/>
      <c r="EVM85" s="31"/>
      <c r="EVN85" s="31"/>
      <c r="EVO85" s="31"/>
      <c r="EVP85" s="31"/>
      <c r="EVQ85" s="31"/>
      <c r="EVR85" s="31"/>
      <c r="EVS85" s="31"/>
      <c r="EVT85" s="31"/>
      <c r="EVU85" s="31"/>
      <c r="EVV85" s="31"/>
      <c r="EVW85" s="31"/>
      <c r="EVX85" s="31"/>
      <c r="EVY85" s="31"/>
      <c r="EVZ85" s="31"/>
      <c r="EWA85" s="31"/>
      <c r="EWB85" s="31"/>
      <c r="EWC85" s="31"/>
      <c r="EWD85" s="31"/>
      <c r="EWE85" s="31"/>
      <c r="EWF85" s="31"/>
      <c r="EWG85" s="31"/>
      <c r="EWH85" s="31"/>
      <c r="EWI85" s="31"/>
      <c r="EWJ85" s="31"/>
      <c r="EWK85" s="31"/>
      <c r="EWL85" s="31"/>
      <c r="EWM85" s="31"/>
      <c r="EWN85" s="31"/>
      <c r="EWO85" s="31"/>
      <c r="EWP85" s="31"/>
      <c r="EWQ85" s="31"/>
      <c r="EWR85" s="31"/>
      <c r="EWS85" s="31"/>
      <c r="EWT85" s="31"/>
      <c r="EWU85" s="31"/>
      <c r="EWV85" s="31"/>
      <c r="EWW85" s="31"/>
      <c r="EWX85" s="31"/>
      <c r="EWY85" s="31"/>
      <c r="EWZ85" s="31"/>
      <c r="EXA85" s="31"/>
      <c r="EXB85" s="31"/>
      <c r="EXC85" s="31"/>
      <c r="EXD85" s="31"/>
      <c r="EXE85" s="31"/>
      <c r="EXF85" s="31"/>
      <c r="EXG85" s="31"/>
      <c r="EXH85" s="31"/>
      <c r="EXI85" s="31"/>
      <c r="EXJ85" s="31"/>
      <c r="EXK85" s="31"/>
      <c r="EXL85" s="31"/>
      <c r="EXM85" s="31"/>
      <c r="EXN85" s="31"/>
      <c r="EXO85" s="31"/>
      <c r="EXP85" s="31"/>
      <c r="EXQ85" s="31"/>
      <c r="EXR85" s="31"/>
      <c r="EXS85" s="31"/>
      <c r="EXT85" s="31"/>
      <c r="EXU85" s="31"/>
      <c r="EXV85" s="31"/>
      <c r="EXW85" s="31"/>
      <c r="EXX85" s="31"/>
      <c r="EXY85" s="31"/>
      <c r="EXZ85" s="31"/>
      <c r="EYA85" s="31"/>
      <c r="EYB85" s="31"/>
      <c r="EYC85" s="31"/>
      <c r="EYD85" s="31"/>
      <c r="EYE85" s="31"/>
      <c r="EYF85" s="31"/>
      <c r="EYG85" s="31"/>
      <c r="EYH85" s="31"/>
      <c r="EYI85" s="31"/>
      <c r="EYJ85" s="31"/>
      <c r="EYK85" s="31"/>
      <c r="EYL85" s="31"/>
      <c r="EYM85" s="31"/>
      <c r="EYN85" s="31"/>
      <c r="EYO85" s="31"/>
      <c r="EYP85" s="31"/>
      <c r="EYQ85" s="31"/>
      <c r="EYR85" s="31"/>
      <c r="EYS85" s="31"/>
      <c r="EYT85" s="31"/>
      <c r="EYU85" s="31"/>
      <c r="EYV85" s="31"/>
      <c r="EYW85" s="31"/>
      <c r="EYX85" s="31"/>
      <c r="EYY85" s="31"/>
      <c r="EYZ85" s="31"/>
      <c r="EZA85" s="31"/>
      <c r="EZB85" s="31"/>
      <c r="EZC85" s="31"/>
      <c r="EZD85" s="31"/>
      <c r="EZE85" s="31"/>
      <c r="EZF85" s="31"/>
      <c r="EZG85" s="31"/>
      <c r="EZH85" s="31"/>
      <c r="EZI85" s="31"/>
      <c r="EZJ85" s="31"/>
      <c r="EZK85" s="31"/>
      <c r="EZL85" s="31"/>
      <c r="EZM85" s="31"/>
      <c r="EZN85" s="31"/>
      <c r="EZO85" s="31"/>
      <c r="EZP85" s="31"/>
      <c r="EZQ85" s="31"/>
      <c r="EZR85" s="31"/>
      <c r="EZS85" s="31"/>
      <c r="EZT85" s="31"/>
      <c r="EZU85" s="31"/>
      <c r="EZV85" s="31"/>
      <c r="EZW85" s="31"/>
      <c r="EZX85" s="31"/>
      <c r="EZY85" s="31"/>
      <c r="EZZ85" s="31"/>
      <c r="FAA85" s="31"/>
      <c r="FAB85" s="31"/>
      <c r="FAC85" s="31"/>
      <c r="FAD85" s="31"/>
      <c r="FAE85" s="31"/>
      <c r="FAF85" s="31"/>
      <c r="FAG85" s="31"/>
      <c r="FAH85" s="31"/>
      <c r="FAI85" s="31"/>
      <c r="FAJ85" s="31"/>
      <c r="FAK85" s="31"/>
      <c r="FAL85" s="31"/>
      <c r="FAM85" s="31"/>
      <c r="FAN85" s="31"/>
      <c r="FAO85" s="31"/>
      <c r="FAP85" s="31"/>
      <c r="FAQ85" s="31"/>
      <c r="FAR85" s="31"/>
      <c r="FAS85" s="31"/>
      <c r="FAT85" s="31"/>
      <c r="FAU85" s="31"/>
      <c r="FAV85" s="31"/>
      <c r="FAW85" s="31"/>
      <c r="FAX85" s="31"/>
      <c r="FAY85" s="31"/>
      <c r="FAZ85" s="31"/>
      <c r="FBA85" s="31"/>
      <c r="FBB85" s="31"/>
      <c r="FBC85" s="31"/>
      <c r="FBD85" s="31"/>
      <c r="FBE85" s="31"/>
      <c r="FBF85" s="31"/>
      <c r="FBG85" s="31"/>
      <c r="FBH85" s="31"/>
      <c r="FBI85" s="31"/>
      <c r="FBJ85" s="31"/>
      <c r="FBK85" s="31"/>
      <c r="FBL85" s="31"/>
      <c r="FBM85" s="31"/>
      <c r="FBN85" s="31"/>
      <c r="FBO85" s="31"/>
      <c r="FBP85" s="31"/>
      <c r="FBQ85" s="31"/>
      <c r="FBR85" s="31"/>
      <c r="FBS85" s="31"/>
      <c r="FBT85" s="31"/>
      <c r="FBU85" s="31"/>
      <c r="FBV85" s="31"/>
      <c r="FBW85" s="31"/>
      <c r="FBX85" s="31"/>
      <c r="FBY85" s="31"/>
      <c r="FBZ85" s="31"/>
      <c r="FCA85" s="31"/>
      <c r="FCB85" s="31"/>
      <c r="FCC85" s="31"/>
      <c r="FCD85" s="31"/>
      <c r="FCE85" s="31"/>
      <c r="FCF85" s="31"/>
      <c r="FCG85" s="31"/>
      <c r="FCH85" s="31"/>
      <c r="FCI85" s="31"/>
      <c r="FCJ85" s="31"/>
      <c r="FCK85" s="31"/>
      <c r="FCL85" s="31"/>
      <c r="FCM85" s="31"/>
      <c r="FCN85" s="31"/>
      <c r="FCO85" s="31"/>
      <c r="FCP85" s="31"/>
      <c r="FCQ85" s="31"/>
      <c r="FCR85" s="31"/>
      <c r="FCS85" s="31"/>
      <c r="FCT85" s="31"/>
      <c r="FCU85" s="31"/>
      <c r="FCV85" s="31"/>
      <c r="FCW85" s="31"/>
      <c r="FCX85" s="31"/>
      <c r="FCY85" s="31"/>
      <c r="FCZ85" s="31"/>
      <c r="FDA85" s="31"/>
      <c r="FDB85" s="31"/>
      <c r="FDC85" s="31"/>
      <c r="FDD85" s="31"/>
      <c r="FDE85" s="31"/>
      <c r="FDF85" s="31"/>
      <c r="FDG85" s="31"/>
      <c r="FDH85" s="31"/>
      <c r="FDI85" s="31"/>
      <c r="FDJ85" s="31"/>
      <c r="FDK85" s="31"/>
      <c r="FDL85" s="31"/>
      <c r="FDM85" s="31"/>
      <c r="FDN85" s="31"/>
      <c r="FDO85" s="31"/>
      <c r="FDP85" s="31"/>
      <c r="FDQ85" s="31"/>
      <c r="FDR85" s="31"/>
      <c r="FDS85" s="31"/>
      <c r="FDT85" s="31"/>
      <c r="FDU85" s="31"/>
      <c r="FDV85" s="31"/>
      <c r="FDW85" s="31"/>
      <c r="FDX85" s="31"/>
      <c r="FDY85" s="31"/>
      <c r="FDZ85" s="31"/>
      <c r="FEA85" s="31"/>
      <c r="FEB85" s="31"/>
      <c r="FEC85" s="31"/>
      <c r="FED85" s="31"/>
      <c r="FEE85" s="31"/>
      <c r="FEF85" s="31"/>
      <c r="FEG85" s="31"/>
      <c r="FEH85" s="31"/>
      <c r="FEI85" s="31"/>
      <c r="FEJ85" s="31"/>
      <c r="FEK85" s="31"/>
      <c r="FEL85" s="31"/>
      <c r="FEM85" s="31"/>
      <c r="FEN85" s="31"/>
      <c r="FEO85" s="31"/>
      <c r="FEP85" s="31"/>
      <c r="FEQ85" s="31"/>
      <c r="FER85" s="31"/>
      <c r="FES85" s="31"/>
      <c r="FET85" s="31"/>
      <c r="FEU85" s="31"/>
      <c r="FEV85" s="31"/>
      <c r="FEW85" s="31"/>
      <c r="FEX85" s="31"/>
      <c r="FEY85" s="31"/>
      <c r="FEZ85" s="31"/>
      <c r="FFA85" s="31"/>
      <c r="FFB85" s="31"/>
      <c r="FFC85" s="31"/>
      <c r="FFD85" s="31"/>
      <c r="FFE85" s="31"/>
      <c r="FFF85" s="31"/>
      <c r="FFG85" s="31"/>
      <c r="FFH85" s="31"/>
      <c r="FFI85" s="31"/>
      <c r="FFJ85" s="31"/>
      <c r="FFK85" s="31"/>
      <c r="FFL85" s="31"/>
      <c r="FFM85" s="31"/>
      <c r="FFN85" s="31"/>
      <c r="FFO85" s="31"/>
      <c r="FFP85" s="31"/>
      <c r="FFQ85" s="31"/>
      <c r="FFR85" s="31"/>
      <c r="FFS85" s="31"/>
      <c r="FFT85" s="31"/>
      <c r="FFU85" s="31"/>
      <c r="FFV85" s="31"/>
      <c r="FFW85" s="31"/>
      <c r="FFX85" s="31"/>
      <c r="FFY85" s="31"/>
      <c r="FFZ85" s="31"/>
      <c r="FGA85" s="31"/>
      <c r="FGB85" s="31"/>
      <c r="FGC85" s="31"/>
      <c r="FGD85" s="31"/>
      <c r="FGE85" s="31"/>
      <c r="FGF85" s="31"/>
      <c r="FGG85" s="31"/>
      <c r="FGH85" s="31"/>
      <c r="FGI85" s="31"/>
      <c r="FGJ85" s="31"/>
      <c r="FGK85" s="31"/>
      <c r="FGL85" s="31"/>
      <c r="FGM85" s="31"/>
      <c r="FGN85" s="31"/>
      <c r="FGO85" s="31"/>
      <c r="FGP85" s="31"/>
      <c r="FGQ85" s="31"/>
      <c r="FGR85" s="31"/>
      <c r="FGS85" s="31"/>
      <c r="FGT85" s="31"/>
      <c r="FGU85" s="31"/>
      <c r="FGV85" s="31"/>
      <c r="FGW85" s="31"/>
      <c r="FGX85" s="31"/>
      <c r="FGY85" s="31"/>
      <c r="FGZ85" s="31"/>
      <c r="FHA85" s="31"/>
      <c r="FHB85" s="31"/>
      <c r="FHC85" s="31"/>
      <c r="FHD85" s="31"/>
      <c r="FHE85" s="31"/>
      <c r="FHF85" s="31"/>
      <c r="FHG85" s="31"/>
      <c r="FHH85" s="31"/>
      <c r="FHI85" s="31"/>
      <c r="FHJ85" s="31"/>
      <c r="FHK85" s="31"/>
      <c r="FHL85" s="31"/>
      <c r="FHM85" s="31"/>
      <c r="FHN85" s="31"/>
      <c r="FHO85" s="31"/>
      <c r="FHP85" s="31"/>
      <c r="FHQ85" s="31"/>
      <c r="FHR85" s="31"/>
      <c r="FHS85" s="31"/>
      <c r="FHT85" s="31"/>
      <c r="FHU85" s="31"/>
      <c r="FHV85" s="31"/>
      <c r="FHW85" s="31"/>
      <c r="FHX85" s="31"/>
      <c r="FHY85" s="31"/>
      <c r="FHZ85" s="31"/>
      <c r="FIA85" s="31"/>
      <c r="FIB85" s="31"/>
      <c r="FIC85" s="31"/>
      <c r="FID85" s="31"/>
      <c r="FIE85" s="31"/>
      <c r="FIF85" s="31"/>
      <c r="FIG85" s="31"/>
      <c r="FIH85" s="31"/>
      <c r="FII85" s="31"/>
      <c r="FIJ85" s="31"/>
      <c r="FIK85" s="31"/>
      <c r="FIL85" s="31"/>
      <c r="FIM85" s="31"/>
      <c r="FIN85" s="31"/>
      <c r="FIO85" s="31"/>
      <c r="FIP85" s="31"/>
      <c r="FIQ85" s="31"/>
      <c r="FIR85" s="31"/>
      <c r="FIS85" s="31"/>
      <c r="FIT85" s="31"/>
      <c r="FIU85" s="31"/>
      <c r="FIV85" s="31"/>
      <c r="FIW85" s="31"/>
      <c r="FIX85" s="31"/>
      <c r="FIY85" s="31"/>
      <c r="FIZ85" s="31"/>
      <c r="FJA85" s="31"/>
      <c r="FJB85" s="31"/>
      <c r="FJC85" s="31"/>
      <c r="FJD85" s="31"/>
      <c r="FJE85" s="31"/>
      <c r="FJF85" s="31"/>
      <c r="FJG85" s="31"/>
      <c r="FJH85" s="31"/>
      <c r="FJI85" s="31"/>
      <c r="FJJ85" s="31"/>
      <c r="FJK85" s="31"/>
      <c r="FJL85" s="31"/>
      <c r="FJM85" s="31"/>
      <c r="FJN85" s="31"/>
      <c r="FJO85" s="31"/>
      <c r="FJP85" s="31"/>
      <c r="FJQ85" s="31"/>
      <c r="FJR85" s="31"/>
      <c r="FJS85" s="31"/>
      <c r="FJT85" s="31"/>
      <c r="FJU85" s="31"/>
      <c r="FJV85" s="31"/>
      <c r="FJW85" s="31"/>
      <c r="FJX85" s="31"/>
      <c r="FJY85" s="31"/>
      <c r="FJZ85" s="31"/>
      <c r="FKA85" s="31"/>
      <c r="FKB85" s="31"/>
      <c r="FKC85" s="31"/>
      <c r="FKD85" s="31"/>
      <c r="FKE85" s="31"/>
      <c r="FKF85" s="31"/>
      <c r="FKG85" s="31"/>
      <c r="FKH85" s="31"/>
      <c r="FKI85" s="31"/>
      <c r="FKJ85" s="31"/>
      <c r="FKK85" s="31"/>
      <c r="FKL85" s="31"/>
      <c r="FKM85" s="31"/>
      <c r="FKN85" s="31"/>
      <c r="FKO85" s="31"/>
      <c r="FKP85" s="31"/>
      <c r="FKQ85" s="31"/>
      <c r="FKR85" s="31"/>
      <c r="FKS85" s="31"/>
      <c r="FKT85" s="31"/>
      <c r="FKU85" s="31"/>
      <c r="FKV85" s="31"/>
      <c r="FKW85" s="31"/>
      <c r="FKX85" s="31"/>
      <c r="FKY85" s="31"/>
      <c r="FKZ85" s="31"/>
      <c r="FLA85" s="31"/>
      <c r="FLB85" s="31"/>
      <c r="FLC85" s="31"/>
      <c r="FLD85" s="31"/>
      <c r="FLE85" s="31"/>
      <c r="FLF85" s="31"/>
      <c r="FLG85" s="31"/>
      <c r="FLH85" s="31"/>
      <c r="FLI85" s="31"/>
      <c r="FLJ85" s="31"/>
      <c r="FLK85" s="31"/>
      <c r="FLL85" s="31"/>
      <c r="FLM85" s="31"/>
      <c r="FLN85" s="31"/>
      <c r="FLO85" s="31"/>
      <c r="FLP85" s="31"/>
      <c r="FLQ85" s="31"/>
      <c r="FLR85" s="31"/>
      <c r="FLS85" s="31"/>
      <c r="FLT85" s="31"/>
      <c r="FLU85" s="31"/>
      <c r="FLV85" s="31"/>
      <c r="FLW85" s="31"/>
      <c r="FLX85" s="31"/>
      <c r="FLY85" s="31"/>
      <c r="FLZ85" s="31"/>
      <c r="FMA85" s="31"/>
      <c r="FMB85" s="31"/>
      <c r="FMC85" s="31"/>
      <c r="FMD85" s="31"/>
      <c r="FME85" s="31"/>
      <c r="FMF85" s="31"/>
      <c r="FMG85" s="31"/>
      <c r="FMH85" s="31"/>
      <c r="FMI85" s="31"/>
      <c r="FMJ85" s="31"/>
      <c r="FMK85" s="31"/>
      <c r="FML85" s="31"/>
      <c r="FMM85" s="31"/>
      <c r="FMN85" s="31"/>
      <c r="FMO85" s="31"/>
      <c r="FMP85" s="31"/>
      <c r="FMQ85" s="31"/>
      <c r="FMR85" s="31"/>
      <c r="FMS85" s="31"/>
      <c r="FMT85" s="31"/>
      <c r="FMU85" s="31"/>
      <c r="FMV85" s="31"/>
      <c r="FMW85" s="31"/>
      <c r="FMX85" s="31"/>
      <c r="FMY85" s="31"/>
      <c r="FMZ85" s="31"/>
      <c r="FNA85" s="31"/>
      <c r="FNB85" s="31"/>
      <c r="FNC85" s="31"/>
      <c r="FND85" s="31"/>
      <c r="FNE85" s="31"/>
      <c r="FNF85" s="31"/>
      <c r="FNG85" s="31"/>
      <c r="FNH85" s="31"/>
      <c r="FNI85" s="31"/>
      <c r="FNJ85" s="31"/>
      <c r="FNK85" s="31"/>
      <c r="FNL85" s="31"/>
      <c r="FNM85" s="31"/>
      <c r="FNN85" s="31"/>
      <c r="FNO85" s="31"/>
      <c r="FNP85" s="31"/>
      <c r="FNQ85" s="31"/>
      <c r="FNR85" s="31"/>
      <c r="FNS85" s="31"/>
      <c r="FNT85" s="31"/>
      <c r="FNU85" s="31"/>
      <c r="FNV85" s="31"/>
      <c r="FNW85" s="31"/>
      <c r="FNX85" s="31"/>
      <c r="FNY85" s="31"/>
      <c r="FNZ85" s="31"/>
      <c r="FOA85" s="31"/>
      <c r="FOB85" s="31"/>
      <c r="FOC85" s="31"/>
      <c r="FOD85" s="31"/>
      <c r="FOE85" s="31"/>
      <c r="FOF85" s="31"/>
      <c r="FOG85" s="31"/>
      <c r="FOH85" s="31"/>
      <c r="FOI85" s="31"/>
      <c r="FOJ85" s="31"/>
      <c r="FOK85" s="31"/>
      <c r="FOL85" s="31"/>
      <c r="FOM85" s="31"/>
      <c r="FON85" s="31"/>
      <c r="FOO85" s="31"/>
      <c r="FOP85" s="31"/>
      <c r="FOQ85" s="31"/>
      <c r="FOR85" s="31"/>
      <c r="FOS85" s="31"/>
      <c r="FOT85" s="31"/>
      <c r="FOU85" s="31"/>
      <c r="FOV85" s="31"/>
      <c r="FOW85" s="31"/>
      <c r="FOX85" s="31"/>
      <c r="FOY85" s="31"/>
      <c r="FOZ85" s="31"/>
      <c r="FPA85" s="31"/>
      <c r="FPB85" s="31"/>
      <c r="FPC85" s="31"/>
      <c r="FPD85" s="31"/>
      <c r="FPE85" s="31"/>
      <c r="FPF85" s="31"/>
      <c r="FPG85" s="31"/>
      <c r="FPH85" s="31"/>
      <c r="FPI85" s="31"/>
      <c r="FPJ85" s="31"/>
      <c r="FPK85" s="31"/>
      <c r="FPL85" s="31"/>
      <c r="FPM85" s="31"/>
      <c r="FPN85" s="31"/>
      <c r="FPO85" s="31"/>
      <c r="FPP85" s="31"/>
      <c r="FPQ85" s="31"/>
      <c r="FPR85" s="31"/>
      <c r="FPS85" s="31"/>
      <c r="FPT85" s="31"/>
      <c r="FPU85" s="31"/>
      <c r="FPV85" s="31"/>
      <c r="FPW85" s="31"/>
      <c r="FPX85" s="31"/>
      <c r="FPY85" s="31"/>
      <c r="FPZ85" s="31"/>
      <c r="FQA85" s="31"/>
      <c r="FQB85" s="31"/>
      <c r="FQC85" s="31"/>
      <c r="FQD85" s="31"/>
      <c r="FQE85" s="31"/>
      <c r="FQF85" s="31"/>
      <c r="FQG85" s="31"/>
      <c r="FQH85" s="31"/>
      <c r="FQI85" s="31"/>
      <c r="FQJ85" s="31"/>
      <c r="FQK85" s="31"/>
      <c r="FQL85" s="31"/>
      <c r="FQM85" s="31"/>
      <c r="FQN85" s="31"/>
      <c r="FQO85" s="31"/>
      <c r="FQP85" s="31"/>
      <c r="FQQ85" s="31"/>
      <c r="FQR85" s="31"/>
      <c r="FQS85" s="31"/>
      <c r="FQT85" s="31"/>
      <c r="FQU85" s="31"/>
      <c r="FQV85" s="31"/>
      <c r="FQW85" s="31"/>
      <c r="FQX85" s="31"/>
      <c r="FQY85" s="31"/>
      <c r="FQZ85" s="31"/>
      <c r="FRA85" s="31"/>
      <c r="FRB85" s="31"/>
      <c r="FRC85" s="31"/>
      <c r="FRD85" s="31"/>
      <c r="FRE85" s="31"/>
      <c r="FRF85" s="31"/>
      <c r="FRG85" s="31"/>
      <c r="FRH85" s="31"/>
      <c r="FRI85" s="31"/>
      <c r="FRJ85" s="31"/>
      <c r="FRK85" s="31"/>
      <c r="FRL85" s="31"/>
      <c r="FRM85" s="31"/>
      <c r="FRN85" s="31"/>
      <c r="FRO85" s="31"/>
      <c r="FRP85" s="31"/>
      <c r="FRQ85" s="31"/>
      <c r="FRR85" s="31"/>
      <c r="FRS85" s="31"/>
      <c r="FRT85" s="31"/>
      <c r="FRU85" s="31"/>
      <c r="FRV85" s="31"/>
      <c r="FRW85" s="31"/>
      <c r="FRX85" s="31"/>
      <c r="FRY85" s="31"/>
      <c r="FRZ85" s="31"/>
      <c r="FSA85" s="31"/>
      <c r="FSB85" s="31"/>
      <c r="FSC85" s="31"/>
      <c r="FSD85" s="31"/>
      <c r="FSE85" s="31"/>
      <c r="FSF85" s="31"/>
      <c r="FSG85" s="31"/>
      <c r="FSH85" s="31"/>
      <c r="FSI85" s="31"/>
      <c r="FSJ85" s="31"/>
      <c r="FSK85" s="31"/>
      <c r="FSL85" s="31"/>
      <c r="FSM85" s="31"/>
      <c r="FSN85" s="31"/>
      <c r="FSO85" s="31"/>
      <c r="FSP85" s="31"/>
      <c r="FSQ85" s="31"/>
      <c r="FSR85" s="31"/>
      <c r="FSS85" s="31"/>
      <c r="FST85" s="31"/>
      <c r="FSU85" s="31"/>
      <c r="FSV85" s="31"/>
      <c r="FSW85" s="31"/>
      <c r="FSX85" s="31"/>
      <c r="FSY85" s="31"/>
      <c r="FSZ85" s="31"/>
      <c r="FTA85" s="31"/>
      <c r="FTB85" s="31"/>
      <c r="FTC85" s="31"/>
      <c r="FTD85" s="31"/>
      <c r="FTE85" s="31"/>
      <c r="FTF85" s="31"/>
      <c r="FTG85" s="31"/>
      <c r="FTH85" s="31"/>
      <c r="FTI85" s="31"/>
      <c r="FTJ85" s="31"/>
      <c r="FTK85" s="31"/>
      <c r="FTL85" s="31"/>
      <c r="FTM85" s="31"/>
      <c r="FTN85" s="31"/>
      <c r="FTO85" s="31"/>
      <c r="FTP85" s="31"/>
      <c r="FTQ85" s="31"/>
      <c r="FTR85" s="31"/>
      <c r="FTS85" s="31"/>
      <c r="FTT85" s="31"/>
      <c r="FTU85" s="31"/>
      <c r="FTV85" s="31"/>
      <c r="FTW85" s="31"/>
      <c r="FTX85" s="31"/>
      <c r="FTY85" s="31"/>
      <c r="FTZ85" s="31"/>
      <c r="FUA85" s="31"/>
      <c r="FUB85" s="31"/>
      <c r="FUC85" s="31"/>
      <c r="FUD85" s="31"/>
      <c r="FUE85" s="31"/>
      <c r="FUF85" s="31"/>
      <c r="FUG85" s="31"/>
      <c r="FUH85" s="31"/>
      <c r="FUI85" s="31"/>
      <c r="FUJ85" s="31"/>
      <c r="FUK85" s="31"/>
      <c r="FUL85" s="31"/>
      <c r="FUM85" s="31"/>
      <c r="FUN85" s="31"/>
      <c r="FUO85" s="31"/>
      <c r="FUP85" s="31"/>
      <c r="FUQ85" s="31"/>
      <c r="FUR85" s="31"/>
      <c r="FUS85" s="31"/>
      <c r="FUT85" s="31"/>
      <c r="FUU85" s="31"/>
      <c r="FUV85" s="31"/>
      <c r="FUW85" s="31"/>
      <c r="FUX85" s="31"/>
      <c r="FUY85" s="31"/>
      <c r="FUZ85" s="31"/>
      <c r="FVA85" s="31"/>
      <c r="FVB85" s="31"/>
      <c r="FVC85" s="31"/>
      <c r="FVD85" s="31"/>
      <c r="FVE85" s="31"/>
      <c r="FVF85" s="31"/>
      <c r="FVG85" s="31"/>
      <c r="FVH85" s="31"/>
      <c r="FVI85" s="31"/>
      <c r="FVJ85" s="31"/>
      <c r="FVK85" s="31"/>
      <c r="FVL85" s="31"/>
      <c r="FVM85" s="31"/>
      <c r="FVN85" s="31"/>
      <c r="FVO85" s="31"/>
      <c r="FVP85" s="31"/>
      <c r="FVQ85" s="31"/>
      <c r="FVR85" s="31"/>
      <c r="FVS85" s="31"/>
      <c r="FVT85" s="31"/>
      <c r="FVU85" s="31"/>
      <c r="FVV85" s="31"/>
      <c r="FVW85" s="31"/>
      <c r="FVX85" s="31"/>
      <c r="FVY85" s="31"/>
      <c r="FVZ85" s="31"/>
      <c r="FWA85" s="31"/>
      <c r="FWB85" s="31"/>
      <c r="FWC85" s="31"/>
      <c r="FWD85" s="31"/>
      <c r="FWE85" s="31"/>
      <c r="FWF85" s="31"/>
      <c r="FWG85" s="31"/>
      <c r="FWH85" s="31"/>
      <c r="FWI85" s="31"/>
      <c r="FWJ85" s="31"/>
      <c r="FWK85" s="31"/>
      <c r="FWL85" s="31"/>
      <c r="FWM85" s="31"/>
      <c r="FWN85" s="31"/>
      <c r="FWO85" s="31"/>
      <c r="FWP85" s="31"/>
      <c r="FWQ85" s="31"/>
      <c r="FWR85" s="31"/>
      <c r="FWS85" s="31"/>
      <c r="FWT85" s="31"/>
      <c r="FWU85" s="31"/>
      <c r="FWV85" s="31"/>
      <c r="FWW85" s="31"/>
      <c r="FWX85" s="31"/>
      <c r="FWY85" s="31"/>
      <c r="FWZ85" s="31"/>
      <c r="FXA85" s="31"/>
      <c r="FXB85" s="31"/>
      <c r="FXC85" s="31"/>
      <c r="FXD85" s="31"/>
      <c r="FXE85" s="31"/>
      <c r="FXF85" s="31"/>
      <c r="FXG85" s="31"/>
      <c r="FXH85" s="31"/>
      <c r="FXI85" s="31"/>
      <c r="FXJ85" s="31"/>
      <c r="FXK85" s="31"/>
      <c r="FXL85" s="31"/>
      <c r="FXM85" s="31"/>
      <c r="FXN85" s="31"/>
      <c r="FXO85" s="31"/>
      <c r="FXP85" s="31"/>
      <c r="FXQ85" s="31"/>
      <c r="FXR85" s="31"/>
      <c r="FXS85" s="31"/>
      <c r="FXT85" s="31"/>
      <c r="FXU85" s="31"/>
      <c r="FXV85" s="31"/>
      <c r="FXW85" s="31"/>
      <c r="FXX85" s="31"/>
      <c r="FXY85" s="31"/>
      <c r="FXZ85" s="31"/>
      <c r="FYA85" s="31"/>
      <c r="FYB85" s="31"/>
      <c r="FYC85" s="31"/>
      <c r="FYD85" s="31"/>
      <c r="FYE85" s="31"/>
      <c r="FYF85" s="31"/>
      <c r="FYG85" s="31"/>
      <c r="FYH85" s="31"/>
      <c r="FYI85" s="31"/>
      <c r="FYJ85" s="31"/>
      <c r="FYK85" s="31"/>
      <c r="FYL85" s="31"/>
      <c r="FYM85" s="31"/>
      <c r="FYN85" s="31"/>
      <c r="FYO85" s="31"/>
      <c r="FYP85" s="31"/>
      <c r="FYQ85" s="31"/>
      <c r="FYR85" s="31"/>
      <c r="FYS85" s="31"/>
      <c r="FYT85" s="31"/>
      <c r="FYU85" s="31"/>
      <c r="FYV85" s="31"/>
      <c r="FYW85" s="31"/>
      <c r="FYX85" s="31"/>
      <c r="FYY85" s="31"/>
      <c r="FYZ85" s="31"/>
      <c r="FZA85" s="31"/>
      <c r="FZB85" s="31"/>
      <c r="FZC85" s="31"/>
      <c r="FZD85" s="31"/>
      <c r="FZE85" s="31"/>
      <c r="FZF85" s="31"/>
      <c r="FZG85" s="31"/>
      <c r="FZH85" s="31"/>
      <c r="FZI85" s="31"/>
      <c r="FZJ85" s="31"/>
      <c r="FZK85" s="31"/>
      <c r="FZL85" s="31"/>
      <c r="FZM85" s="31"/>
      <c r="FZN85" s="31"/>
      <c r="FZO85" s="31"/>
      <c r="FZP85" s="31"/>
      <c r="FZQ85" s="31"/>
      <c r="FZR85" s="31"/>
      <c r="FZS85" s="31"/>
      <c r="FZT85" s="31"/>
      <c r="FZU85" s="31"/>
      <c r="FZV85" s="31"/>
      <c r="FZW85" s="31"/>
      <c r="FZX85" s="31"/>
      <c r="FZY85" s="31"/>
      <c r="FZZ85" s="31"/>
      <c r="GAA85" s="31"/>
      <c r="GAB85" s="31"/>
      <c r="GAC85" s="31"/>
      <c r="GAD85" s="31"/>
      <c r="GAE85" s="31"/>
      <c r="GAF85" s="31"/>
      <c r="GAG85" s="31"/>
      <c r="GAH85" s="31"/>
      <c r="GAI85" s="31"/>
      <c r="GAJ85" s="31"/>
      <c r="GAK85" s="31"/>
      <c r="GAL85" s="31"/>
      <c r="GAM85" s="31"/>
      <c r="GAN85" s="31"/>
      <c r="GAO85" s="31"/>
      <c r="GAP85" s="31"/>
      <c r="GAQ85" s="31"/>
      <c r="GAR85" s="31"/>
      <c r="GAS85" s="31"/>
      <c r="GAT85" s="31"/>
      <c r="GAU85" s="31"/>
      <c r="GAV85" s="31"/>
      <c r="GAW85" s="31"/>
      <c r="GAX85" s="31"/>
      <c r="GAY85" s="31"/>
      <c r="GAZ85" s="31"/>
      <c r="GBA85" s="31"/>
      <c r="GBB85" s="31"/>
      <c r="GBC85" s="31"/>
      <c r="GBD85" s="31"/>
      <c r="GBE85" s="31"/>
      <c r="GBF85" s="31"/>
      <c r="GBG85" s="31"/>
      <c r="GBH85" s="31"/>
      <c r="GBI85" s="31"/>
      <c r="GBJ85" s="31"/>
      <c r="GBK85" s="31"/>
      <c r="GBL85" s="31"/>
      <c r="GBM85" s="31"/>
      <c r="GBN85" s="31"/>
      <c r="GBO85" s="31"/>
      <c r="GBP85" s="31"/>
      <c r="GBQ85" s="31"/>
      <c r="GBR85" s="31"/>
      <c r="GBS85" s="31"/>
      <c r="GBT85" s="31"/>
      <c r="GBU85" s="31"/>
      <c r="GBV85" s="31"/>
      <c r="GBW85" s="31"/>
      <c r="GBX85" s="31"/>
      <c r="GBY85" s="31"/>
      <c r="GBZ85" s="31"/>
      <c r="GCA85" s="31"/>
      <c r="GCB85" s="31"/>
      <c r="GCC85" s="31"/>
      <c r="GCD85" s="31"/>
      <c r="GCE85" s="31"/>
      <c r="GCF85" s="31"/>
      <c r="GCG85" s="31"/>
      <c r="GCH85" s="31"/>
      <c r="GCI85" s="31"/>
      <c r="GCJ85" s="31"/>
      <c r="GCK85" s="31"/>
      <c r="GCL85" s="31"/>
      <c r="GCM85" s="31"/>
      <c r="GCN85" s="31"/>
      <c r="GCO85" s="31"/>
      <c r="GCP85" s="31"/>
      <c r="GCQ85" s="31"/>
      <c r="GCR85" s="31"/>
      <c r="GCS85" s="31"/>
      <c r="GCT85" s="31"/>
      <c r="GCU85" s="31"/>
      <c r="GCV85" s="31"/>
      <c r="GCW85" s="31"/>
      <c r="GCX85" s="31"/>
      <c r="GCY85" s="31"/>
      <c r="GCZ85" s="31"/>
      <c r="GDA85" s="31"/>
      <c r="GDB85" s="31"/>
      <c r="GDC85" s="31"/>
      <c r="GDD85" s="31"/>
      <c r="GDE85" s="31"/>
      <c r="GDF85" s="31"/>
      <c r="GDG85" s="31"/>
      <c r="GDH85" s="31"/>
      <c r="GDI85" s="31"/>
      <c r="GDJ85" s="31"/>
      <c r="GDK85" s="31"/>
      <c r="GDL85" s="31"/>
      <c r="GDM85" s="31"/>
      <c r="GDN85" s="31"/>
      <c r="GDO85" s="31"/>
      <c r="GDP85" s="31"/>
      <c r="GDQ85" s="31"/>
      <c r="GDR85" s="31"/>
      <c r="GDS85" s="31"/>
      <c r="GDT85" s="31"/>
      <c r="GDU85" s="31"/>
      <c r="GDV85" s="31"/>
      <c r="GDW85" s="31"/>
      <c r="GDX85" s="31"/>
      <c r="GDY85" s="31"/>
      <c r="GDZ85" s="31"/>
      <c r="GEA85" s="31"/>
      <c r="GEB85" s="31"/>
      <c r="GEC85" s="31"/>
      <c r="GED85" s="31"/>
      <c r="GEE85" s="31"/>
      <c r="GEF85" s="31"/>
      <c r="GEG85" s="31"/>
      <c r="GEH85" s="31"/>
      <c r="GEI85" s="31"/>
      <c r="GEJ85" s="31"/>
      <c r="GEK85" s="31"/>
      <c r="GEL85" s="31"/>
      <c r="GEM85" s="31"/>
      <c r="GEN85" s="31"/>
      <c r="GEO85" s="31"/>
      <c r="GEP85" s="31"/>
      <c r="GEQ85" s="31"/>
      <c r="GER85" s="31"/>
      <c r="GES85" s="31"/>
      <c r="GET85" s="31"/>
      <c r="GEU85" s="31"/>
      <c r="GEV85" s="31"/>
      <c r="GEW85" s="31"/>
      <c r="GEX85" s="31"/>
      <c r="GEY85" s="31"/>
      <c r="GEZ85" s="31"/>
      <c r="GFA85" s="31"/>
      <c r="GFB85" s="31"/>
      <c r="GFC85" s="31"/>
      <c r="GFD85" s="31"/>
      <c r="GFE85" s="31"/>
      <c r="GFF85" s="31"/>
      <c r="GFG85" s="31"/>
      <c r="GFH85" s="31"/>
      <c r="GFI85" s="31"/>
      <c r="GFJ85" s="31"/>
      <c r="GFK85" s="31"/>
      <c r="GFL85" s="31"/>
      <c r="GFM85" s="31"/>
      <c r="GFN85" s="31"/>
      <c r="GFO85" s="31"/>
      <c r="GFP85" s="31"/>
      <c r="GFQ85" s="31"/>
      <c r="GFR85" s="31"/>
      <c r="GFS85" s="31"/>
      <c r="GFT85" s="31"/>
      <c r="GFU85" s="31"/>
      <c r="GFV85" s="31"/>
      <c r="GFW85" s="31"/>
      <c r="GFX85" s="31"/>
      <c r="GFY85" s="31"/>
      <c r="GFZ85" s="31"/>
      <c r="GGA85" s="31"/>
      <c r="GGB85" s="31"/>
      <c r="GGC85" s="31"/>
      <c r="GGD85" s="31"/>
      <c r="GGE85" s="31"/>
      <c r="GGF85" s="31"/>
      <c r="GGG85" s="31"/>
      <c r="GGH85" s="31"/>
      <c r="GGI85" s="31"/>
      <c r="GGJ85" s="31"/>
      <c r="GGK85" s="31"/>
      <c r="GGL85" s="31"/>
      <c r="GGM85" s="31"/>
      <c r="GGN85" s="31"/>
      <c r="GGO85" s="31"/>
      <c r="GGP85" s="31"/>
      <c r="GGQ85" s="31"/>
      <c r="GGR85" s="31"/>
      <c r="GGS85" s="31"/>
      <c r="GGT85" s="31"/>
      <c r="GGU85" s="31"/>
      <c r="GGV85" s="31"/>
      <c r="GGW85" s="31"/>
      <c r="GGX85" s="31"/>
      <c r="GGY85" s="31"/>
      <c r="GGZ85" s="31"/>
      <c r="GHA85" s="31"/>
      <c r="GHB85" s="31"/>
      <c r="GHC85" s="31"/>
      <c r="GHD85" s="31"/>
      <c r="GHE85" s="31"/>
      <c r="GHF85" s="31"/>
      <c r="GHG85" s="31"/>
      <c r="GHH85" s="31"/>
      <c r="GHI85" s="31"/>
      <c r="GHJ85" s="31"/>
      <c r="GHK85" s="31"/>
      <c r="GHL85" s="31"/>
      <c r="GHM85" s="31"/>
      <c r="GHN85" s="31"/>
      <c r="GHO85" s="31"/>
      <c r="GHP85" s="31"/>
      <c r="GHQ85" s="31"/>
      <c r="GHR85" s="31"/>
      <c r="GHS85" s="31"/>
      <c r="GHT85" s="31"/>
      <c r="GHU85" s="31"/>
      <c r="GHV85" s="31"/>
      <c r="GHW85" s="31"/>
      <c r="GHX85" s="31"/>
      <c r="GHY85" s="31"/>
      <c r="GHZ85" s="31"/>
      <c r="GIA85" s="31"/>
      <c r="GIB85" s="31"/>
      <c r="GIC85" s="31"/>
      <c r="GID85" s="31"/>
      <c r="GIE85" s="31"/>
      <c r="GIF85" s="31"/>
      <c r="GIG85" s="31"/>
      <c r="GIH85" s="31"/>
      <c r="GII85" s="31"/>
      <c r="GIJ85" s="31"/>
      <c r="GIK85" s="31"/>
      <c r="GIL85" s="31"/>
      <c r="GIM85" s="31"/>
      <c r="GIN85" s="31"/>
      <c r="GIO85" s="31"/>
      <c r="GIP85" s="31"/>
      <c r="GIQ85" s="31"/>
      <c r="GIR85" s="31"/>
      <c r="GIS85" s="31"/>
      <c r="GIT85" s="31"/>
      <c r="GIU85" s="31"/>
      <c r="GIV85" s="31"/>
      <c r="GIW85" s="31"/>
      <c r="GIX85" s="31"/>
      <c r="GIY85" s="31"/>
      <c r="GIZ85" s="31"/>
      <c r="GJA85" s="31"/>
      <c r="GJB85" s="31"/>
      <c r="GJC85" s="31"/>
      <c r="GJD85" s="31"/>
      <c r="GJE85" s="31"/>
      <c r="GJF85" s="31"/>
      <c r="GJG85" s="31"/>
      <c r="GJH85" s="31"/>
      <c r="GJI85" s="31"/>
      <c r="GJJ85" s="31"/>
      <c r="GJK85" s="31"/>
      <c r="GJL85" s="31"/>
      <c r="GJM85" s="31"/>
      <c r="GJN85" s="31"/>
      <c r="GJO85" s="31"/>
      <c r="GJP85" s="31"/>
      <c r="GJQ85" s="31"/>
      <c r="GJR85" s="31"/>
      <c r="GJS85" s="31"/>
      <c r="GJT85" s="31"/>
      <c r="GJU85" s="31"/>
      <c r="GJV85" s="31"/>
      <c r="GJW85" s="31"/>
      <c r="GJX85" s="31"/>
      <c r="GJY85" s="31"/>
      <c r="GJZ85" s="31"/>
      <c r="GKA85" s="31"/>
      <c r="GKB85" s="31"/>
      <c r="GKC85" s="31"/>
      <c r="GKD85" s="31"/>
      <c r="GKE85" s="31"/>
      <c r="GKF85" s="31"/>
      <c r="GKG85" s="31"/>
      <c r="GKH85" s="31"/>
      <c r="GKI85" s="31"/>
      <c r="GKJ85" s="31"/>
      <c r="GKK85" s="31"/>
      <c r="GKL85" s="31"/>
      <c r="GKM85" s="31"/>
      <c r="GKN85" s="31"/>
      <c r="GKO85" s="31"/>
      <c r="GKP85" s="31"/>
      <c r="GKQ85" s="31"/>
      <c r="GKR85" s="31"/>
      <c r="GKS85" s="31"/>
      <c r="GKT85" s="31"/>
      <c r="GKU85" s="31"/>
      <c r="GKV85" s="31"/>
      <c r="GKW85" s="31"/>
      <c r="GKX85" s="31"/>
      <c r="GKY85" s="31"/>
      <c r="GKZ85" s="31"/>
      <c r="GLA85" s="31"/>
      <c r="GLB85" s="31"/>
      <c r="GLC85" s="31"/>
      <c r="GLD85" s="31"/>
      <c r="GLE85" s="31"/>
      <c r="GLF85" s="31"/>
      <c r="GLG85" s="31"/>
      <c r="GLH85" s="31"/>
      <c r="GLI85" s="31"/>
      <c r="GLJ85" s="31"/>
      <c r="GLK85" s="31"/>
      <c r="GLL85" s="31"/>
      <c r="GLM85" s="31"/>
      <c r="GLN85" s="31"/>
      <c r="GLO85" s="31"/>
      <c r="GLP85" s="31"/>
      <c r="GLQ85" s="31"/>
      <c r="GLR85" s="31"/>
      <c r="GLS85" s="31"/>
      <c r="GLT85" s="31"/>
      <c r="GLU85" s="31"/>
      <c r="GLV85" s="31"/>
      <c r="GLW85" s="31"/>
      <c r="GLX85" s="31"/>
      <c r="GLY85" s="31"/>
      <c r="GLZ85" s="31"/>
      <c r="GMA85" s="31"/>
      <c r="GMB85" s="31"/>
      <c r="GMC85" s="31"/>
      <c r="GMD85" s="31"/>
      <c r="GME85" s="31"/>
      <c r="GMF85" s="31"/>
      <c r="GMG85" s="31"/>
      <c r="GMH85" s="31"/>
      <c r="GMI85" s="31"/>
      <c r="GMJ85" s="31"/>
      <c r="GMK85" s="31"/>
      <c r="GML85" s="31"/>
      <c r="GMM85" s="31"/>
      <c r="GMN85" s="31"/>
      <c r="GMO85" s="31"/>
      <c r="GMP85" s="31"/>
      <c r="GMQ85" s="31"/>
      <c r="GMR85" s="31"/>
      <c r="GMS85" s="31"/>
      <c r="GMT85" s="31"/>
      <c r="GMU85" s="31"/>
      <c r="GMV85" s="31"/>
      <c r="GMW85" s="31"/>
      <c r="GMX85" s="31"/>
      <c r="GMY85" s="31"/>
      <c r="GMZ85" s="31"/>
      <c r="GNA85" s="31"/>
      <c r="GNB85" s="31"/>
      <c r="GNC85" s="31"/>
      <c r="GND85" s="31"/>
      <c r="GNE85" s="31"/>
      <c r="GNF85" s="31"/>
      <c r="GNG85" s="31"/>
      <c r="GNH85" s="31"/>
      <c r="GNI85" s="31"/>
      <c r="GNJ85" s="31"/>
      <c r="GNK85" s="31"/>
      <c r="GNL85" s="31"/>
      <c r="GNM85" s="31"/>
      <c r="GNN85" s="31"/>
      <c r="GNO85" s="31"/>
      <c r="GNP85" s="31"/>
      <c r="GNQ85" s="31"/>
      <c r="GNR85" s="31"/>
      <c r="GNS85" s="31"/>
      <c r="GNT85" s="31"/>
      <c r="GNU85" s="31"/>
      <c r="GNV85" s="31"/>
      <c r="GNW85" s="31"/>
      <c r="GNX85" s="31"/>
      <c r="GNY85" s="31"/>
      <c r="GNZ85" s="31"/>
      <c r="GOA85" s="31"/>
      <c r="GOB85" s="31"/>
      <c r="GOC85" s="31"/>
      <c r="GOD85" s="31"/>
      <c r="GOE85" s="31"/>
      <c r="GOF85" s="31"/>
      <c r="GOG85" s="31"/>
      <c r="GOH85" s="31"/>
      <c r="GOI85" s="31"/>
      <c r="GOJ85" s="31"/>
      <c r="GOK85" s="31"/>
      <c r="GOL85" s="31"/>
      <c r="GOM85" s="31"/>
      <c r="GON85" s="31"/>
      <c r="GOO85" s="31"/>
      <c r="GOP85" s="31"/>
      <c r="GOQ85" s="31"/>
      <c r="GOR85" s="31"/>
      <c r="GOS85" s="31"/>
      <c r="GOT85" s="31"/>
      <c r="GOU85" s="31"/>
      <c r="GOV85" s="31"/>
      <c r="GOW85" s="31"/>
      <c r="GOX85" s="31"/>
      <c r="GOY85" s="31"/>
      <c r="GOZ85" s="31"/>
      <c r="GPA85" s="31"/>
      <c r="GPB85" s="31"/>
      <c r="GPC85" s="31"/>
      <c r="GPD85" s="31"/>
      <c r="GPE85" s="31"/>
      <c r="GPF85" s="31"/>
      <c r="GPG85" s="31"/>
      <c r="GPH85" s="31"/>
      <c r="GPI85" s="31"/>
      <c r="GPJ85" s="31"/>
      <c r="GPK85" s="31"/>
      <c r="GPL85" s="31"/>
      <c r="GPM85" s="31"/>
      <c r="GPN85" s="31"/>
      <c r="GPO85" s="31"/>
      <c r="GPP85" s="31"/>
      <c r="GPQ85" s="31"/>
      <c r="GPR85" s="31"/>
      <c r="GPS85" s="31"/>
      <c r="GPT85" s="31"/>
      <c r="GPU85" s="31"/>
      <c r="GPV85" s="31"/>
      <c r="GPW85" s="31"/>
      <c r="GPX85" s="31"/>
      <c r="GPY85" s="31"/>
      <c r="GPZ85" s="31"/>
      <c r="GQA85" s="31"/>
      <c r="GQB85" s="31"/>
      <c r="GQC85" s="31"/>
      <c r="GQD85" s="31"/>
      <c r="GQE85" s="31"/>
      <c r="GQF85" s="31"/>
      <c r="GQG85" s="31"/>
      <c r="GQH85" s="31"/>
      <c r="GQI85" s="31"/>
      <c r="GQJ85" s="31"/>
      <c r="GQK85" s="31"/>
      <c r="GQL85" s="31"/>
      <c r="GQM85" s="31"/>
      <c r="GQN85" s="31"/>
      <c r="GQO85" s="31"/>
      <c r="GQP85" s="31"/>
      <c r="GQQ85" s="31"/>
      <c r="GQR85" s="31"/>
      <c r="GQS85" s="31"/>
      <c r="GQT85" s="31"/>
      <c r="GQU85" s="31"/>
      <c r="GQV85" s="31"/>
      <c r="GQW85" s="31"/>
      <c r="GQX85" s="31"/>
      <c r="GQY85" s="31"/>
      <c r="GQZ85" s="31"/>
      <c r="GRA85" s="31"/>
      <c r="GRB85" s="31"/>
      <c r="GRC85" s="31"/>
      <c r="GRD85" s="31"/>
      <c r="GRE85" s="31"/>
      <c r="GRF85" s="31"/>
      <c r="GRG85" s="31"/>
      <c r="GRH85" s="31"/>
      <c r="GRI85" s="31"/>
      <c r="GRJ85" s="31"/>
      <c r="GRK85" s="31"/>
      <c r="GRL85" s="31"/>
      <c r="GRM85" s="31"/>
      <c r="GRN85" s="31"/>
      <c r="GRO85" s="31"/>
      <c r="GRP85" s="31"/>
      <c r="GRQ85" s="31"/>
      <c r="GRR85" s="31"/>
      <c r="GRS85" s="31"/>
      <c r="GRT85" s="31"/>
      <c r="GRU85" s="31"/>
      <c r="GRV85" s="31"/>
      <c r="GRW85" s="31"/>
      <c r="GRX85" s="31"/>
      <c r="GRY85" s="31"/>
      <c r="GRZ85" s="31"/>
      <c r="GSA85" s="31"/>
      <c r="GSB85" s="31"/>
      <c r="GSC85" s="31"/>
      <c r="GSD85" s="31"/>
      <c r="GSE85" s="31"/>
      <c r="GSF85" s="31"/>
      <c r="GSG85" s="31"/>
      <c r="GSH85" s="31"/>
      <c r="GSI85" s="31"/>
      <c r="GSJ85" s="31"/>
      <c r="GSK85" s="31"/>
      <c r="GSL85" s="31"/>
      <c r="GSM85" s="31"/>
      <c r="GSN85" s="31"/>
      <c r="GSO85" s="31"/>
      <c r="GSP85" s="31"/>
      <c r="GSQ85" s="31"/>
      <c r="GSR85" s="31"/>
      <c r="GSS85" s="31"/>
      <c r="GST85" s="31"/>
      <c r="GSU85" s="31"/>
      <c r="GSV85" s="31"/>
      <c r="GSW85" s="31"/>
      <c r="GSX85" s="31"/>
      <c r="GSY85" s="31"/>
      <c r="GSZ85" s="31"/>
      <c r="GTA85" s="31"/>
      <c r="GTB85" s="31"/>
      <c r="GTC85" s="31"/>
      <c r="GTD85" s="31"/>
      <c r="GTE85" s="31"/>
      <c r="GTF85" s="31"/>
      <c r="GTG85" s="31"/>
      <c r="GTH85" s="31"/>
      <c r="GTI85" s="31"/>
      <c r="GTJ85" s="31"/>
      <c r="GTK85" s="31"/>
      <c r="GTL85" s="31"/>
      <c r="GTM85" s="31"/>
      <c r="GTN85" s="31"/>
      <c r="GTO85" s="31"/>
      <c r="GTP85" s="31"/>
      <c r="GTQ85" s="31"/>
      <c r="GTR85" s="31"/>
      <c r="GTS85" s="31"/>
      <c r="GTT85" s="31"/>
      <c r="GTU85" s="31"/>
      <c r="GTV85" s="31"/>
      <c r="GTW85" s="31"/>
      <c r="GTX85" s="31"/>
      <c r="GTY85" s="31"/>
      <c r="GTZ85" s="31"/>
      <c r="GUA85" s="31"/>
      <c r="GUB85" s="31"/>
      <c r="GUC85" s="31"/>
      <c r="GUD85" s="31"/>
      <c r="GUE85" s="31"/>
      <c r="GUF85" s="31"/>
      <c r="GUG85" s="31"/>
      <c r="GUH85" s="31"/>
      <c r="GUI85" s="31"/>
      <c r="GUJ85" s="31"/>
      <c r="GUK85" s="31"/>
      <c r="GUL85" s="31"/>
      <c r="GUM85" s="31"/>
      <c r="GUN85" s="31"/>
      <c r="GUO85" s="31"/>
      <c r="GUP85" s="31"/>
      <c r="GUQ85" s="31"/>
      <c r="GUR85" s="31"/>
      <c r="GUS85" s="31"/>
      <c r="GUT85" s="31"/>
      <c r="GUU85" s="31"/>
      <c r="GUV85" s="31"/>
      <c r="GUW85" s="31"/>
      <c r="GUX85" s="31"/>
      <c r="GUY85" s="31"/>
      <c r="GUZ85" s="31"/>
      <c r="GVA85" s="31"/>
      <c r="GVB85" s="31"/>
      <c r="GVC85" s="31"/>
      <c r="GVD85" s="31"/>
      <c r="GVE85" s="31"/>
      <c r="GVF85" s="31"/>
      <c r="GVG85" s="31"/>
      <c r="GVH85" s="31"/>
      <c r="GVI85" s="31"/>
      <c r="GVJ85" s="31"/>
      <c r="GVK85" s="31"/>
      <c r="GVL85" s="31"/>
      <c r="GVM85" s="31"/>
      <c r="GVN85" s="31"/>
      <c r="GVO85" s="31"/>
      <c r="GVP85" s="31"/>
      <c r="GVQ85" s="31"/>
      <c r="GVR85" s="31"/>
      <c r="GVS85" s="31"/>
      <c r="GVT85" s="31"/>
      <c r="GVU85" s="31"/>
      <c r="GVV85" s="31"/>
      <c r="GVW85" s="31"/>
      <c r="GVX85" s="31"/>
      <c r="GVY85" s="31"/>
      <c r="GVZ85" s="31"/>
      <c r="GWA85" s="31"/>
      <c r="GWB85" s="31"/>
      <c r="GWC85" s="31"/>
      <c r="GWD85" s="31"/>
      <c r="GWE85" s="31"/>
      <c r="GWF85" s="31"/>
      <c r="GWG85" s="31"/>
      <c r="GWH85" s="31"/>
      <c r="GWI85" s="31"/>
      <c r="GWJ85" s="31"/>
      <c r="GWK85" s="31"/>
      <c r="GWL85" s="31"/>
      <c r="GWM85" s="31"/>
      <c r="GWN85" s="31"/>
      <c r="GWO85" s="31"/>
      <c r="GWP85" s="31"/>
      <c r="GWQ85" s="31"/>
      <c r="GWR85" s="31"/>
      <c r="GWS85" s="31"/>
      <c r="GWT85" s="31"/>
      <c r="GWU85" s="31"/>
      <c r="GWV85" s="31"/>
      <c r="GWW85" s="31"/>
      <c r="GWX85" s="31"/>
      <c r="GWY85" s="31"/>
      <c r="GWZ85" s="31"/>
      <c r="GXA85" s="31"/>
      <c r="GXB85" s="31"/>
      <c r="GXC85" s="31"/>
      <c r="GXD85" s="31"/>
      <c r="GXE85" s="31"/>
      <c r="GXF85" s="31"/>
      <c r="GXG85" s="31"/>
      <c r="GXH85" s="31"/>
      <c r="GXI85" s="31"/>
      <c r="GXJ85" s="31"/>
      <c r="GXK85" s="31"/>
      <c r="GXL85" s="31"/>
      <c r="GXM85" s="31"/>
      <c r="GXN85" s="31"/>
      <c r="GXO85" s="31"/>
      <c r="GXP85" s="31"/>
      <c r="GXQ85" s="31"/>
      <c r="GXR85" s="31"/>
      <c r="GXS85" s="31"/>
      <c r="GXT85" s="31"/>
      <c r="GXU85" s="31"/>
      <c r="GXV85" s="31"/>
      <c r="GXW85" s="31"/>
      <c r="GXX85" s="31"/>
      <c r="GXY85" s="31"/>
      <c r="GXZ85" s="31"/>
      <c r="GYA85" s="31"/>
      <c r="GYB85" s="31"/>
      <c r="GYC85" s="31"/>
      <c r="GYD85" s="31"/>
      <c r="GYE85" s="31"/>
      <c r="GYF85" s="31"/>
      <c r="GYG85" s="31"/>
      <c r="GYH85" s="31"/>
      <c r="GYI85" s="31"/>
      <c r="GYJ85" s="31"/>
      <c r="GYK85" s="31"/>
      <c r="GYL85" s="31"/>
      <c r="GYM85" s="31"/>
      <c r="GYN85" s="31"/>
      <c r="GYO85" s="31"/>
      <c r="GYP85" s="31"/>
      <c r="GYQ85" s="31"/>
      <c r="GYR85" s="31"/>
      <c r="GYS85" s="31"/>
      <c r="GYT85" s="31"/>
      <c r="GYU85" s="31"/>
      <c r="GYV85" s="31"/>
      <c r="GYW85" s="31"/>
      <c r="GYX85" s="31"/>
      <c r="GYY85" s="31"/>
      <c r="GYZ85" s="31"/>
      <c r="GZA85" s="31"/>
      <c r="GZB85" s="31"/>
      <c r="GZC85" s="31"/>
      <c r="GZD85" s="31"/>
      <c r="GZE85" s="31"/>
      <c r="GZF85" s="31"/>
      <c r="GZG85" s="31"/>
      <c r="GZH85" s="31"/>
      <c r="GZI85" s="31"/>
      <c r="GZJ85" s="31"/>
      <c r="GZK85" s="31"/>
      <c r="GZL85" s="31"/>
      <c r="GZM85" s="31"/>
      <c r="GZN85" s="31"/>
      <c r="GZO85" s="31"/>
      <c r="GZP85" s="31"/>
      <c r="GZQ85" s="31"/>
      <c r="GZR85" s="31"/>
      <c r="GZS85" s="31"/>
      <c r="GZT85" s="31"/>
      <c r="GZU85" s="31"/>
      <c r="GZV85" s="31"/>
      <c r="GZW85" s="31"/>
      <c r="GZX85" s="31"/>
      <c r="GZY85" s="31"/>
      <c r="GZZ85" s="31"/>
      <c r="HAA85" s="31"/>
      <c r="HAB85" s="31"/>
      <c r="HAC85" s="31"/>
      <c r="HAD85" s="31"/>
      <c r="HAE85" s="31"/>
      <c r="HAF85" s="31"/>
      <c r="HAG85" s="31"/>
      <c r="HAH85" s="31"/>
      <c r="HAI85" s="31"/>
      <c r="HAJ85" s="31"/>
      <c r="HAK85" s="31"/>
      <c r="HAL85" s="31"/>
      <c r="HAM85" s="31"/>
      <c r="HAN85" s="31"/>
      <c r="HAO85" s="31"/>
      <c r="HAP85" s="31"/>
      <c r="HAQ85" s="31"/>
      <c r="HAR85" s="31"/>
      <c r="HAS85" s="31"/>
      <c r="HAT85" s="31"/>
      <c r="HAU85" s="31"/>
      <c r="HAV85" s="31"/>
      <c r="HAW85" s="31"/>
      <c r="HAX85" s="31"/>
      <c r="HAY85" s="31"/>
      <c r="HAZ85" s="31"/>
      <c r="HBA85" s="31"/>
      <c r="HBB85" s="31"/>
      <c r="HBC85" s="31"/>
      <c r="HBD85" s="31"/>
      <c r="HBE85" s="31"/>
      <c r="HBF85" s="31"/>
      <c r="HBG85" s="31"/>
      <c r="HBH85" s="31"/>
      <c r="HBI85" s="31"/>
      <c r="HBJ85" s="31"/>
      <c r="HBK85" s="31"/>
      <c r="HBL85" s="31"/>
      <c r="HBM85" s="31"/>
      <c r="HBN85" s="31"/>
      <c r="HBO85" s="31"/>
      <c r="HBP85" s="31"/>
      <c r="HBQ85" s="31"/>
      <c r="HBR85" s="31"/>
      <c r="HBS85" s="31"/>
      <c r="HBT85" s="31"/>
      <c r="HBU85" s="31"/>
      <c r="HBV85" s="31"/>
      <c r="HBW85" s="31"/>
      <c r="HBX85" s="31"/>
      <c r="HBY85" s="31"/>
      <c r="HBZ85" s="31"/>
      <c r="HCA85" s="31"/>
      <c r="HCB85" s="31"/>
      <c r="HCC85" s="31"/>
      <c r="HCD85" s="31"/>
      <c r="HCE85" s="31"/>
      <c r="HCF85" s="31"/>
      <c r="HCG85" s="31"/>
      <c r="HCH85" s="31"/>
      <c r="HCI85" s="31"/>
      <c r="HCJ85" s="31"/>
      <c r="HCK85" s="31"/>
      <c r="HCL85" s="31"/>
      <c r="HCM85" s="31"/>
      <c r="HCN85" s="31"/>
      <c r="HCO85" s="31"/>
      <c r="HCP85" s="31"/>
      <c r="HCQ85" s="31"/>
      <c r="HCR85" s="31"/>
      <c r="HCS85" s="31"/>
      <c r="HCT85" s="31"/>
      <c r="HCU85" s="31"/>
      <c r="HCV85" s="31"/>
      <c r="HCW85" s="31"/>
      <c r="HCX85" s="31"/>
      <c r="HCY85" s="31"/>
      <c r="HCZ85" s="31"/>
      <c r="HDA85" s="31"/>
      <c r="HDB85" s="31"/>
      <c r="HDC85" s="31"/>
      <c r="HDD85" s="31"/>
      <c r="HDE85" s="31"/>
      <c r="HDF85" s="31"/>
      <c r="HDG85" s="31"/>
      <c r="HDH85" s="31"/>
      <c r="HDI85" s="31"/>
      <c r="HDJ85" s="31"/>
      <c r="HDK85" s="31"/>
      <c r="HDL85" s="31"/>
      <c r="HDM85" s="31"/>
      <c r="HDN85" s="31"/>
      <c r="HDO85" s="31"/>
      <c r="HDP85" s="31"/>
      <c r="HDQ85" s="31"/>
      <c r="HDR85" s="31"/>
      <c r="HDS85" s="31"/>
      <c r="HDT85" s="31"/>
      <c r="HDU85" s="31"/>
      <c r="HDV85" s="31"/>
      <c r="HDW85" s="31"/>
      <c r="HDX85" s="31"/>
      <c r="HDY85" s="31"/>
      <c r="HDZ85" s="31"/>
      <c r="HEA85" s="31"/>
      <c r="HEB85" s="31"/>
      <c r="HEC85" s="31"/>
      <c r="HED85" s="31"/>
      <c r="HEE85" s="31"/>
      <c r="HEF85" s="31"/>
      <c r="HEG85" s="31"/>
      <c r="HEH85" s="31"/>
      <c r="HEI85" s="31"/>
      <c r="HEJ85" s="31"/>
      <c r="HEK85" s="31"/>
      <c r="HEL85" s="31"/>
      <c r="HEM85" s="31"/>
      <c r="HEN85" s="31"/>
      <c r="HEO85" s="31"/>
      <c r="HEP85" s="31"/>
      <c r="HEQ85" s="31"/>
      <c r="HER85" s="31"/>
      <c r="HES85" s="31"/>
      <c r="HET85" s="31"/>
      <c r="HEU85" s="31"/>
      <c r="HEV85" s="31"/>
      <c r="HEW85" s="31"/>
      <c r="HEX85" s="31"/>
      <c r="HEY85" s="31"/>
      <c r="HEZ85" s="31"/>
      <c r="HFA85" s="31"/>
      <c r="HFB85" s="31"/>
      <c r="HFC85" s="31"/>
      <c r="HFD85" s="31"/>
      <c r="HFE85" s="31"/>
      <c r="HFF85" s="31"/>
      <c r="HFG85" s="31"/>
      <c r="HFH85" s="31"/>
      <c r="HFI85" s="31"/>
      <c r="HFJ85" s="31"/>
      <c r="HFK85" s="31"/>
      <c r="HFL85" s="31"/>
      <c r="HFM85" s="31"/>
      <c r="HFN85" s="31"/>
      <c r="HFO85" s="31"/>
      <c r="HFP85" s="31"/>
      <c r="HFQ85" s="31"/>
      <c r="HFR85" s="31"/>
      <c r="HFS85" s="31"/>
      <c r="HFT85" s="31"/>
      <c r="HFU85" s="31"/>
      <c r="HFV85" s="31"/>
      <c r="HFW85" s="31"/>
      <c r="HFX85" s="31"/>
      <c r="HFY85" s="31"/>
      <c r="HFZ85" s="31"/>
      <c r="HGA85" s="31"/>
      <c r="HGB85" s="31"/>
      <c r="HGC85" s="31"/>
      <c r="HGD85" s="31"/>
      <c r="HGE85" s="31"/>
      <c r="HGF85" s="31"/>
      <c r="HGG85" s="31"/>
      <c r="HGH85" s="31"/>
      <c r="HGI85" s="31"/>
      <c r="HGJ85" s="31"/>
      <c r="HGK85" s="31"/>
      <c r="HGL85" s="31"/>
      <c r="HGM85" s="31"/>
      <c r="HGN85" s="31"/>
      <c r="HGO85" s="31"/>
      <c r="HGP85" s="31"/>
      <c r="HGQ85" s="31"/>
      <c r="HGR85" s="31"/>
      <c r="HGS85" s="31"/>
      <c r="HGT85" s="31"/>
      <c r="HGU85" s="31"/>
      <c r="HGV85" s="31"/>
      <c r="HGW85" s="31"/>
      <c r="HGX85" s="31"/>
      <c r="HGY85" s="31"/>
      <c r="HGZ85" s="31"/>
      <c r="HHA85" s="31"/>
      <c r="HHB85" s="31"/>
      <c r="HHC85" s="31"/>
      <c r="HHD85" s="31"/>
      <c r="HHE85" s="31"/>
      <c r="HHF85" s="31"/>
      <c r="HHG85" s="31"/>
      <c r="HHH85" s="31"/>
      <c r="HHI85" s="31"/>
      <c r="HHJ85" s="31"/>
      <c r="HHK85" s="31"/>
      <c r="HHL85" s="31"/>
      <c r="HHM85" s="31"/>
      <c r="HHN85" s="31"/>
      <c r="HHO85" s="31"/>
      <c r="HHP85" s="31"/>
      <c r="HHQ85" s="31"/>
      <c r="HHR85" s="31"/>
      <c r="HHS85" s="31"/>
      <c r="HHT85" s="31"/>
      <c r="HHU85" s="31"/>
      <c r="HHV85" s="31"/>
      <c r="HHW85" s="31"/>
      <c r="HHX85" s="31"/>
      <c r="HHY85" s="31"/>
      <c r="HHZ85" s="31"/>
      <c r="HIA85" s="31"/>
      <c r="HIB85" s="31"/>
      <c r="HIC85" s="31"/>
      <c r="HID85" s="31"/>
      <c r="HIE85" s="31"/>
      <c r="HIF85" s="31"/>
      <c r="HIG85" s="31"/>
      <c r="HIH85" s="31"/>
      <c r="HII85" s="31"/>
      <c r="HIJ85" s="31"/>
      <c r="HIK85" s="31"/>
      <c r="HIL85" s="31"/>
      <c r="HIM85" s="31"/>
      <c r="HIN85" s="31"/>
      <c r="HIO85" s="31"/>
      <c r="HIP85" s="31"/>
      <c r="HIQ85" s="31"/>
      <c r="HIR85" s="31"/>
      <c r="HIS85" s="31"/>
      <c r="HIT85" s="31"/>
      <c r="HIU85" s="31"/>
      <c r="HIV85" s="31"/>
      <c r="HIW85" s="31"/>
      <c r="HIX85" s="31"/>
      <c r="HIY85" s="31"/>
      <c r="HIZ85" s="31"/>
      <c r="HJA85" s="31"/>
      <c r="HJB85" s="31"/>
      <c r="HJC85" s="31"/>
      <c r="HJD85" s="31"/>
      <c r="HJE85" s="31"/>
      <c r="HJF85" s="31"/>
      <c r="HJG85" s="31"/>
      <c r="HJH85" s="31"/>
      <c r="HJI85" s="31"/>
      <c r="HJJ85" s="31"/>
      <c r="HJK85" s="31"/>
      <c r="HJL85" s="31"/>
      <c r="HJM85" s="31"/>
      <c r="HJN85" s="31"/>
      <c r="HJO85" s="31"/>
      <c r="HJP85" s="31"/>
      <c r="HJQ85" s="31"/>
      <c r="HJR85" s="31"/>
      <c r="HJS85" s="31"/>
      <c r="HJT85" s="31"/>
      <c r="HJU85" s="31"/>
      <c r="HJV85" s="31"/>
      <c r="HJW85" s="31"/>
      <c r="HJX85" s="31"/>
      <c r="HJY85" s="31"/>
      <c r="HJZ85" s="31"/>
      <c r="HKA85" s="31"/>
      <c r="HKB85" s="31"/>
      <c r="HKC85" s="31"/>
      <c r="HKD85" s="31"/>
      <c r="HKE85" s="31"/>
      <c r="HKF85" s="31"/>
      <c r="HKG85" s="31"/>
      <c r="HKH85" s="31"/>
      <c r="HKI85" s="31"/>
      <c r="HKJ85" s="31"/>
      <c r="HKK85" s="31"/>
      <c r="HKL85" s="31"/>
      <c r="HKM85" s="31"/>
      <c r="HKN85" s="31"/>
      <c r="HKO85" s="31"/>
      <c r="HKP85" s="31"/>
      <c r="HKQ85" s="31"/>
      <c r="HKR85" s="31"/>
      <c r="HKS85" s="31"/>
      <c r="HKT85" s="31"/>
      <c r="HKU85" s="31"/>
      <c r="HKV85" s="31"/>
      <c r="HKW85" s="31"/>
      <c r="HKX85" s="31"/>
      <c r="HKY85" s="31"/>
      <c r="HKZ85" s="31"/>
      <c r="HLA85" s="31"/>
      <c r="HLB85" s="31"/>
      <c r="HLC85" s="31"/>
      <c r="HLD85" s="31"/>
      <c r="HLE85" s="31"/>
      <c r="HLF85" s="31"/>
      <c r="HLG85" s="31"/>
      <c r="HLH85" s="31"/>
      <c r="HLI85" s="31"/>
      <c r="HLJ85" s="31"/>
      <c r="HLK85" s="31"/>
      <c r="HLL85" s="31"/>
      <c r="HLM85" s="31"/>
      <c r="HLN85" s="31"/>
      <c r="HLO85" s="31"/>
      <c r="HLP85" s="31"/>
      <c r="HLQ85" s="31"/>
      <c r="HLR85" s="31"/>
      <c r="HLS85" s="31"/>
      <c r="HLT85" s="31"/>
      <c r="HLU85" s="31"/>
      <c r="HLV85" s="31"/>
      <c r="HLW85" s="31"/>
      <c r="HLX85" s="31"/>
      <c r="HLY85" s="31"/>
      <c r="HLZ85" s="31"/>
      <c r="HMA85" s="31"/>
      <c r="HMB85" s="31"/>
      <c r="HMC85" s="31"/>
      <c r="HMD85" s="31"/>
      <c r="HME85" s="31"/>
      <c r="HMF85" s="31"/>
      <c r="HMG85" s="31"/>
      <c r="HMH85" s="31"/>
      <c r="HMI85" s="31"/>
      <c r="HMJ85" s="31"/>
      <c r="HMK85" s="31"/>
      <c r="HML85" s="31"/>
      <c r="HMM85" s="31"/>
      <c r="HMN85" s="31"/>
      <c r="HMO85" s="31"/>
      <c r="HMP85" s="31"/>
      <c r="HMQ85" s="31"/>
      <c r="HMR85" s="31"/>
      <c r="HMS85" s="31"/>
      <c r="HMT85" s="31"/>
      <c r="HMU85" s="31"/>
      <c r="HMV85" s="31"/>
      <c r="HMW85" s="31"/>
      <c r="HMX85" s="31"/>
      <c r="HMY85" s="31"/>
      <c r="HMZ85" s="31"/>
      <c r="HNA85" s="31"/>
      <c r="HNB85" s="31"/>
      <c r="HNC85" s="31"/>
      <c r="HND85" s="31"/>
      <c r="HNE85" s="31"/>
      <c r="HNF85" s="31"/>
      <c r="HNG85" s="31"/>
      <c r="HNH85" s="31"/>
      <c r="HNI85" s="31"/>
      <c r="HNJ85" s="31"/>
      <c r="HNK85" s="31"/>
      <c r="HNL85" s="31"/>
      <c r="HNM85" s="31"/>
      <c r="HNN85" s="31"/>
      <c r="HNO85" s="31"/>
      <c r="HNP85" s="31"/>
      <c r="HNQ85" s="31"/>
      <c r="HNR85" s="31"/>
      <c r="HNS85" s="31"/>
      <c r="HNT85" s="31"/>
      <c r="HNU85" s="31"/>
      <c r="HNV85" s="31"/>
      <c r="HNW85" s="31"/>
      <c r="HNX85" s="31"/>
      <c r="HNY85" s="31"/>
      <c r="HNZ85" s="31"/>
      <c r="HOA85" s="31"/>
      <c r="HOB85" s="31"/>
      <c r="HOC85" s="31"/>
      <c r="HOD85" s="31"/>
      <c r="HOE85" s="31"/>
      <c r="HOF85" s="31"/>
      <c r="HOG85" s="31"/>
      <c r="HOH85" s="31"/>
      <c r="HOI85" s="31"/>
      <c r="HOJ85" s="31"/>
      <c r="HOK85" s="31"/>
      <c r="HOL85" s="31"/>
      <c r="HOM85" s="31"/>
      <c r="HON85" s="31"/>
      <c r="HOO85" s="31"/>
      <c r="HOP85" s="31"/>
      <c r="HOQ85" s="31"/>
      <c r="HOR85" s="31"/>
      <c r="HOS85" s="31"/>
      <c r="HOT85" s="31"/>
      <c r="HOU85" s="31"/>
      <c r="HOV85" s="31"/>
      <c r="HOW85" s="31"/>
      <c r="HOX85" s="31"/>
      <c r="HOY85" s="31"/>
      <c r="HOZ85" s="31"/>
      <c r="HPA85" s="31"/>
      <c r="HPB85" s="31"/>
      <c r="HPC85" s="31"/>
      <c r="HPD85" s="31"/>
      <c r="HPE85" s="31"/>
      <c r="HPF85" s="31"/>
      <c r="HPG85" s="31"/>
      <c r="HPH85" s="31"/>
      <c r="HPI85" s="31"/>
      <c r="HPJ85" s="31"/>
      <c r="HPK85" s="31"/>
      <c r="HPL85" s="31"/>
      <c r="HPM85" s="31"/>
      <c r="HPN85" s="31"/>
      <c r="HPO85" s="31"/>
      <c r="HPP85" s="31"/>
      <c r="HPQ85" s="31"/>
      <c r="HPR85" s="31"/>
      <c r="HPS85" s="31"/>
      <c r="HPT85" s="31"/>
      <c r="HPU85" s="31"/>
      <c r="HPV85" s="31"/>
      <c r="HPW85" s="31"/>
      <c r="HPX85" s="31"/>
      <c r="HPY85" s="31"/>
      <c r="HPZ85" s="31"/>
      <c r="HQA85" s="31"/>
      <c r="HQB85" s="31"/>
      <c r="HQC85" s="31"/>
      <c r="HQD85" s="31"/>
      <c r="HQE85" s="31"/>
      <c r="HQF85" s="31"/>
      <c r="HQG85" s="31"/>
      <c r="HQH85" s="31"/>
      <c r="HQI85" s="31"/>
      <c r="HQJ85" s="31"/>
      <c r="HQK85" s="31"/>
      <c r="HQL85" s="31"/>
      <c r="HQM85" s="31"/>
      <c r="HQN85" s="31"/>
      <c r="HQO85" s="31"/>
      <c r="HQP85" s="31"/>
      <c r="HQQ85" s="31"/>
      <c r="HQR85" s="31"/>
      <c r="HQS85" s="31"/>
      <c r="HQT85" s="31"/>
      <c r="HQU85" s="31"/>
      <c r="HQV85" s="31"/>
      <c r="HQW85" s="31"/>
      <c r="HQX85" s="31"/>
      <c r="HQY85" s="31"/>
      <c r="HQZ85" s="31"/>
      <c r="HRA85" s="31"/>
      <c r="HRB85" s="31"/>
      <c r="HRC85" s="31"/>
      <c r="HRD85" s="31"/>
      <c r="HRE85" s="31"/>
      <c r="HRF85" s="31"/>
      <c r="HRG85" s="31"/>
      <c r="HRH85" s="31"/>
      <c r="HRI85" s="31"/>
      <c r="HRJ85" s="31"/>
      <c r="HRK85" s="31"/>
      <c r="HRL85" s="31"/>
      <c r="HRM85" s="31"/>
      <c r="HRN85" s="31"/>
      <c r="HRO85" s="31"/>
      <c r="HRP85" s="31"/>
      <c r="HRQ85" s="31"/>
      <c r="HRR85" s="31"/>
      <c r="HRS85" s="31"/>
      <c r="HRT85" s="31"/>
      <c r="HRU85" s="31"/>
      <c r="HRV85" s="31"/>
      <c r="HRW85" s="31"/>
      <c r="HRX85" s="31"/>
      <c r="HRY85" s="31"/>
      <c r="HRZ85" s="31"/>
      <c r="HSA85" s="31"/>
      <c r="HSB85" s="31"/>
      <c r="HSC85" s="31"/>
      <c r="HSD85" s="31"/>
      <c r="HSE85" s="31"/>
      <c r="HSF85" s="31"/>
      <c r="HSG85" s="31"/>
      <c r="HSH85" s="31"/>
      <c r="HSI85" s="31"/>
      <c r="HSJ85" s="31"/>
      <c r="HSK85" s="31"/>
      <c r="HSL85" s="31"/>
      <c r="HSM85" s="31"/>
      <c r="HSN85" s="31"/>
      <c r="HSO85" s="31"/>
      <c r="HSP85" s="31"/>
      <c r="HSQ85" s="31"/>
      <c r="HSR85" s="31"/>
      <c r="HSS85" s="31"/>
      <c r="HST85" s="31"/>
      <c r="HSU85" s="31"/>
      <c r="HSV85" s="31"/>
      <c r="HSW85" s="31"/>
      <c r="HSX85" s="31"/>
      <c r="HSY85" s="31"/>
      <c r="HSZ85" s="31"/>
      <c r="HTA85" s="31"/>
      <c r="HTB85" s="31"/>
      <c r="HTC85" s="31"/>
      <c r="HTD85" s="31"/>
      <c r="HTE85" s="31"/>
      <c r="HTF85" s="31"/>
      <c r="HTG85" s="31"/>
      <c r="HTH85" s="31"/>
      <c r="HTI85" s="31"/>
      <c r="HTJ85" s="31"/>
      <c r="HTK85" s="31"/>
      <c r="HTL85" s="31"/>
      <c r="HTM85" s="31"/>
      <c r="HTN85" s="31"/>
      <c r="HTO85" s="31"/>
      <c r="HTP85" s="31"/>
      <c r="HTQ85" s="31"/>
      <c r="HTR85" s="31"/>
      <c r="HTS85" s="31"/>
      <c r="HTT85" s="31"/>
      <c r="HTU85" s="31"/>
      <c r="HTV85" s="31"/>
      <c r="HTW85" s="31"/>
      <c r="HTX85" s="31"/>
      <c r="HTY85" s="31"/>
      <c r="HTZ85" s="31"/>
      <c r="HUA85" s="31"/>
      <c r="HUB85" s="31"/>
      <c r="HUC85" s="31"/>
      <c r="HUD85" s="31"/>
      <c r="HUE85" s="31"/>
      <c r="HUF85" s="31"/>
      <c r="HUG85" s="31"/>
      <c r="HUH85" s="31"/>
      <c r="HUI85" s="31"/>
      <c r="HUJ85" s="31"/>
      <c r="HUK85" s="31"/>
      <c r="HUL85" s="31"/>
      <c r="HUM85" s="31"/>
      <c r="HUN85" s="31"/>
      <c r="HUO85" s="31"/>
      <c r="HUP85" s="31"/>
      <c r="HUQ85" s="31"/>
      <c r="HUR85" s="31"/>
      <c r="HUS85" s="31"/>
      <c r="HUT85" s="31"/>
      <c r="HUU85" s="31"/>
      <c r="HUV85" s="31"/>
      <c r="HUW85" s="31"/>
      <c r="HUX85" s="31"/>
      <c r="HUY85" s="31"/>
      <c r="HUZ85" s="31"/>
      <c r="HVA85" s="31"/>
      <c r="HVB85" s="31"/>
      <c r="HVC85" s="31"/>
      <c r="HVD85" s="31"/>
      <c r="HVE85" s="31"/>
      <c r="HVF85" s="31"/>
      <c r="HVG85" s="31"/>
      <c r="HVH85" s="31"/>
      <c r="HVI85" s="31"/>
      <c r="HVJ85" s="31"/>
      <c r="HVK85" s="31"/>
      <c r="HVL85" s="31"/>
      <c r="HVM85" s="31"/>
      <c r="HVN85" s="31"/>
      <c r="HVO85" s="31"/>
      <c r="HVP85" s="31"/>
      <c r="HVQ85" s="31"/>
      <c r="HVR85" s="31"/>
      <c r="HVS85" s="31"/>
      <c r="HVT85" s="31"/>
      <c r="HVU85" s="31"/>
      <c r="HVV85" s="31"/>
      <c r="HVW85" s="31"/>
      <c r="HVX85" s="31"/>
      <c r="HVY85" s="31"/>
      <c r="HVZ85" s="31"/>
      <c r="HWA85" s="31"/>
      <c r="HWB85" s="31"/>
      <c r="HWC85" s="31"/>
      <c r="HWD85" s="31"/>
      <c r="HWE85" s="31"/>
      <c r="HWF85" s="31"/>
      <c r="HWG85" s="31"/>
      <c r="HWH85" s="31"/>
      <c r="HWI85" s="31"/>
      <c r="HWJ85" s="31"/>
      <c r="HWK85" s="31"/>
      <c r="HWL85" s="31"/>
      <c r="HWM85" s="31"/>
      <c r="HWN85" s="31"/>
      <c r="HWO85" s="31"/>
      <c r="HWP85" s="31"/>
      <c r="HWQ85" s="31"/>
      <c r="HWR85" s="31"/>
      <c r="HWS85" s="31"/>
      <c r="HWT85" s="31"/>
      <c r="HWU85" s="31"/>
      <c r="HWV85" s="31"/>
      <c r="HWW85" s="31"/>
      <c r="HWX85" s="31"/>
      <c r="HWY85" s="31"/>
      <c r="HWZ85" s="31"/>
      <c r="HXA85" s="31"/>
      <c r="HXB85" s="31"/>
      <c r="HXC85" s="31"/>
      <c r="HXD85" s="31"/>
      <c r="HXE85" s="31"/>
      <c r="HXF85" s="31"/>
      <c r="HXG85" s="31"/>
      <c r="HXH85" s="31"/>
      <c r="HXI85" s="31"/>
      <c r="HXJ85" s="31"/>
      <c r="HXK85" s="31"/>
      <c r="HXL85" s="31"/>
      <c r="HXM85" s="31"/>
      <c r="HXN85" s="31"/>
      <c r="HXO85" s="31"/>
      <c r="HXP85" s="31"/>
      <c r="HXQ85" s="31"/>
      <c r="HXR85" s="31"/>
      <c r="HXS85" s="31"/>
      <c r="HXT85" s="31"/>
      <c r="HXU85" s="31"/>
      <c r="HXV85" s="31"/>
      <c r="HXW85" s="31"/>
      <c r="HXX85" s="31"/>
      <c r="HXY85" s="31"/>
      <c r="HXZ85" s="31"/>
      <c r="HYA85" s="31"/>
      <c r="HYB85" s="31"/>
      <c r="HYC85" s="31"/>
      <c r="HYD85" s="31"/>
      <c r="HYE85" s="31"/>
      <c r="HYF85" s="31"/>
      <c r="HYG85" s="31"/>
      <c r="HYH85" s="31"/>
      <c r="HYI85" s="31"/>
      <c r="HYJ85" s="31"/>
      <c r="HYK85" s="31"/>
      <c r="HYL85" s="31"/>
      <c r="HYM85" s="31"/>
      <c r="HYN85" s="31"/>
      <c r="HYO85" s="31"/>
      <c r="HYP85" s="31"/>
      <c r="HYQ85" s="31"/>
      <c r="HYR85" s="31"/>
      <c r="HYS85" s="31"/>
      <c r="HYT85" s="31"/>
      <c r="HYU85" s="31"/>
      <c r="HYV85" s="31"/>
      <c r="HYW85" s="31"/>
      <c r="HYX85" s="31"/>
      <c r="HYY85" s="31"/>
      <c r="HYZ85" s="31"/>
      <c r="HZA85" s="31"/>
      <c r="HZB85" s="31"/>
      <c r="HZC85" s="31"/>
      <c r="HZD85" s="31"/>
      <c r="HZE85" s="31"/>
      <c r="HZF85" s="31"/>
      <c r="HZG85" s="31"/>
      <c r="HZH85" s="31"/>
      <c r="HZI85" s="31"/>
      <c r="HZJ85" s="31"/>
      <c r="HZK85" s="31"/>
      <c r="HZL85" s="31"/>
      <c r="HZM85" s="31"/>
      <c r="HZN85" s="31"/>
      <c r="HZO85" s="31"/>
      <c r="HZP85" s="31"/>
      <c r="HZQ85" s="31"/>
      <c r="HZR85" s="31"/>
      <c r="HZS85" s="31"/>
      <c r="HZT85" s="31"/>
      <c r="HZU85" s="31"/>
      <c r="HZV85" s="31"/>
      <c r="HZW85" s="31"/>
      <c r="HZX85" s="31"/>
      <c r="HZY85" s="31"/>
      <c r="HZZ85" s="31"/>
      <c r="IAA85" s="31"/>
      <c r="IAB85" s="31"/>
      <c r="IAC85" s="31"/>
      <c r="IAD85" s="31"/>
      <c r="IAE85" s="31"/>
      <c r="IAF85" s="31"/>
      <c r="IAG85" s="31"/>
      <c r="IAH85" s="31"/>
      <c r="IAI85" s="31"/>
      <c r="IAJ85" s="31"/>
      <c r="IAK85" s="31"/>
      <c r="IAL85" s="31"/>
      <c r="IAM85" s="31"/>
      <c r="IAN85" s="31"/>
      <c r="IAO85" s="31"/>
      <c r="IAP85" s="31"/>
      <c r="IAQ85" s="31"/>
      <c r="IAR85" s="31"/>
      <c r="IAS85" s="31"/>
      <c r="IAT85" s="31"/>
      <c r="IAU85" s="31"/>
      <c r="IAV85" s="31"/>
      <c r="IAW85" s="31"/>
      <c r="IAX85" s="31"/>
      <c r="IAY85" s="31"/>
      <c r="IAZ85" s="31"/>
      <c r="IBA85" s="31"/>
      <c r="IBB85" s="31"/>
      <c r="IBC85" s="31"/>
      <c r="IBD85" s="31"/>
      <c r="IBE85" s="31"/>
      <c r="IBF85" s="31"/>
      <c r="IBG85" s="31"/>
      <c r="IBH85" s="31"/>
      <c r="IBI85" s="31"/>
      <c r="IBJ85" s="31"/>
      <c r="IBK85" s="31"/>
      <c r="IBL85" s="31"/>
      <c r="IBM85" s="31"/>
      <c r="IBN85" s="31"/>
      <c r="IBO85" s="31"/>
      <c r="IBP85" s="31"/>
      <c r="IBQ85" s="31"/>
      <c r="IBR85" s="31"/>
      <c r="IBS85" s="31"/>
      <c r="IBT85" s="31"/>
      <c r="IBU85" s="31"/>
      <c r="IBV85" s="31"/>
      <c r="IBW85" s="31"/>
      <c r="IBX85" s="31"/>
      <c r="IBY85" s="31"/>
      <c r="IBZ85" s="31"/>
      <c r="ICA85" s="31"/>
      <c r="ICB85" s="31"/>
      <c r="ICC85" s="31"/>
      <c r="ICD85" s="31"/>
      <c r="ICE85" s="31"/>
      <c r="ICF85" s="31"/>
      <c r="ICG85" s="31"/>
      <c r="ICH85" s="31"/>
      <c r="ICI85" s="31"/>
      <c r="ICJ85" s="31"/>
      <c r="ICK85" s="31"/>
      <c r="ICL85" s="31"/>
      <c r="ICM85" s="31"/>
      <c r="ICN85" s="31"/>
      <c r="ICO85" s="31"/>
      <c r="ICP85" s="31"/>
      <c r="ICQ85" s="31"/>
      <c r="ICR85" s="31"/>
      <c r="ICS85" s="31"/>
      <c r="ICT85" s="31"/>
      <c r="ICU85" s="31"/>
      <c r="ICV85" s="31"/>
      <c r="ICW85" s="31"/>
      <c r="ICX85" s="31"/>
      <c r="ICY85" s="31"/>
      <c r="ICZ85" s="31"/>
      <c r="IDA85" s="31"/>
      <c r="IDB85" s="31"/>
      <c r="IDC85" s="31"/>
      <c r="IDD85" s="31"/>
      <c r="IDE85" s="31"/>
      <c r="IDF85" s="31"/>
      <c r="IDG85" s="31"/>
      <c r="IDH85" s="31"/>
      <c r="IDI85" s="31"/>
      <c r="IDJ85" s="31"/>
      <c r="IDK85" s="31"/>
      <c r="IDL85" s="31"/>
      <c r="IDM85" s="31"/>
      <c r="IDN85" s="31"/>
      <c r="IDO85" s="31"/>
      <c r="IDP85" s="31"/>
      <c r="IDQ85" s="31"/>
      <c r="IDR85" s="31"/>
      <c r="IDS85" s="31"/>
      <c r="IDT85" s="31"/>
      <c r="IDU85" s="31"/>
      <c r="IDV85" s="31"/>
      <c r="IDW85" s="31"/>
      <c r="IDX85" s="31"/>
      <c r="IDY85" s="31"/>
      <c r="IDZ85" s="31"/>
      <c r="IEA85" s="31"/>
      <c r="IEB85" s="31"/>
      <c r="IEC85" s="31"/>
      <c r="IED85" s="31"/>
      <c r="IEE85" s="31"/>
      <c r="IEF85" s="31"/>
      <c r="IEG85" s="31"/>
      <c r="IEH85" s="31"/>
      <c r="IEI85" s="31"/>
      <c r="IEJ85" s="31"/>
      <c r="IEK85" s="31"/>
      <c r="IEL85" s="31"/>
      <c r="IEM85" s="31"/>
      <c r="IEN85" s="31"/>
      <c r="IEO85" s="31"/>
      <c r="IEP85" s="31"/>
      <c r="IEQ85" s="31"/>
      <c r="IER85" s="31"/>
      <c r="IES85" s="31"/>
      <c r="IET85" s="31"/>
      <c r="IEU85" s="31"/>
      <c r="IEV85" s="31"/>
      <c r="IEW85" s="31"/>
      <c r="IEX85" s="31"/>
      <c r="IEY85" s="31"/>
      <c r="IEZ85" s="31"/>
      <c r="IFA85" s="31"/>
      <c r="IFB85" s="31"/>
      <c r="IFC85" s="31"/>
      <c r="IFD85" s="31"/>
      <c r="IFE85" s="31"/>
      <c r="IFF85" s="31"/>
      <c r="IFG85" s="31"/>
      <c r="IFH85" s="31"/>
      <c r="IFI85" s="31"/>
      <c r="IFJ85" s="31"/>
      <c r="IFK85" s="31"/>
      <c r="IFL85" s="31"/>
      <c r="IFM85" s="31"/>
      <c r="IFN85" s="31"/>
      <c r="IFO85" s="31"/>
      <c r="IFP85" s="31"/>
      <c r="IFQ85" s="31"/>
      <c r="IFR85" s="31"/>
      <c r="IFS85" s="31"/>
      <c r="IFT85" s="31"/>
      <c r="IFU85" s="31"/>
      <c r="IFV85" s="31"/>
      <c r="IFW85" s="31"/>
      <c r="IFX85" s="31"/>
      <c r="IFY85" s="31"/>
      <c r="IFZ85" s="31"/>
      <c r="IGA85" s="31"/>
      <c r="IGB85" s="31"/>
      <c r="IGC85" s="31"/>
      <c r="IGD85" s="31"/>
      <c r="IGE85" s="31"/>
      <c r="IGF85" s="31"/>
      <c r="IGG85" s="31"/>
      <c r="IGH85" s="31"/>
      <c r="IGI85" s="31"/>
      <c r="IGJ85" s="31"/>
      <c r="IGK85" s="31"/>
      <c r="IGL85" s="31"/>
      <c r="IGM85" s="31"/>
      <c r="IGN85" s="31"/>
      <c r="IGO85" s="31"/>
      <c r="IGP85" s="31"/>
      <c r="IGQ85" s="31"/>
      <c r="IGR85" s="31"/>
      <c r="IGS85" s="31"/>
      <c r="IGT85" s="31"/>
      <c r="IGU85" s="31"/>
      <c r="IGV85" s="31"/>
      <c r="IGW85" s="31"/>
      <c r="IGX85" s="31"/>
      <c r="IGY85" s="31"/>
      <c r="IGZ85" s="31"/>
      <c r="IHA85" s="31"/>
      <c r="IHB85" s="31"/>
      <c r="IHC85" s="31"/>
      <c r="IHD85" s="31"/>
      <c r="IHE85" s="31"/>
      <c r="IHF85" s="31"/>
      <c r="IHG85" s="31"/>
      <c r="IHH85" s="31"/>
      <c r="IHI85" s="31"/>
      <c r="IHJ85" s="31"/>
      <c r="IHK85" s="31"/>
      <c r="IHL85" s="31"/>
      <c r="IHM85" s="31"/>
      <c r="IHN85" s="31"/>
      <c r="IHO85" s="31"/>
      <c r="IHP85" s="31"/>
      <c r="IHQ85" s="31"/>
      <c r="IHR85" s="31"/>
      <c r="IHS85" s="31"/>
      <c r="IHT85" s="31"/>
      <c r="IHU85" s="31"/>
      <c r="IHV85" s="31"/>
      <c r="IHW85" s="31"/>
      <c r="IHX85" s="31"/>
      <c r="IHY85" s="31"/>
      <c r="IHZ85" s="31"/>
      <c r="IIA85" s="31"/>
      <c r="IIB85" s="31"/>
      <c r="IIC85" s="31"/>
      <c r="IID85" s="31"/>
      <c r="IIE85" s="31"/>
      <c r="IIF85" s="31"/>
      <c r="IIG85" s="31"/>
      <c r="IIH85" s="31"/>
      <c r="III85" s="31"/>
      <c r="IIJ85" s="31"/>
      <c r="IIK85" s="31"/>
      <c r="IIL85" s="31"/>
      <c r="IIM85" s="31"/>
      <c r="IIN85" s="31"/>
      <c r="IIO85" s="31"/>
      <c r="IIP85" s="31"/>
      <c r="IIQ85" s="31"/>
      <c r="IIR85" s="31"/>
      <c r="IIS85" s="31"/>
      <c r="IIT85" s="31"/>
      <c r="IIU85" s="31"/>
      <c r="IIV85" s="31"/>
      <c r="IIW85" s="31"/>
      <c r="IIX85" s="31"/>
      <c r="IIY85" s="31"/>
      <c r="IIZ85" s="31"/>
      <c r="IJA85" s="31"/>
      <c r="IJB85" s="31"/>
      <c r="IJC85" s="31"/>
      <c r="IJD85" s="31"/>
      <c r="IJE85" s="31"/>
      <c r="IJF85" s="31"/>
      <c r="IJG85" s="31"/>
      <c r="IJH85" s="31"/>
      <c r="IJI85" s="31"/>
      <c r="IJJ85" s="31"/>
      <c r="IJK85" s="31"/>
      <c r="IJL85" s="31"/>
      <c r="IJM85" s="31"/>
      <c r="IJN85" s="31"/>
      <c r="IJO85" s="31"/>
      <c r="IJP85" s="31"/>
      <c r="IJQ85" s="31"/>
      <c r="IJR85" s="31"/>
      <c r="IJS85" s="31"/>
      <c r="IJT85" s="31"/>
      <c r="IJU85" s="31"/>
      <c r="IJV85" s="31"/>
      <c r="IJW85" s="31"/>
      <c r="IJX85" s="31"/>
      <c r="IJY85" s="31"/>
      <c r="IJZ85" s="31"/>
      <c r="IKA85" s="31"/>
      <c r="IKB85" s="31"/>
      <c r="IKC85" s="31"/>
      <c r="IKD85" s="31"/>
      <c r="IKE85" s="31"/>
      <c r="IKF85" s="31"/>
      <c r="IKG85" s="31"/>
      <c r="IKH85" s="31"/>
      <c r="IKI85" s="31"/>
      <c r="IKJ85" s="31"/>
      <c r="IKK85" s="31"/>
      <c r="IKL85" s="31"/>
      <c r="IKM85" s="31"/>
      <c r="IKN85" s="31"/>
      <c r="IKO85" s="31"/>
      <c r="IKP85" s="31"/>
      <c r="IKQ85" s="31"/>
      <c r="IKR85" s="31"/>
      <c r="IKS85" s="31"/>
      <c r="IKT85" s="31"/>
      <c r="IKU85" s="31"/>
      <c r="IKV85" s="31"/>
      <c r="IKW85" s="31"/>
      <c r="IKX85" s="31"/>
      <c r="IKY85" s="31"/>
      <c r="IKZ85" s="31"/>
      <c r="ILA85" s="31"/>
      <c r="ILB85" s="31"/>
      <c r="ILC85" s="31"/>
      <c r="ILD85" s="31"/>
      <c r="ILE85" s="31"/>
      <c r="ILF85" s="31"/>
      <c r="ILG85" s="31"/>
      <c r="ILH85" s="31"/>
      <c r="ILI85" s="31"/>
      <c r="ILJ85" s="31"/>
      <c r="ILK85" s="31"/>
      <c r="ILL85" s="31"/>
      <c r="ILM85" s="31"/>
      <c r="ILN85" s="31"/>
      <c r="ILO85" s="31"/>
      <c r="ILP85" s="31"/>
      <c r="ILQ85" s="31"/>
      <c r="ILR85" s="31"/>
      <c r="ILS85" s="31"/>
      <c r="ILT85" s="31"/>
      <c r="ILU85" s="31"/>
      <c r="ILV85" s="31"/>
      <c r="ILW85" s="31"/>
      <c r="ILX85" s="31"/>
      <c r="ILY85" s="31"/>
      <c r="ILZ85" s="31"/>
      <c r="IMA85" s="31"/>
      <c r="IMB85" s="31"/>
      <c r="IMC85" s="31"/>
      <c r="IMD85" s="31"/>
      <c r="IME85" s="31"/>
      <c r="IMF85" s="31"/>
      <c r="IMG85" s="31"/>
      <c r="IMH85" s="31"/>
      <c r="IMI85" s="31"/>
      <c r="IMJ85" s="31"/>
      <c r="IMK85" s="31"/>
      <c r="IML85" s="31"/>
      <c r="IMM85" s="31"/>
      <c r="IMN85" s="31"/>
      <c r="IMO85" s="31"/>
      <c r="IMP85" s="31"/>
      <c r="IMQ85" s="31"/>
      <c r="IMR85" s="31"/>
      <c r="IMS85" s="31"/>
      <c r="IMT85" s="31"/>
      <c r="IMU85" s="31"/>
      <c r="IMV85" s="31"/>
      <c r="IMW85" s="31"/>
      <c r="IMX85" s="31"/>
      <c r="IMY85" s="31"/>
      <c r="IMZ85" s="31"/>
      <c r="INA85" s="31"/>
      <c r="INB85" s="31"/>
      <c r="INC85" s="31"/>
      <c r="IND85" s="31"/>
      <c r="INE85" s="31"/>
      <c r="INF85" s="31"/>
      <c r="ING85" s="31"/>
      <c r="INH85" s="31"/>
      <c r="INI85" s="31"/>
      <c r="INJ85" s="31"/>
      <c r="INK85" s="31"/>
      <c r="INL85" s="31"/>
      <c r="INM85" s="31"/>
      <c r="INN85" s="31"/>
      <c r="INO85" s="31"/>
      <c r="INP85" s="31"/>
      <c r="INQ85" s="31"/>
      <c r="INR85" s="31"/>
      <c r="INS85" s="31"/>
      <c r="INT85" s="31"/>
      <c r="INU85" s="31"/>
      <c r="INV85" s="31"/>
      <c r="INW85" s="31"/>
      <c r="INX85" s="31"/>
      <c r="INY85" s="31"/>
      <c r="INZ85" s="31"/>
      <c r="IOA85" s="31"/>
      <c r="IOB85" s="31"/>
      <c r="IOC85" s="31"/>
      <c r="IOD85" s="31"/>
      <c r="IOE85" s="31"/>
      <c r="IOF85" s="31"/>
      <c r="IOG85" s="31"/>
      <c r="IOH85" s="31"/>
      <c r="IOI85" s="31"/>
      <c r="IOJ85" s="31"/>
      <c r="IOK85" s="31"/>
      <c r="IOL85" s="31"/>
      <c r="IOM85" s="31"/>
      <c r="ION85" s="31"/>
      <c r="IOO85" s="31"/>
      <c r="IOP85" s="31"/>
      <c r="IOQ85" s="31"/>
      <c r="IOR85" s="31"/>
      <c r="IOS85" s="31"/>
      <c r="IOT85" s="31"/>
      <c r="IOU85" s="31"/>
      <c r="IOV85" s="31"/>
      <c r="IOW85" s="31"/>
      <c r="IOX85" s="31"/>
      <c r="IOY85" s="31"/>
      <c r="IOZ85" s="31"/>
      <c r="IPA85" s="31"/>
      <c r="IPB85" s="31"/>
      <c r="IPC85" s="31"/>
      <c r="IPD85" s="31"/>
      <c r="IPE85" s="31"/>
      <c r="IPF85" s="31"/>
      <c r="IPG85" s="31"/>
      <c r="IPH85" s="31"/>
      <c r="IPI85" s="31"/>
      <c r="IPJ85" s="31"/>
      <c r="IPK85" s="31"/>
      <c r="IPL85" s="31"/>
      <c r="IPM85" s="31"/>
      <c r="IPN85" s="31"/>
      <c r="IPO85" s="31"/>
      <c r="IPP85" s="31"/>
      <c r="IPQ85" s="31"/>
      <c r="IPR85" s="31"/>
      <c r="IPS85" s="31"/>
      <c r="IPT85" s="31"/>
      <c r="IPU85" s="31"/>
      <c r="IPV85" s="31"/>
      <c r="IPW85" s="31"/>
      <c r="IPX85" s="31"/>
      <c r="IPY85" s="31"/>
      <c r="IPZ85" s="31"/>
      <c r="IQA85" s="31"/>
      <c r="IQB85" s="31"/>
      <c r="IQC85" s="31"/>
      <c r="IQD85" s="31"/>
      <c r="IQE85" s="31"/>
      <c r="IQF85" s="31"/>
      <c r="IQG85" s="31"/>
      <c r="IQH85" s="31"/>
      <c r="IQI85" s="31"/>
      <c r="IQJ85" s="31"/>
      <c r="IQK85" s="31"/>
      <c r="IQL85" s="31"/>
      <c r="IQM85" s="31"/>
      <c r="IQN85" s="31"/>
      <c r="IQO85" s="31"/>
      <c r="IQP85" s="31"/>
      <c r="IQQ85" s="31"/>
      <c r="IQR85" s="31"/>
      <c r="IQS85" s="31"/>
      <c r="IQT85" s="31"/>
      <c r="IQU85" s="31"/>
      <c r="IQV85" s="31"/>
      <c r="IQW85" s="31"/>
      <c r="IQX85" s="31"/>
      <c r="IQY85" s="31"/>
      <c r="IQZ85" s="31"/>
      <c r="IRA85" s="31"/>
      <c r="IRB85" s="31"/>
      <c r="IRC85" s="31"/>
      <c r="IRD85" s="31"/>
      <c r="IRE85" s="31"/>
      <c r="IRF85" s="31"/>
      <c r="IRG85" s="31"/>
      <c r="IRH85" s="31"/>
      <c r="IRI85" s="31"/>
      <c r="IRJ85" s="31"/>
      <c r="IRK85" s="31"/>
      <c r="IRL85" s="31"/>
      <c r="IRM85" s="31"/>
      <c r="IRN85" s="31"/>
      <c r="IRO85" s="31"/>
      <c r="IRP85" s="31"/>
      <c r="IRQ85" s="31"/>
      <c r="IRR85" s="31"/>
      <c r="IRS85" s="31"/>
      <c r="IRT85" s="31"/>
      <c r="IRU85" s="31"/>
      <c r="IRV85" s="31"/>
      <c r="IRW85" s="31"/>
      <c r="IRX85" s="31"/>
      <c r="IRY85" s="31"/>
      <c r="IRZ85" s="31"/>
      <c r="ISA85" s="31"/>
      <c r="ISB85" s="31"/>
      <c r="ISC85" s="31"/>
      <c r="ISD85" s="31"/>
      <c r="ISE85" s="31"/>
      <c r="ISF85" s="31"/>
      <c r="ISG85" s="31"/>
      <c r="ISH85" s="31"/>
      <c r="ISI85" s="31"/>
      <c r="ISJ85" s="31"/>
      <c r="ISK85" s="31"/>
      <c r="ISL85" s="31"/>
      <c r="ISM85" s="31"/>
      <c r="ISN85" s="31"/>
      <c r="ISO85" s="31"/>
      <c r="ISP85" s="31"/>
      <c r="ISQ85" s="31"/>
      <c r="ISR85" s="31"/>
      <c r="ISS85" s="31"/>
      <c r="IST85" s="31"/>
      <c r="ISU85" s="31"/>
      <c r="ISV85" s="31"/>
      <c r="ISW85" s="31"/>
      <c r="ISX85" s="31"/>
      <c r="ISY85" s="31"/>
      <c r="ISZ85" s="31"/>
      <c r="ITA85" s="31"/>
      <c r="ITB85" s="31"/>
      <c r="ITC85" s="31"/>
      <c r="ITD85" s="31"/>
      <c r="ITE85" s="31"/>
      <c r="ITF85" s="31"/>
      <c r="ITG85" s="31"/>
      <c r="ITH85" s="31"/>
      <c r="ITI85" s="31"/>
      <c r="ITJ85" s="31"/>
      <c r="ITK85" s="31"/>
      <c r="ITL85" s="31"/>
      <c r="ITM85" s="31"/>
      <c r="ITN85" s="31"/>
      <c r="ITO85" s="31"/>
      <c r="ITP85" s="31"/>
      <c r="ITQ85" s="31"/>
      <c r="ITR85" s="31"/>
      <c r="ITS85" s="31"/>
      <c r="ITT85" s="31"/>
      <c r="ITU85" s="31"/>
      <c r="ITV85" s="31"/>
      <c r="ITW85" s="31"/>
      <c r="ITX85" s="31"/>
      <c r="ITY85" s="31"/>
      <c r="ITZ85" s="31"/>
      <c r="IUA85" s="31"/>
      <c r="IUB85" s="31"/>
      <c r="IUC85" s="31"/>
      <c r="IUD85" s="31"/>
      <c r="IUE85" s="31"/>
      <c r="IUF85" s="31"/>
      <c r="IUG85" s="31"/>
      <c r="IUH85" s="31"/>
      <c r="IUI85" s="31"/>
      <c r="IUJ85" s="31"/>
      <c r="IUK85" s="31"/>
      <c r="IUL85" s="31"/>
      <c r="IUM85" s="31"/>
      <c r="IUN85" s="31"/>
      <c r="IUO85" s="31"/>
      <c r="IUP85" s="31"/>
      <c r="IUQ85" s="31"/>
      <c r="IUR85" s="31"/>
      <c r="IUS85" s="31"/>
      <c r="IUT85" s="31"/>
      <c r="IUU85" s="31"/>
      <c r="IUV85" s="31"/>
      <c r="IUW85" s="31"/>
      <c r="IUX85" s="31"/>
      <c r="IUY85" s="31"/>
      <c r="IUZ85" s="31"/>
      <c r="IVA85" s="31"/>
      <c r="IVB85" s="31"/>
      <c r="IVC85" s="31"/>
      <c r="IVD85" s="31"/>
      <c r="IVE85" s="31"/>
      <c r="IVF85" s="31"/>
      <c r="IVG85" s="31"/>
      <c r="IVH85" s="31"/>
      <c r="IVI85" s="31"/>
      <c r="IVJ85" s="31"/>
      <c r="IVK85" s="31"/>
      <c r="IVL85" s="31"/>
      <c r="IVM85" s="31"/>
      <c r="IVN85" s="31"/>
      <c r="IVO85" s="31"/>
      <c r="IVP85" s="31"/>
      <c r="IVQ85" s="31"/>
      <c r="IVR85" s="31"/>
      <c r="IVS85" s="31"/>
      <c r="IVT85" s="31"/>
      <c r="IVU85" s="31"/>
      <c r="IVV85" s="31"/>
      <c r="IVW85" s="31"/>
      <c r="IVX85" s="31"/>
      <c r="IVY85" s="31"/>
      <c r="IVZ85" s="31"/>
      <c r="IWA85" s="31"/>
      <c r="IWB85" s="31"/>
      <c r="IWC85" s="31"/>
      <c r="IWD85" s="31"/>
      <c r="IWE85" s="31"/>
      <c r="IWF85" s="31"/>
      <c r="IWG85" s="31"/>
      <c r="IWH85" s="31"/>
      <c r="IWI85" s="31"/>
      <c r="IWJ85" s="31"/>
      <c r="IWK85" s="31"/>
      <c r="IWL85" s="31"/>
      <c r="IWM85" s="31"/>
      <c r="IWN85" s="31"/>
      <c r="IWO85" s="31"/>
      <c r="IWP85" s="31"/>
      <c r="IWQ85" s="31"/>
      <c r="IWR85" s="31"/>
      <c r="IWS85" s="31"/>
      <c r="IWT85" s="31"/>
      <c r="IWU85" s="31"/>
      <c r="IWV85" s="31"/>
      <c r="IWW85" s="31"/>
      <c r="IWX85" s="31"/>
      <c r="IWY85" s="31"/>
      <c r="IWZ85" s="31"/>
      <c r="IXA85" s="31"/>
      <c r="IXB85" s="31"/>
      <c r="IXC85" s="31"/>
      <c r="IXD85" s="31"/>
      <c r="IXE85" s="31"/>
      <c r="IXF85" s="31"/>
      <c r="IXG85" s="31"/>
      <c r="IXH85" s="31"/>
      <c r="IXI85" s="31"/>
      <c r="IXJ85" s="31"/>
      <c r="IXK85" s="31"/>
      <c r="IXL85" s="31"/>
      <c r="IXM85" s="31"/>
      <c r="IXN85" s="31"/>
      <c r="IXO85" s="31"/>
      <c r="IXP85" s="31"/>
      <c r="IXQ85" s="31"/>
      <c r="IXR85" s="31"/>
      <c r="IXS85" s="31"/>
      <c r="IXT85" s="31"/>
      <c r="IXU85" s="31"/>
      <c r="IXV85" s="31"/>
      <c r="IXW85" s="31"/>
      <c r="IXX85" s="31"/>
      <c r="IXY85" s="31"/>
      <c r="IXZ85" s="31"/>
      <c r="IYA85" s="31"/>
      <c r="IYB85" s="31"/>
      <c r="IYC85" s="31"/>
      <c r="IYD85" s="31"/>
      <c r="IYE85" s="31"/>
      <c r="IYF85" s="31"/>
      <c r="IYG85" s="31"/>
      <c r="IYH85" s="31"/>
      <c r="IYI85" s="31"/>
      <c r="IYJ85" s="31"/>
      <c r="IYK85" s="31"/>
      <c r="IYL85" s="31"/>
      <c r="IYM85" s="31"/>
      <c r="IYN85" s="31"/>
      <c r="IYO85" s="31"/>
      <c r="IYP85" s="31"/>
      <c r="IYQ85" s="31"/>
      <c r="IYR85" s="31"/>
      <c r="IYS85" s="31"/>
      <c r="IYT85" s="31"/>
      <c r="IYU85" s="31"/>
      <c r="IYV85" s="31"/>
      <c r="IYW85" s="31"/>
      <c r="IYX85" s="31"/>
      <c r="IYY85" s="31"/>
      <c r="IYZ85" s="31"/>
      <c r="IZA85" s="31"/>
      <c r="IZB85" s="31"/>
      <c r="IZC85" s="31"/>
      <c r="IZD85" s="31"/>
      <c r="IZE85" s="31"/>
      <c r="IZF85" s="31"/>
      <c r="IZG85" s="31"/>
      <c r="IZH85" s="31"/>
      <c r="IZI85" s="31"/>
      <c r="IZJ85" s="31"/>
      <c r="IZK85" s="31"/>
      <c r="IZL85" s="31"/>
      <c r="IZM85" s="31"/>
      <c r="IZN85" s="31"/>
      <c r="IZO85" s="31"/>
      <c r="IZP85" s="31"/>
      <c r="IZQ85" s="31"/>
      <c r="IZR85" s="31"/>
      <c r="IZS85" s="31"/>
      <c r="IZT85" s="31"/>
      <c r="IZU85" s="31"/>
      <c r="IZV85" s="31"/>
      <c r="IZW85" s="31"/>
      <c r="IZX85" s="31"/>
      <c r="IZY85" s="31"/>
      <c r="IZZ85" s="31"/>
      <c r="JAA85" s="31"/>
      <c r="JAB85" s="31"/>
      <c r="JAC85" s="31"/>
      <c r="JAD85" s="31"/>
      <c r="JAE85" s="31"/>
      <c r="JAF85" s="31"/>
      <c r="JAG85" s="31"/>
      <c r="JAH85" s="31"/>
      <c r="JAI85" s="31"/>
      <c r="JAJ85" s="31"/>
      <c r="JAK85" s="31"/>
      <c r="JAL85" s="31"/>
      <c r="JAM85" s="31"/>
      <c r="JAN85" s="31"/>
      <c r="JAO85" s="31"/>
      <c r="JAP85" s="31"/>
      <c r="JAQ85" s="31"/>
      <c r="JAR85" s="31"/>
      <c r="JAS85" s="31"/>
      <c r="JAT85" s="31"/>
      <c r="JAU85" s="31"/>
      <c r="JAV85" s="31"/>
      <c r="JAW85" s="31"/>
      <c r="JAX85" s="31"/>
      <c r="JAY85" s="31"/>
      <c r="JAZ85" s="31"/>
      <c r="JBA85" s="31"/>
      <c r="JBB85" s="31"/>
      <c r="JBC85" s="31"/>
      <c r="JBD85" s="31"/>
      <c r="JBE85" s="31"/>
      <c r="JBF85" s="31"/>
      <c r="JBG85" s="31"/>
      <c r="JBH85" s="31"/>
      <c r="JBI85" s="31"/>
      <c r="JBJ85" s="31"/>
      <c r="JBK85" s="31"/>
      <c r="JBL85" s="31"/>
      <c r="JBM85" s="31"/>
      <c r="JBN85" s="31"/>
      <c r="JBO85" s="31"/>
      <c r="JBP85" s="31"/>
      <c r="JBQ85" s="31"/>
      <c r="JBR85" s="31"/>
      <c r="JBS85" s="31"/>
      <c r="JBT85" s="31"/>
      <c r="JBU85" s="31"/>
      <c r="JBV85" s="31"/>
      <c r="JBW85" s="31"/>
      <c r="JBX85" s="31"/>
      <c r="JBY85" s="31"/>
      <c r="JBZ85" s="31"/>
      <c r="JCA85" s="31"/>
      <c r="JCB85" s="31"/>
      <c r="JCC85" s="31"/>
      <c r="JCD85" s="31"/>
      <c r="JCE85" s="31"/>
      <c r="JCF85" s="31"/>
      <c r="JCG85" s="31"/>
      <c r="JCH85" s="31"/>
      <c r="JCI85" s="31"/>
      <c r="JCJ85" s="31"/>
      <c r="JCK85" s="31"/>
      <c r="JCL85" s="31"/>
      <c r="JCM85" s="31"/>
      <c r="JCN85" s="31"/>
      <c r="JCO85" s="31"/>
      <c r="JCP85" s="31"/>
      <c r="JCQ85" s="31"/>
      <c r="JCR85" s="31"/>
      <c r="JCS85" s="31"/>
      <c r="JCT85" s="31"/>
      <c r="JCU85" s="31"/>
      <c r="JCV85" s="31"/>
      <c r="JCW85" s="31"/>
      <c r="JCX85" s="31"/>
      <c r="JCY85" s="31"/>
      <c r="JCZ85" s="31"/>
      <c r="JDA85" s="31"/>
      <c r="JDB85" s="31"/>
      <c r="JDC85" s="31"/>
      <c r="JDD85" s="31"/>
      <c r="JDE85" s="31"/>
      <c r="JDF85" s="31"/>
      <c r="JDG85" s="31"/>
      <c r="JDH85" s="31"/>
      <c r="JDI85" s="31"/>
      <c r="JDJ85" s="31"/>
      <c r="JDK85" s="31"/>
      <c r="JDL85" s="31"/>
      <c r="JDM85" s="31"/>
      <c r="JDN85" s="31"/>
      <c r="JDO85" s="31"/>
      <c r="JDP85" s="31"/>
      <c r="JDQ85" s="31"/>
      <c r="JDR85" s="31"/>
      <c r="JDS85" s="31"/>
      <c r="JDT85" s="31"/>
      <c r="JDU85" s="31"/>
      <c r="JDV85" s="31"/>
      <c r="JDW85" s="31"/>
      <c r="JDX85" s="31"/>
      <c r="JDY85" s="31"/>
      <c r="JDZ85" s="31"/>
      <c r="JEA85" s="31"/>
      <c r="JEB85" s="31"/>
      <c r="JEC85" s="31"/>
      <c r="JED85" s="31"/>
      <c r="JEE85" s="31"/>
      <c r="JEF85" s="31"/>
      <c r="JEG85" s="31"/>
      <c r="JEH85" s="31"/>
      <c r="JEI85" s="31"/>
      <c r="JEJ85" s="31"/>
      <c r="JEK85" s="31"/>
      <c r="JEL85" s="31"/>
      <c r="JEM85" s="31"/>
      <c r="JEN85" s="31"/>
      <c r="JEO85" s="31"/>
      <c r="JEP85" s="31"/>
      <c r="JEQ85" s="31"/>
      <c r="JER85" s="31"/>
      <c r="JES85" s="31"/>
      <c r="JET85" s="31"/>
      <c r="JEU85" s="31"/>
      <c r="JEV85" s="31"/>
      <c r="JEW85" s="31"/>
      <c r="JEX85" s="31"/>
      <c r="JEY85" s="31"/>
      <c r="JEZ85" s="31"/>
      <c r="JFA85" s="31"/>
      <c r="JFB85" s="31"/>
      <c r="JFC85" s="31"/>
      <c r="JFD85" s="31"/>
      <c r="JFE85" s="31"/>
      <c r="JFF85" s="31"/>
      <c r="JFG85" s="31"/>
      <c r="JFH85" s="31"/>
      <c r="JFI85" s="31"/>
      <c r="JFJ85" s="31"/>
      <c r="JFK85" s="31"/>
      <c r="JFL85" s="31"/>
      <c r="JFM85" s="31"/>
      <c r="JFN85" s="31"/>
      <c r="JFO85" s="31"/>
      <c r="JFP85" s="31"/>
      <c r="JFQ85" s="31"/>
      <c r="JFR85" s="31"/>
      <c r="JFS85" s="31"/>
      <c r="JFT85" s="31"/>
      <c r="JFU85" s="31"/>
      <c r="JFV85" s="31"/>
      <c r="JFW85" s="31"/>
      <c r="JFX85" s="31"/>
      <c r="JFY85" s="31"/>
      <c r="JFZ85" s="31"/>
      <c r="JGA85" s="31"/>
      <c r="JGB85" s="31"/>
      <c r="JGC85" s="31"/>
      <c r="JGD85" s="31"/>
      <c r="JGE85" s="31"/>
      <c r="JGF85" s="31"/>
      <c r="JGG85" s="31"/>
      <c r="JGH85" s="31"/>
      <c r="JGI85" s="31"/>
      <c r="JGJ85" s="31"/>
      <c r="JGK85" s="31"/>
      <c r="JGL85" s="31"/>
      <c r="JGM85" s="31"/>
      <c r="JGN85" s="31"/>
      <c r="JGO85" s="31"/>
      <c r="JGP85" s="31"/>
      <c r="JGQ85" s="31"/>
      <c r="JGR85" s="31"/>
      <c r="JGS85" s="31"/>
      <c r="JGT85" s="31"/>
      <c r="JGU85" s="31"/>
      <c r="JGV85" s="31"/>
      <c r="JGW85" s="31"/>
      <c r="JGX85" s="31"/>
      <c r="JGY85" s="31"/>
      <c r="JGZ85" s="31"/>
      <c r="JHA85" s="31"/>
      <c r="JHB85" s="31"/>
      <c r="JHC85" s="31"/>
      <c r="JHD85" s="31"/>
      <c r="JHE85" s="31"/>
      <c r="JHF85" s="31"/>
      <c r="JHG85" s="31"/>
      <c r="JHH85" s="31"/>
      <c r="JHI85" s="31"/>
      <c r="JHJ85" s="31"/>
      <c r="JHK85" s="31"/>
      <c r="JHL85" s="31"/>
      <c r="JHM85" s="31"/>
      <c r="JHN85" s="31"/>
      <c r="JHO85" s="31"/>
      <c r="JHP85" s="31"/>
      <c r="JHQ85" s="31"/>
      <c r="JHR85" s="31"/>
      <c r="JHS85" s="31"/>
      <c r="JHT85" s="31"/>
      <c r="JHU85" s="31"/>
      <c r="JHV85" s="31"/>
      <c r="JHW85" s="31"/>
      <c r="JHX85" s="31"/>
      <c r="JHY85" s="31"/>
      <c r="JHZ85" s="31"/>
      <c r="JIA85" s="31"/>
      <c r="JIB85" s="31"/>
      <c r="JIC85" s="31"/>
      <c r="JID85" s="31"/>
      <c r="JIE85" s="31"/>
      <c r="JIF85" s="31"/>
      <c r="JIG85" s="31"/>
      <c r="JIH85" s="31"/>
      <c r="JII85" s="31"/>
      <c r="JIJ85" s="31"/>
      <c r="JIK85" s="31"/>
      <c r="JIL85" s="31"/>
      <c r="JIM85" s="31"/>
      <c r="JIN85" s="31"/>
      <c r="JIO85" s="31"/>
      <c r="JIP85" s="31"/>
      <c r="JIQ85" s="31"/>
      <c r="JIR85" s="31"/>
      <c r="JIS85" s="31"/>
      <c r="JIT85" s="31"/>
      <c r="JIU85" s="31"/>
      <c r="JIV85" s="31"/>
      <c r="JIW85" s="31"/>
      <c r="JIX85" s="31"/>
      <c r="JIY85" s="31"/>
      <c r="JIZ85" s="31"/>
      <c r="JJA85" s="31"/>
      <c r="JJB85" s="31"/>
      <c r="JJC85" s="31"/>
      <c r="JJD85" s="31"/>
      <c r="JJE85" s="31"/>
      <c r="JJF85" s="31"/>
      <c r="JJG85" s="31"/>
      <c r="JJH85" s="31"/>
      <c r="JJI85" s="31"/>
      <c r="JJJ85" s="31"/>
      <c r="JJK85" s="31"/>
      <c r="JJL85" s="31"/>
      <c r="JJM85" s="31"/>
      <c r="JJN85" s="31"/>
      <c r="JJO85" s="31"/>
      <c r="JJP85" s="31"/>
      <c r="JJQ85" s="31"/>
      <c r="JJR85" s="31"/>
      <c r="JJS85" s="31"/>
      <c r="JJT85" s="31"/>
      <c r="JJU85" s="31"/>
      <c r="JJV85" s="31"/>
      <c r="JJW85" s="31"/>
      <c r="JJX85" s="31"/>
      <c r="JJY85" s="31"/>
      <c r="JJZ85" s="31"/>
      <c r="JKA85" s="31"/>
      <c r="JKB85" s="31"/>
      <c r="JKC85" s="31"/>
      <c r="JKD85" s="31"/>
      <c r="JKE85" s="31"/>
      <c r="JKF85" s="31"/>
      <c r="JKG85" s="31"/>
      <c r="JKH85" s="31"/>
      <c r="JKI85" s="31"/>
      <c r="JKJ85" s="31"/>
      <c r="JKK85" s="31"/>
      <c r="JKL85" s="31"/>
      <c r="JKM85" s="31"/>
      <c r="JKN85" s="31"/>
      <c r="JKO85" s="31"/>
      <c r="JKP85" s="31"/>
      <c r="JKQ85" s="31"/>
      <c r="JKR85" s="31"/>
      <c r="JKS85" s="31"/>
      <c r="JKT85" s="31"/>
      <c r="JKU85" s="31"/>
      <c r="JKV85" s="31"/>
      <c r="JKW85" s="31"/>
      <c r="JKX85" s="31"/>
      <c r="JKY85" s="31"/>
      <c r="JKZ85" s="31"/>
      <c r="JLA85" s="31"/>
      <c r="JLB85" s="31"/>
      <c r="JLC85" s="31"/>
      <c r="JLD85" s="31"/>
      <c r="JLE85" s="31"/>
      <c r="JLF85" s="31"/>
      <c r="JLG85" s="31"/>
      <c r="JLH85" s="31"/>
      <c r="JLI85" s="31"/>
      <c r="JLJ85" s="31"/>
      <c r="JLK85" s="31"/>
      <c r="JLL85" s="31"/>
      <c r="JLM85" s="31"/>
      <c r="JLN85" s="31"/>
      <c r="JLO85" s="31"/>
      <c r="JLP85" s="31"/>
      <c r="JLQ85" s="31"/>
      <c r="JLR85" s="31"/>
      <c r="JLS85" s="31"/>
      <c r="JLT85" s="31"/>
      <c r="JLU85" s="31"/>
      <c r="JLV85" s="31"/>
      <c r="JLW85" s="31"/>
      <c r="JLX85" s="31"/>
      <c r="JLY85" s="31"/>
      <c r="JLZ85" s="31"/>
      <c r="JMA85" s="31"/>
      <c r="JMB85" s="31"/>
      <c r="JMC85" s="31"/>
      <c r="JMD85" s="31"/>
      <c r="JME85" s="31"/>
      <c r="JMF85" s="31"/>
      <c r="JMG85" s="31"/>
      <c r="JMH85" s="31"/>
      <c r="JMI85" s="31"/>
      <c r="JMJ85" s="31"/>
      <c r="JMK85" s="31"/>
      <c r="JML85" s="31"/>
      <c r="JMM85" s="31"/>
      <c r="JMN85" s="31"/>
      <c r="JMO85" s="31"/>
      <c r="JMP85" s="31"/>
      <c r="JMQ85" s="31"/>
      <c r="JMR85" s="31"/>
      <c r="JMS85" s="31"/>
      <c r="JMT85" s="31"/>
      <c r="JMU85" s="31"/>
      <c r="JMV85" s="31"/>
      <c r="JMW85" s="31"/>
      <c r="JMX85" s="31"/>
      <c r="JMY85" s="31"/>
      <c r="JMZ85" s="31"/>
      <c r="JNA85" s="31"/>
      <c r="JNB85" s="31"/>
      <c r="JNC85" s="31"/>
      <c r="JND85" s="31"/>
      <c r="JNE85" s="31"/>
      <c r="JNF85" s="31"/>
      <c r="JNG85" s="31"/>
      <c r="JNH85" s="31"/>
      <c r="JNI85" s="31"/>
      <c r="JNJ85" s="31"/>
      <c r="JNK85" s="31"/>
      <c r="JNL85" s="31"/>
      <c r="JNM85" s="31"/>
      <c r="JNN85" s="31"/>
      <c r="JNO85" s="31"/>
      <c r="JNP85" s="31"/>
      <c r="JNQ85" s="31"/>
      <c r="JNR85" s="31"/>
      <c r="JNS85" s="31"/>
      <c r="JNT85" s="31"/>
      <c r="JNU85" s="31"/>
      <c r="JNV85" s="31"/>
      <c r="JNW85" s="31"/>
      <c r="JNX85" s="31"/>
      <c r="JNY85" s="31"/>
      <c r="JNZ85" s="31"/>
      <c r="JOA85" s="31"/>
      <c r="JOB85" s="31"/>
      <c r="JOC85" s="31"/>
      <c r="JOD85" s="31"/>
      <c r="JOE85" s="31"/>
      <c r="JOF85" s="31"/>
      <c r="JOG85" s="31"/>
      <c r="JOH85" s="31"/>
      <c r="JOI85" s="31"/>
      <c r="JOJ85" s="31"/>
      <c r="JOK85" s="31"/>
      <c r="JOL85" s="31"/>
      <c r="JOM85" s="31"/>
      <c r="JON85" s="31"/>
      <c r="JOO85" s="31"/>
      <c r="JOP85" s="31"/>
      <c r="JOQ85" s="31"/>
      <c r="JOR85" s="31"/>
      <c r="JOS85" s="31"/>
      <c r="JOT85" s="31"/>
      <c r="JOU85" s="31"/>
      <c r="JOV85" s="31"/>
      <c r="JOW85" s="31"/>
      <c r="JOX85" s="31"/>
      <c r="JOY85" s="31"/>
      <c r="JOZ85" s="31"/>
      <c r="JPA85" s="31"/>
      <c r="JPB85" s="31"/>
      <c r="JPC85" s="31"/>
      <c r="JPD85" s="31"/>
      <c r="JPE85" s="31"/>
      <c r="JPF85" s="31"/>
      <c r="JPG85" s="31"/>
      <c r="JPH85" s="31"/>
      <c r="JPI85" s="31"/>
      <c r="JPJ85" s="31"/>
      <c r="JPK85" s="31"/>
      <c r="JPL85" s="31"/>
      <c r="JPM85" s="31"/>
      <c r="JPN85" s="31"/>
      <c r="JPO85" s="31"/>
      <c r="JPP85" s="31"/>
      <c r="JPQ85" s="31"/>
      <c r="JPR85" s="31"/>
      <c r="JPS85" s="31"/>
      <c r="JPT85" s="31"/>
      <c r="JPU85" s="31"/>
      <c r="JPV85" s="31"/>
      <c r="JPW85" s="31"/>
      <c r="JPX85" s="31"/>
      <c r="JPY85" s="31"/>
      <c r="JPZ85" s="31"/>
      <c r="JQA85" s="31"/>
      <c r="JQB85" s="31"/>
      <c r="JQC85" s="31"/>
      <c r="JQD85" s="31"/>
      <c r="JQE85" s="31"/>
      <c r="JQF85" s="31"/>
      <c r="JQG85" s="31"/>
      <c r="JQH85" s="31"/>
      <c r="JQI85" s="31"/>
      <c r="JQJ85" s="31"/>
      <c r="JQK85" s="31"/>
      <c r="JQL85" s="31"/>
      <c r="JQM85" s="31"/>
      <c r="JQN85" s="31"/>
      <c r="JQO85" s="31"/>
      <c r="JQP85" s="31"/>
      <c r="JQQ85" s="31"/>
      <c r="JQR85" s="31"/>
      <c r="JQS85" s="31"/>
      <c r="JQT85" s="31"/>
      <c r="JQU85" s="31"/>
      <c r="JQV85" s="31"/>
      <c r="JQW85" s="31"/>
      <c r="JQX85" s="31"/>
      <c r="JQY85" s="31"/>
      <c r="JQZ85" s="31"/>
      <c r="JRA85" s="31"/>
      <c r="JRB85" s="31"/>
      <c r="JRC85" s="31"/>
      <c r="JRD85" s="31"/>
      <c r="JRE85" s="31"/>
      <c r="JRF85" s="31"/>
      <c r="JRG85" s="31"/>
      <c r="JRH85" s="31"/>
      <c r="JRI85" s="31"/>
      <c r="JRJ85" s="31"/>
      <c r="JRK85" s="31"/>
      <c r="JRL85" s="31"/>
      <c r="JRM85" s="31"/>
      <c r="JRN85" s="31"/>
      <c r="JRO85" s="31"/>
      <c r="JRP85" s="31"/>
      <c r="JRQ85" s="31"/>
      <c r="JRR85" s="31"/>
      <c r="JRS85" s="31"/>
      <c r="JRT85" s="31"/>
      <c r="JRU85" s="31"/>
      <c r="JRV85" s="31"/>
      <c r="JRW85" s="31"/>
      <c r="JRX85" s="31"/>
      <c r="JRY85" s="31"/>
      <c r="JRZ85" s="31"/>
      <c r="JSA85" s="31"/>
      <c r="JSB85" s="31"/>
      <c r="JSC85" s="31"/>
      <c r="JSD85" s="31"/>
      <c r="JSE85" s="31"/>
      <c r="JSF85" s="31"/>
      <c r="JSG85" s="31"/>
      <c r="JSH85" s="31"/>
      <c r="JSI85" s="31"/>
      <c r="JSJ85" s="31"/>
      <c r="JSK85" s="31"/>
      <c r="JSL85" s="31"/>
      <c r="JSM85" s="31"/>
      <c r="JSN85" s="31"/>
      <c r="JSO85" s="31"/>
      <c r="JSP85" s="31"/>
      <c r="JSQ85" s="31"/>
      <c r="JSR85" s="31"/>
      <c r="JSS85" s="31"/>
      <c r="JST85" s="31"/>
      <c r="JSU85" s="31"/>
      <c r="JSV85" s="31"/>
      <c r="JSW85" s="31"/>
      <c r="JSX85" s="31"/>
      <c r="JSY85" s="31"/>
      <c r="JSZ85" s="31"/>
      <c r="JTA85" s="31"/>
      <c r="JTB85" s="31"/>
      <c r="JTC85" s="31"/>
      <c r="JTD85" s="31"/>
      <c r="JTE85" s="31"/>
      <c r="JTF85" s="31"/>
      <c r="JTG85" s="31"/>
      <c r="JTH85" s="31"/>
      <c r="JTI85" s="31"/>
      <c r="JTJ85" s="31"/>
      <c r="JTK85" s="31"/>
      <c r="JTL85" s="31"/>
      <c r="JTM85" s="31"/>
      <c r="JTN85" s="31"/>
      <c r="JTO85" s="31"/>
      <c r="JTP85" s="31"/>
      <c r="JTQ85" s="31"/>
      <c r="JTR85" s="31"/>
      <c r="JTS85" s="31"/>
      <c r="JTT85" s="31"/>
      <c r="JTU85" s="31"/>
      <c r="JTV85" s="31"/>
      <c r="JTW85" s="31"/>
      <c r="JTX85" s="31"/>
      <c r="JTY85" s="31"/>
      <c r="JTZ85" s="31"/>
      <c r="JUA85" s="31"/>
      <c r="JUB85" s="31"/>
      <c r="JUC85" s="31"/>
      <c r="JUD85" s="31"/>
      <c r="JUE85" s="31"/>
      <c r="JUF85" s="31"/>
      <c r="JUG85" s="31"/>
      <c r="JUH85" s="31"/>
      <c r="JUI85" s="31"/>
      <c r="JUJ85" s="31"/>
      <c r="JUK85" s="31"/>
      <c r="JUL85" s="31"/>
      <c r="JUM85" s="31"/>
      <c r="JUN85" s="31"/>
      <c r="JUO85" s="31"/>
      <c r="JUP85" s="31"/>
      <c r="JUQ85" s="31"/>
      <c r="JUR85" s="31"/>
      <c r="JUS85" s="31"/>
      <c r="JUT85" s="31"/>
      <c r="JUU85" s="31"/>
      <c r="JUV85" s="31"/>
      <c r="JUW85" s="31"/>
      <c r="JUX85" s="31"/>
      <c r="JUY85" s="31"/>
      <c r="JUZ85" s="31"/>
      <c r="JVA85" s="31"/>
      <c r="JVB85" s="31"/>
      <c r="JVC85" s="31"/>
      <c r="JVD85" s="31"/>
      <c r="JVE85" s="31"/>
      <c r="JVF85" s="31"/>
      <c r="JVG85" s="31"/>
      <c r="JVH85" s="31"/>
      <c r="JVI85" s="31"/>
      <c r="JVJ85" s="31"/>
      <c r="JVK85" s="31"/>
      <c r="JVL85" s="31"/>
      <c r="JVM85" s="31"/>
      <c r="JVN85" s="31"/>
      <c r="JVO85" s="31"/>
      <c r="JVP85" s="31"/>
      <c r="JVQ85" s="31"/>
      <c r="JVR85" s="31"/>
      <c r="JVS85" s="31"/>
      <c r="JVT85" s="31"/>
      <c r="JVU85" s="31"/>
      <c r="JVV85" s="31"/>
      <c r="JVW85" s="31"/>
      <c r="JVX85" s="31"/>
      <c r="JVY85" s="31"/>
      <c r="JVZ85" s="31"/>
      <c r="JWA85" s="31"/>
      <c r="JWB85" s="31"/>
      <c r="JWC85" s="31"/>
      <c r="JWD85" s="31"/>
      <c r="JWE85" s="31"/>
      <c r="JWF85" s="31"/>
      <c r="JWG85" s="31"/>
      <c r="JWH85" s="31"/>
      <c r="JWI85" s="31"/>
      <c r="JWJ85" s="31"/>
      <c r="JWK85" s="31"/>
      <c r="JWL85" s="31"/>
      <c r="JWM85" s="31"/>
      <c r="JWN85" s="31"/>
      <c r="JWO85" s="31"/>
      <c r="JWP85" s="31"/>
      <c r="JWQ85" s="31"/>
      <c r="JWR85" s="31"/>
      <c r="JWS85" s="31"/>
      <c r="JWT85" s="31"/>
      <c r="JWU85" s="31"/>
      <c r="JWV85" s="31"/>
      <c r="JWW85" s="31"/>
      <c r="JWX85" s="31"/>
      <c r="JWY85" s="31"/>
      <c r="JWZ85" s="31"/>
      <c r="JXA85" s="31"/>
      <c r="JXB85" s="31"/>
      <c r="JXC85" s="31"/>
      <c r="JXD85" s="31"/>
      <c r="JXE85" s="31"/>
      <c r="JXF85" s="31"/>
      <c r="JXG85" s="31"/>
      <c r="JXH85" s="31"/>
      <c r="JXI85" s="31"/>
      <c r="JXJ85" s="31"/>
      <c r="JXK85" s="31"/>
      <c r="JXL85" s="31"/>
      <c r="JXM85" s="31"/>
      <c r="JXN85" s="31"/>
      <c r="JXO85" s="31"/>
      <c r="JXP85" s="31"/>
      <c r="JXQ85" s="31"/>
      <c r="JXR85" s="31"/>
      <c r="JXS85" s="31"/>
      <c r="JXT85" s="31"/>
      <c r="JXU85" s="31"/>
      <c r="JXV85" s="31"/>
      <c r="JXW85" s="31"/>
      <c r="JXX85" s="31"/>
      <c r="JXY85" s="31"/>
      <c r="JXZ85" s="31"/>
      <c r="JYA85" s="31"/>
      <c r="JYB85" s="31"/>
      <c r="JYC85" s="31"/>
      <c r="JYD85" s="31"/>
      <c r="JYE85" s="31"/>
      <c r="JYF85" s="31"/>
      <c r="JYG85" s="31"/>
      <c r="JYH85" s="31"/>
      <c r="JYI85" s="31"/>
      <c r="JYJ85" s="31"/>
      <c r="JYK85" s="31"/>
      <c r="JYL85" s="31"/>
      <c r="JYM85" s="31"/>
      <c r="JYN85" s="31"/>
      <c r="JYO85" s="31"/>
      <c r="JYP85" s="31"/>
      <c r="JYQ85" s="31"/>
      <c r="JYR85" s="31"/>
      <c r="JYS85" s="31"/>
      <c r="JYT85" s="31"/>
      <c r="JYU85" s="31"/>
      <c r="JYV85" s="31"/>
      <c r="JYW85" s="31"/>
      <c r="JYX85" s="31"/>
      <c r="JYY85" s="31"/>
      <c r="JYZ85" s="31"/>
      <c r="JZA85" s="31"/>
      <c r="JZB85" s="31"/>
      <c r="JZC85" s="31"/>
      <c r="JZD85" s="31"/>
      <c r="JZE85" s="31"/>
      <c r="JZF85" s="31"/>
      <c r="JZG85" s="31"/>
      <c r="JZH85" s="31"/>
      <c r="JZI85" s="31"/>
      <c r="JZJ85" s="31"/>
      <c r="JZK85" s="31"/>
      <c r="JZL85" s="31"/>
      <c r="JZM85" s="31"/>
      <c r="JZN85" s="31"/>
      <c r="JZO85" s="31"/>
      <c r="JZP85" s="31"/>
      <c r="JZQ85" s="31"/>
      <c r="JZR85" s="31"/>
      <c r="JZS85" s="31"/>
      <c r="JZT85" s="31"/>
      <c r="JZU85" s="31"/>
      <c r="JZV85" s="31"/>
      <c r="JZW85" s="31"/>
      <c r="JZX85" s="31"/>
      <c r="JZY85" s="31"/>
      <c r="JZZ85" s="31"/>
      <c r="KAA85" s="31"/>
      <c r="KAB85" s="31"/>
      <c r="KAC85" s="31"/>
      <c r="KAD85" s="31"/>
      <c r="KAE85" s="31"/>
      <c r="KAF85" s="31"/>
      <c r="KAG85" s="31"/>
      <c r="KAH85" s="31"/>
      <c r="KAI85" s="31"/>
      <c r="KAJ85" s="31"/>
      <c r="KAK85" s="31"/>
      <c r="KAL85" s="31"/>
      <c r="KAM85" s="31"/>
      <c r="KAN85" s="31"/>
      <c r="KAO85" s="31"/>
      <c r="KAP85" s="31"/>
      <c r="KAQ85" s="31"/>
      <c r="KAR85" s="31"/>
      <c r="KAS85" s="31"/>
      <c r="KAT85" s="31"/>
      <c r="KAU85" s="31"/>
      <c r="KAV85" s="31"/>
      <c r="KAW85" s="31"/>
      <c r="KAX85" s="31"/>
      <c r="KAY85" s="31"/>
      <c r="KAZ85" s="31"/>
      <c r="KBA85" s="31"/>
      <c r="KBB85" s="31"/>
      <c r="KBC85" s="31"/>
      <c r="KBD85" s="31"/>
      <c r="KBE85" s="31"/>
      <c r="KBF85" s="31"/>
      <c r="KBG85" s="31"/>
      <c r="KBH85" s="31"/>
      <c r="KBI85" s="31"/>
      <c r="KBJ85" s="31"/>
      <c r="KBK85" s="31"/>
      <c r="KBL85" s="31"/>
      <c r="KBM85" s="31"/>
      <c r="KBN85" s="31"/>
      <c r="KBO85" s="31"/>
      <c r="KBP85" s="31"/>
      <c r="KBQ85" s="31"/>
      <c r="KBR85" s="31"/>
      <c r="KBS85" s="31"/>
      <c r="KBT85" s="31"/>
      <c r="KBU85" s="31"/>
      <c r="KBV85" s="31"/>
      <c r="KBW85" s="31"/>
      <c r="KBX85" s="31"/>
      <c r="KBY85" s="31"/>
      <c r="KBZ85" s="31"/>
      <c r="KCA85" s="31"/>
      <c r="KCB85" s="31"/>
      <c r="KCC85" s="31"/>
      <c r="KCD85" s="31"/>
      <c r="KCE85" s="31"/>
      <c r="KCF85" s="31"/>
      <c r="KCG85" s="31"/>
      <c r="KCH85" s="31"/>
      <c r="KCI85" s="31"/>
      <c r="KCJ85" s="31"/>
      <c r="KCK85" s="31"/>
      <c r="KCL85" s="31"/>
      <c r="KCM85" s="31"/>
      <c r="KCN85" s="31"/>
      <c r="KCO85" s="31"/>
      <c r="KCP85" s="31"/>
      <c r="KCQ85" s="31"/>
      <c r="KCR85" s="31"/>
      <c r="KCS85" s="31"/>
      <c r="KCT85" s="31"/>
      <c r="KCU85" s="31"/>
      <c r="KCV85" s="31"/>
      <c r="KCW85" s="31"/>
      <c r="KCX85" s="31"/>
      <c r="KCY85" s="31"/>
      <c r="KCZ85" s="31"/>
      <c r="KDA85" s="31"/>
      <c r="KDB85" s="31"/>
      <c r="KDC85" s="31"/>
      <c r="KDD85" s="31"/>
      <c r="KDE85" s="31"/>
      <c r="KDF85" s="31"/>
      <c r="KDG85" s="31"/>
      <c r="KDH85" s="31"/>
      <c r="KDI85" s="31"/>
      <c r="KDJ85" s="31"/>
      <c r="KDK85" s="31"/>
      <c r="KDL85" s="31"/>
      <c r="KDM85" s="31"/>
      <c r="KDN85" s="31"/>
      <c r="KDO85" s="31"/>
      <c r="KDP85" s="31"/>
      <c r="KDQ85" s="31"/>
      <c r="KDR85" s="31"/>
      <c r="KDS85" s="31"/>
      <c r="KDT85" s="31"/>
      <c r="KDU85" s="31"/>
      <c r="KDV85" s="31"/>
      <c r="KDW85" s="31"/>
      <c r="KDX85" s="31"/>
      <c r="KDY85" s="31"/>
      <c r="KDZ85" s="31"/>
      <c r="KEA85" s="31"/>
      <c r="KEB85" s="31"/>
      <c r="KEC85" s="31"/>
      <c r="KED85" s="31"/>
      <c r="KEE85" s="31"/>
      <c r="KEF85" s="31"/>
      <c r="KEG85" s="31"/>
      <c r="KEH85" s="31"/>
      <c r="KEI85" s="31"/>
      <c r="KEJ85" s="31"/>
      <c r="KEK85" s="31"/>
      <c r="KEL85" s="31"/>
      <c r="KEM85" s="31"/>
      <c r="KEN85" s="31"/>
      <c r="KEO85" s="31"/>
      <c r="KEP85" s="31"/>
      <c r="KEQ85" s="31"/>
      <c r="KER85" s="31"/>
      <c r="KES85" s="31"/>
      <c r="KET85" s="31"/>
      <c r="KEU85" s="31"/>
      <c r="KEV85" s="31"/>
      <c r="KEW85" s="31"/>
      <c r="KEX85" s="31"/>
      <c r="KEY85" s="31"/>
      <c r="KEZ85" s="31"/>
      <c r="KFA85" s="31"/>
      <c r="KFB85" s="31"/>
      <c r="KFC85" s="31"/>
      <c r="KFD85" s="31"/>
      <c r="KFE85" s="31"/>
      <c r="KFF85" s="31"/>
      <c r="KFG85" s="31"/>
      <c r="KFH85" s="31"/>
      <c r="KFI85" s="31"/>
      <c r="KFJ85" s="31"/>
      <c r="KFK85" s="31"/>
      <c r="KFL85" s="31"/>
      <c r="KFM85" s="31"/>
      <c r="KFN85" s="31"/>
      <c r="KFO85" s="31"/>
      <c r="KFP85" s="31"/>
      <c r="KFQ85" s="31"/>
      <c r="KFR85" s="31"/>
      <c r="KFS85" s="31"/>
      <c r="KFT85" s="31"/>
      <c r="KFU85" s="31"/>
      <c r="KFV85" s="31"/>
      <c r="KFW85" s="31"/>
      <c r="KFX85" s="31"/>
      <c r="KFY85" s="31"/>
      <c r="KFZ85" s="31"/>
      <c r="KGA85" s="31"/>
      <c r="KGB85" s="31"/>
      <c r="KGC85" s="31"/>
      <c r="KGD85" s="31"/>
      <c r="KGE85" s="31"/>
      <c r="KGF85" s="31"/>
      <c r="KGG85" s="31"/>
      <c r="KGH85" s="31"/>
      <c r="KGI85" s="31"/>
      <c r="KGJ85" s="31"/>
      <c r="KGK85" s="31"/>
      <c r="KGL85" s="31"/>
      <c r="KGM85" s="31"/>
      <c r="KGN85" s="31"/>
      <c r="KGO85" s="31"/>
      <c r="KGP85" s="31"/>
      <c r="KGQ85" s="31"/>
      <c r="KGR85" s="31"/>
      <c r="KGS85" s="31"/>
      <c r="KGT85" s="31"/>
      <c r="KGU85" s="31"/>
      <c r="KGV85" s="31"/>
      <c r="KGW85" s="31"/>
      <c r="KGX85" s="31"/>
      <c r="KGY85" s="31"/>
      <c r="KGZ85" s="31"/>
      <c r="KHA85" s="31"/>
      <c r="KHB85" s="31"/>
      <c r="KHC85" s="31"/>
      <c r="KHD85" s="31"/>
      <c r="KHE85" s="31"/>
      <c r="KHF85" s="31"/>
      <c r="KHG85" s="31"/>
      <c r="KHH85" s="31"/>
      <c r="KHI85" s="31"/>
      <c r="KHJ85" s="31"/>
      <c r="KHK85" s="31"/>
      <c r="KHL85" s="31"/>
      <c r="KHM85" s="31"/>
      <c r="KHN85" s="31"/>
      <c r="KHO85" s="31"/>
      <c r="KHP85" s="31"/>
      <c r="KHQ85" s="31"/>
      <c r="KHR85" s="31"/>
      <c r="KHS85" s="31"/>
      <c r="KHT85" s="31"/>
      <c r="KHU85" s="31"/>
      <c r="KHV85" s="31"/>
      <c r="KHW85" s="31"/>
      <c r="KHX85" s="31"/>
      <c r="KHY85" s="31"/>
      <c r="KHZ85" s="31"/>
      <c r="KIA85" s="31"/>
      <c r="KIB85" s="31"/>
      <c r="KIC85" s="31"/>
      <c r="KID85" s="31"/>
      <c r="KIE85" s="31"/>
      <c r="KIF85" s="31"/>
      <c r="KIG85" s="31"/>
      <c r="KIH85" s="31"/>
      <c r="KII85" s="31"/>
      <c r="KIJ85" s="31"/>
      <c r="KIK85" s="31"/>
      <c r="KIL85" s="31"/>
      <c r="KIM85" s="31"/>
      <c r="KIN85" s="31"/>
      <c r="KIO85" s="31"/>
      <c r="KIP85" s="31"/>
      <c r="KIQ85" s="31"/>
      <c r="KIR85" s="31"/>
      <c r="KIS85" s="31"/>
      <c r="KIT85" s="31"/>
      <c r="KIU85" s="31"/>
      <c r="KIV85" s="31"/>
      <c r="KIW85" s="31"/>
      <c r="KIX85" s="31"/>
      <c r="KIY85" s="31"/>
      <c r="KIZ85" s="31"/>
      <c r="KJA85" s="31"/>
      <c r="KJB85" s="31"/>
      <c r="KJC85" s="31"/>
      <c r="KJD85" s="31"/>
      <c r="KJE85" s="31"/>
      <c r="KJF85" s="31"/>
      <c r="KJG85" s="31"/>
      <c r="KJH85" s="31"/>
      <c r="KJI85" s="31"/>
      <c r="KJJ85" s="31"/>
      <c r="KJK85" s="31"/>
      <c r="KJL85" s="31"/>
      <c r="KJM85" s="31"/>
      <c r="KJN85" s="31"/>
      <c r="KJO85" s="31"/>
      <c r="KJP85" s="31"/>
      <c r="KJQ85" s="31"/>
      <c r="KJR85" s="31"/>
      <c r="KJS85" s="31"/>
      <c r="KJT85" s="31"/>
      <c r="KJU85" s="31"/>
      <c r="KJV85" s="31"/>
      <c r="KJW85" s="31"/>
      <c r="KJX85" s="31"/>
      <c r="KJY85" s="31"/>
      <c r="KJZ85" s="31"/>
      <c r="KKA85" s="31"/>
      <c r="KKB85" s="31"/>
      <c r="KKC85" s="31"/>
      <c r="KKD85" s="31"/>
      <c r="KKE85" s="31"/>
      <c r="KKF85" s="31"/>
      <c r="KKG85" s="31"/>
      <c r="KKH85" s="31"/>
      <c r="KKI85" s="31"/>
      <c r="KKJ85" s="31"/>
      <c r="KKK85" s="31"/>
      <c r="KKL85" s="31"/>
      <c r="KKM85" s="31"/>
      <c r="KKN85" s="31"/>
      <c r="KKO85" s="31"/>
      <c r="KKP85" s="31"/>
      <c r="KKQ85" s="31"/>
      <c r="KKR85" s="31"/>
      <c r="KKS85" s="31"/>
      <c r="KKT85" s="31"/>
      <c r="KKU85" s="31"/>
      <c r="KKV85" s="31"/>
      <c r="KKW85" s="31"/>
      <c r="KKX85" s="31"/>
      <c r="KKY85" s="31"/>
      <c r="KKZ85" s="31"/>
      <c r="KLA85" s="31"/>
      <c r="KLB85" s="31"/>
      <c r="KLC85" s="31"/>
      <c r="KLD85" s="31"/>
      <c r="KLE85" s="31"/>
      <c r="KLF85" s="31"/>
      <c r="KLG85" s="31"/>
      <c r="KLH85" s="31"/>
      <c r="KLI85" s="31"/>
      <c r="KLJ85" s="31"/>
      <c r="KLK85" s="31"/>
      <c r="KLL85" s="31"/>
      <c r="KLM85" s="31"/>
      <c r="KLN85" s="31"/>
      <c r="KLO85" s="31"/>
      <c r="KLP85" s="31"/>
      <c r="KLQ85" s="31"/>
      <c r="KLR85" s="31"/>
      <c r="KLS85" s="31"/>
      <c r="KLT85" s="31"/>
      <c r="KLU85" s="31"/>
      <c r="KLV85" s="31"/>
      <c r="KLW85" s="31"/>
      <c r="KLX85" s="31"/>
      <c r="KLY85" s="31"/>
      <c r="KLZ85" s="31"/>
      <c r="KMA85" s="31"/>
      <c r="KMB85" s="31"/>
      <c r="KMC85" s="31"/>
      <c r="KMD85" s="31"/>
      <c r="KME85" s="31"/>
      <c r="KMF85" s="31"/>
      <c r="KMG85" s="31"/>
      <c r="KMH85" s="31"/>
      <c r="KMI85" s="31"/>
      <c r="KMJ85" s="31"/>
      <c r="KMK85" s="31"/>
      <c r="KML85" s="31"/>
      <c r="KMM85" s="31"/>
      <c r="KMN85" s="31"/>
      <c r="KMO85" s="31"/>
      <c r="KMP85" s="31"/>
      <c r="KMQ85" s="31"/>
      <c r="KMR85" s="31"/>
      <c r="KMS85" s="31"/>
      <c r="KMT85" s="31"/>
      <c r="KMU85" s="31"/>
      <c r="KMV85" s="31"/>
      <c r="KMW85" s="31"/>
      <c r="KMX85" s="31"/>
      <c r="KMY85" s="31"/>
      <c r="KMZ85" s="31"/>
      <c r="KNA85" s="31"/>
      <c r="KNB85" s="31"/>
      <c r="KNC85" s="31"/>
      <c r="KND85" s="31"/>
      <c r="KNE85" s="31"/>
      <c r="KNF85" s="31"/>
      <c r="KNG85" s="31"/>
      <c r="KNH85" s="31"/>
      <c r="KNI85" s="31"/>
      <c r="KNJ85" s="31"/>
      <c r="KNK85" s="31"/>
      <c r="KNL85" s="31"/>
      <c r="KNM85" s="31"/>
      <c r="KNN85" s="31"/>
      <c r="KNO85" s="31"/>
      <c r="KNP85" s="31"/>
      <c r="KNQ85" s="31"/>
      <c r="KNR85" s="31"/>
      <c r="KNS85" s="31"/>
      <c r="KNT85" s="31"/>
      <c r="KNU85" s="31"/>
      <c r="KNV85" s="31"/>
      <c r="KNW85" s="31"/>
      <c r="KNX85" s="31"/>
      <c r="KNY85" s="31"/>
      <c r="KNZ85" s="31"/>
      <c r="KOA85" s="31"/>
      <c r="KOB85" s="31"/>
      <c r="KOC85" s="31"/>
      <c r="KOD85" s="31"/>
      <c r="KOE85" s="31"/>
      <c r="KOF85" s="31"/>
      <c r="KOG85" s="31"/>
      <c r="KOH85" s="31"/>
      <c r="KOI85" s="31"/>
      <c r="KOJ85" s="31"/>
      <c r="KOK85" s="31"/>
      <c r="KOL85" s="31"/>
      <c r="KOM85" s="31"/>
      <c r="KON85" s="31"/>
      <c r="KOO85" s="31"/>
      <c r="KOP85" s="31"/>
      <c r="KOQ85" s="31"/>
      <c r="KOR85" s="31"/>
      <c r="KOS85" s="31"/>
      <c r="KOT85" s="31"/>
      <c r="KOU85" s="31"/>
      <c r="KOV85" s="31"/>
      <c r="KOW85" s="31"/>
      <c r="KOX85" s="31"/>
      <c r="KOY85" s="31"/>
      <c r="KOZ85" s="31"/>
      <c r="KPA85" s="31"/>
      <c r="KPB85" s="31"/>
      <c r="KPC85" s="31"/>
      <c r="KPD85" s="31"/>
      <c r="KPE85" s="31"/>
      <c r="KPF85" s="31"/>
      <c r="KPG85" s="31"/>
      <c r="KPH85" s="31"/>
      <c r="KPI85" s="31"/>
      <c r="KPJ85" s="31"/>
      <c r="KPK85" s="31"/>
      <c r="KPL85" s="31"/>
      <c r="KPM85" s="31"/>
      <c r="KPN85" s="31"/>
      <c r="KPO85" s="31"/>
      <c r="KPP85" s="31"/>
      <c r="KPQ85" s="31"/>
      <c r="KPR85" s="31"/>
      <c r="KPS85" s="31"/>
      <c r="KPT85" s="31"/>
      <c r="KPU85" s="31"/>
      <c r="KPV85" s="31"/>
      <c r="KPW85" s="31"/>
      <c r="KPX85" s="31"/>
      <c r="KPY85" s="31"/>
      <c r="KPZ85" s="31"/>
      <c r="KQA85" s="31"/>
      <c r="KQB85" s="31"/>
      <c r="KQC85" s="31"/>
      <c r="KQD85" s="31"/>
      <c r="KQE85" s="31"/>
      <c r="KQF85" s="31"/>
      <c r="KQG85" s="31"/>
      <c r="KQH85" s="31"/>
      <c r="KQI85" s="31"/>
      <c r="KQJ85" s="31"/>
      <c r="KQK85" s="31"/>
      <c r="KQL85" s="31"/>
      <c r="KQM85" s="31"/>
      <c r="KQN85" s="31"/>
      <c r="KQO85" s="31"/>
      <c r="KQP85" s="31"/>
      <c r="KQQ85" s="31"/>
      <c r="KQR85" s="31"/>
      <c r="KQS85" s="31"/>
      <c r="KQT85" s="31"/>
      <c r="KQU85" s="31"/>
      <c r="KQV85" s="31"/>
      <c r="KQW85" s="31"/>
      <c r="KQX85" s="31"/>
      <c r="KQY85" s="31"/>
      <c r="KQZ85" s="31"/>
      <c r="KRA85" s="31"/>
      <c r="KRB85" s="31"/>
      <c r="KRC85" s="31"/>
      <c r="KRD85" s="31"/>
      <c r="KRE85" s="31"/>
      <c r="KRF85" s="31"/>
      <c r="KRG85" s="31"/>
      <c r="KRH85" s="31"/>
      <c r="KRI85" s="31"/>
      <c r="KRJ85" s="31"/>
      <c r="KRK85" s="31"/>
      <c r="KRL85" s="31"/>
      <c r="KRM85" s="31"/>
      <c r="KRN85" s="31"/>
      <c r="KRO85" s="31"/>
      <c r="KRP85" s="31"/>
      <c r="KRQ85" s="31"/>
      <c r="KRR85" s="31"/>
      <c r="KRS85" s="31"/>
      <c r="KRT85" s="31"/>
      <c r="KRU85" s="31"/>
      <c r="KRV85" s="31"/>
      <c r="KRW85" s="31"/>
      <c r="KRX85" s="31"/>
      <c r="KRY85" s="31"/>
      <c r="KRZ85" s="31"/>
      <c r="KSA85" s="31"/>
      <c r="KSB85" s="31"/>
      <c r="KSC85" s="31"/>
      <c r="KSD85" s="31"/>
      <c r="KSE85" s="31"/>
      <c r="KSF85" s="31"/>
      <c r="KSG85" s="31"/>
      <c r="KSH85" s="31"/>
      <c r="KSI85" s="31"/>
      <c r="KSJ85" s="31"/>
      <c r="KSK85" s="31"/>
      <c r="KSL85" s="31"/>
      <c r="KSM85" s="31"/>
      <c r="KSN85" s="31"/>
      <c r="KSO85" s="31"/>
      <c r="KSP85" s="31"/>
      <c r="KSQ85" s="31"/>
      <c r="KSR85" s="31"/>
      <c r="KSS85" s="31"/>
      <c r="KST85" s="31"/>
      <c r="KSU85" s="31"/>
      <c r="KSV85" s="31"/>
      <c r="KSW85" s="31"/>
      <c r="KSX85" s="31"/>
      <c r="KSY85" s="31"/>
      <c r="KSZ85" s="31"/>
      <c r="KTA85" s="31"/>
      <c r="KTB85" s="31"/>
      <c r="KTC85" s="31"/>
      <c r="KTD85" s="31"/>
      <c r="KTE85" s="31"/>
      <c r="KTF85" s="31"/>
      <c r="KTG85" s="31"/>
      <c r="KTH85" s="31"/>
      <c r="KTI85" s="31"/>
      <c r="KTJ85" s="31"/>
      <c r="KTK85" s="31"/>
      <c r="KTL85" s="31"/>
      <c r="KTM85" s="31"/>
      <c r="KTN85" s="31"/>
      <c r="KTO85" s="31"/>
      <c r="KTP85" s="31"/>
      <c r="KTQ85" s="31"/>
      <c r="KTR85" s="31"/>
      <c r="KTS85" s="31"/>
      <c r="KTT85" s="31"/>
      <c r="KTU85" s="31"/>
      <c r="KTV85" s="31"/>
      <c r="KTW85" s="31"/>
      <c r="KTX85" s="31"/>
      <c r="KTY85" s="31"/>
      <c r="KTZ85" s="31"/>
      <c r="KUA85" s="31"/>
      <c r="KUB85" s="31"/>
      <c r="KUC85" s="31"/>
      <c r="KUD85" s="31"/>
      <c r="KUE85" s="31"/>
      <c r="KUF85" s="31"/>
      <c r="KUG85" s="31"/>
      <c r="KUH85" s="31"/>
      <c r="KUI85" s="31"/>
      <c r="KUJ85" s="31"/>
      <c r="KUK85" s="31"/>
      <c r="KUL85" s="31"/>
      <c r="KUM85" s="31"/>
      <c r="KUN85" s="31"/>
      <c r="KUO85" s="31"/>
      <c r="KUP85" s="31"/>
      <c r="KUQ85" s="31"/>
      <c r="KUR85" s="31"/>
      <c r="KUS85" s="31"/>
      <c r="KUT85" s="31"/>
      <c r="KUU85" s="31"/>
      <c r="KUV85" s="31"/>
      <c r="KUW85" s="31"/>
      <c r="KUX85" s="31"/>
      <c r="KUY85" s="31"/>
      <c r="KUZ85" s="31"/>
      <c r="KVA85" s="31"/>
      <c r="KVB85" s="31"/>
      <c r="KVC85" s="31"/>
      <c r="KVD85" s="31"/>
      <c r="KVE85" s="31"/>
      <c r="KVF85" s="31"/>
      <c r="KVG85" s="31"/>
      <c r="KVH85" s="31"/>
      <c r="KVI85" s="31"/>
      <c r="KVJ85" s="31"/>
      <c r="KVK85" s="31"/>
      <c r="KVL85" s="31"/>
      <c r="KVM85" s="31"/>
      <c r="KVN85" s="31"/>
      <c r="KVO85" s="31"/>
      <c r="KVP85" s="31"/>
      <c r="KVQ85" s="31"/>
      <c r="KVR85" s="31"/>
      <c r="KVS85" s="31"/>
      <c r="KVT85" s="31"/>
      <c r="KVU85" s="31"/>
      <c r="KVV85" s="31"/>
      <c r="KVW85" s="31"/>
      <c r="KVX85" s="31"/>
      <c r="KVY85" s="31"/>
      <c r="KVZ85" s="31"/>
      <c r="KWA85" s="31"/>
      <c r="KWB85" s="31"/>
      <c r="KWC85" s="31"/>
      <c r="KWD85" s="31"/>
      <c r="KWE85" s="31"/>
      <c r="KWF85" s="31"/>
      <c r="KWG85" s="31"/>
      <c r="KWH85" s="31"/>
      <c r="KWI85" s="31"/>
      <c r="KWJ85" s="31"/>
      <c r="KWK85" s="31"/>
      <c r="KWL85" s="31"/>
      <c r="KWM85" s="31"/>
      <c r="KWN85" s="31"/>
      <c r="KWO85" s="31"/>
      <c r="KWP85" s="31"/>
      <c r="KWQ85" s="31"/>
      <c r="KWR85" s="31"/>
      <c r="KWS85" s="31"/>
      <c r="KWT85" s="31"/>
      <c r="KWU85" s="31"/>
      <c r="KWV85" s="31"/>
      <c r="KWW85" s="31"/>
      <c r="KWX85" s="31"/>
      <c r="KWY85" s="31"/>
      <c r="KWZ85" s="31"/>
      <c r="KXA85" s="31"/>
      <c r="KXB85" s="31"/>
      <c r="KXC85" s="31"/>
      <c r="KXD85" s="31"/>
      <c r="KXE85" s="31"/>
      <c r="KXF85" s="31"/>
      <c r="KXG85" s="31"/>
      <c r="KXH85" s="31"/>
      <c r="KXI85" s="31"/>
      <c r="KXJ85" s="31"/>
      <c r="KXK85" s="31"/>
      <c r="KXL85" s="31"/>
      <c r="KXM85" s="31"/>
      <c r="KXN85" s="31"/>
      <c r="KXO85" s="31"/>
      <c r="KXP85" s="31"/>
      <c r="KXQ85" s="31"/>
      <c r="KXR85" s="31"/>
      <c r="KXS85" s="31"/>
      <c r="KXT85" s="31"/>
      <c r="KXU85" s="31"/>
      <c r="KXV85" s="31"/>
      <c r="KXW85" s="31"/>
      <c r="KXX85" s="31"/>
      <c r="KXY85" s="31"/>
      <c r="KXZ85" s="31"/>
      <c r="KYA85" s="31"/>
      <c r="KYB85" s="31"/>
      <c r="KYC85" s="31"/>
      <c r="KYD85" s="31"/>
      <c r="KYE85" s="31"/>
      <c r="KYF85" s="31"/>
      <c r="KYG85" s="31"/>
      <c r="KYH85" s="31"/>
      <c r="KYI85" s="31"/>
      <c r="KYJ85" s="31"/>
      <c r="KYK85" s="31"/>
      <c r="KYL85" s="31"/>
      <c r="KYM85" s="31"/>
      <c r="KYN85" s="31"/>
      <c r="KYO85" s="31"/>
      <c r="KYP85" s="31"/>
      <c r="KYQ85" s="31"/>
      <c r="KYR85" s="31"/>
      <c r="KYS85" s="31"/>
      <c r="KYT85" s="31"/>
      <c r="KYU85" s="31"/>
      <c r="KYV85" s="31"/>
      <c r="KYW85" s="31"/>
      <c r="KYX85" s="31"/>
      <c r="KYY85" s="31"/>
      <c r="KYZ85" s="31"/>
      <c r="KZA85" s="31"/>
      <c r="KZB85" s="31"/>
      <c r="KZC85" s="31"/>
      <c r="KZD85" s="31"/>
      <c r="KZE85" s="31"/>
      <c r="KZF85" s="31"/>
      <c r="KZG85" s="31"/>
      <c r="KZH85" s="31"/>
      <c r="KZI85" s="31"/>
      <c r="KZJ85" s="31"/>
      <c r="KZK85" s="31"/>
      <c r="KZL85" s="31"/>
      <c r="KZM85" s="31"/>
      <c r="KZN85" s="31"/>
      <c r="KZO85" s="31"/>
      <c r="KZP85" s="31"/>
      <c r="KZQ85" s="31"/>
      <c r="KZR85" s="31"/>
      <c r="KZS85" s="31"/>
      <c r="KZT85" s="31"/>
      <c r="KZU85" s="31"/>
      <c r="KZV85" s="31"/>
      <c r="KZW85" s="31"/>
      <c r="KZX85" s="31"/>
      <c r="KZY85" s="31"/>
      <c r="KZZ85" s="31"/>
      <c r="LAA85" s="31"/>
      <c r="LAB85" s="31"/>
      <c r="LAC85" s="31"/>
      <c r="LAD85" s="31"/>
      <c r="LAE85" s="31"/>
      <c r="LAF85" s="31"/>
      <c r="LAG85" s="31"/>
      <c r="LAH85" s="31"/>
      <c r="LAI85" s="31"/>
      <c r="LAJ85" s="31"/>
      <c r="LAK85" s="31"/>
      <c r="LAL85" s="31"/>
      <c r="LAM85" s="31"/>
      <c r="LAN85" s="31"/>
      <c r="LAO85" s="31"/>
      <c r="LAP85" s="31"/>
      <c r="LAQ85" s="31"/>
      <c r="LAR85" s="31"/>
      <c r="LAS85" s="31"/>
      <c r="LAT85" s="31"/>
      <c r="LAU85" s="31"/>
      <c r="LAV85" s="31"/>
      <c r="LAW85" s="31"/>
      <c r="LAX85" s="31"/>
      <c r="LAY85" s="31"/>
      <c r="LAZ85" s="31"/>
      <c r="LBA85" s="31"/>
      <c r="LBB85" s="31"/>
      <c r="LBC85" s="31"/>
      <c r="LBD85" s="31"/>
      <c r="LBE85" s="31"/>
      <c r="LBF85" s="31"/>
      <c r="LBG85" s="31"/>
      <c r="LBH85" s="31"/>
      <c r="LBI85" s="31"/>
      <c r="LBJ85" s="31"/>
      <c r="LBK85" s="31"/>
      <c r="LBL85" s="31"/>
      <c r="LBM85" s="31"/>
      <c r="LBN85" s="31"/>
      <c r="LBO85" s="31"/>
      <c r="LBP85" s="31"/>
      <c r="LBQ85" s="31"/>
      <c r="LBR85" s="31"/>
      <c r="LBS85" s="31"/>
      <c r="LBT85" s="31"/>
      <c r="LBU85" s="31"/>
      <c r="LBV85" s="31"/>
      <c r="LBW85" s="31"/>
      <c r="LBX85" s="31"/>
      <c r="LBY85" s="31"/>
      <c r="LBZ85" s="31"/>
      <c r="LCA85" s="31"/>
      <c r="LCB85" s="31"/>
      <c r="LCC85" s="31"/>
      <c r="LCD85" s="31"/>
      <c r="LCE85" s="31"/>
      <c r="LCF85" s="31"/>
      <c r="LCG85" s="31"/>
      <c r="LCH85" s="31"/>
      <c r="LCI85" s="31"/>
      <c r="LCJ85" s="31"/>
      <c r="LCK85" s="31"/>
      <c r="LCL85" s="31"/>
      <c r="LCM85" s="31"/>
      <c r="LCN85" s="31"/>
      <c r="LCO85" s="31"/>
      <c r="LCP85" s="31"/>
      <c r="LCQ85" s="31"/>
      <c r="LCR85" s="31"/>
      <c r="LCS85" s="31"/>
      <c r="LCT85" s="31"/>
      <c r="LCU85" s="31"/>
      <c r="LCV85" s="31"/>
      <c r="LCW85" s="31"/>
      <c r="LCX85" s="31"/>
      <c r="LCY85" s="31"/>
      <c r="LCZ85" s="31"/>
      <c r="LDA85" s="31"/>
      <c r="LDB85" s="31"/>
      <c r="LDC85" s="31"/>
      <c r="LDD85" s="31"/>
      <c r="LDE85" s="31"/>
      <c r="LDF85" s="31"/>
      <c r="LDG85" s="31"/>
      <c r="LDH85" s="31"/>
      <c r="LDI85" s="31"/>
      <c r="LDJ85" s="31"/>
      <c r="LDK85" s="31"/>
      <c r="LDL85" s="31"/>
      <c r="LDM85" s="31"/>
      <c r="LDN85" s="31"/>
      <c r="LDO85" s="31"/>
      <c r="LDP85" s="31"/>
      <c r="LDQ85" s="31"/>
      <c r="LDR85" s="31"/>
      <c r="LDS85" s="31"/>
      <c r="LDT85" s="31"/>
      <c r="LDU85" s="31"/>
      <c r="LDV85" s="31"/>
      <c r="LDW85" s="31"/>
      <c r="LDX85" s="31"/>
      <c r="LDY85" s="31"/>
      <c r="LDZ85" s="31"/>
      <c r="LEA85" s="31"/>
      <c r="LEB85" s="31"/>
      <c r="LEC85" s="31"/>
      <c r="LED85" s="31"/>
      <c r="LEE85" s="31"/>
      <c r="LEF85" s="31"/>
      <c r="LEG85" s="31"/>
      <c r="LEH85" s="31"/>
      <c r="LEI85" s="31"/>
      <c r="LEJ85" s="31"/>
      <c r="LEK85" s="31"/>
      <c r="LEL85" s="31"/>
      <c r="LEM85" s="31"/>
      <c r="LEN85" s="31"/>
      <c r="LEO85" s="31"/>
      <c r="LEP85" s="31"/>
      <c r="LEQ85" s="31"/>
      <c r="LER85" s="31"/>
      <c r="LES85" s="31"/>
      <c r="LET85" s="31"/>
      <c r="LEU85" s="31"/>
      <c r="LEV85" s="31"/>
      <c r="LEW85" s="31"/>
      <c r="LEX85" s="31"/>
      <c r="LEY85" s="31"/>
      <c r="LEZ85" s="31"/>
      <c r="LFA85" s="31"/>
      <c r="LFB85" s="31"/>
      <c r="LFC85" s="31"/>
      <c r="LFD85" s="31"/>
      <c r="LFE85" s="31"/>
      <c r="LFF85" s="31"/>
      <c r="LFG85" s="31"/>
      <c r="LFH85" s="31"/>
      <c r="LFI85" s="31"/>
      <c r="LFJ85" s="31"/>
      <c r="LFK85" s="31"/>
      <c r="LFL85" s="31"/>
      <c r="LFM85" s="31"/>
      <c r="LFN85" s="31"/>
      <c r="LFO85" s="31"/>
      <c r="LFP85" s="31"/>
      <c r="LFQ85" s="31"/>
      <c r="LFR85" s="31"/>
      <c r="LFS85" s="31"/>
      <c r="LFT85" s="31"/>
      <c r="LFU85" s="31"/>
      <c r="LFV85" s="31"/>
      <c r="LFW85" s="31"/>
      <c r="LFX85" s="31"/>
      <c r="LFY85" s="31"/>
      <c r="LFZ85" s="31"/>
      <c r="LGA85" s="31"/>
      <c r="LGB85" s="31"/>
      <c r="LGC85" s="31"/>
      <c r="LGD85" s="31"/>
      <c r="LGE85" s="31"/>
      <c r="LGF85" s="31"/>
      <c r="LGG85" s="31"/>
      <c r="LGH85" s="31"/>
      <c r="LGI85" s="31"/>
      <c r="LGJ85" s="31"/>
      <c r="LGK85" s="31"/>
      <c r="LGL85" s="31"/>
      <c r="LGM85" s="31"/>
      <c r="LGN85" s="31"/>
      <c r="LGO85" s="31"/>
      <c r="LGP85" s="31"/>
      <c r="LGQ85" s="31"/>
      <c r="LGR85" s="31"/>
      <c r="LGS85" s="31"/>
      <c r="LGT85" s="31"/>
      <c r="LGU85" s="31"/>
      <c r="LGV85" s="31"/>
      <c r="LGW85" s="31"/>
      <c r="LGX85" s="31"/>
      <c r="LGY85" s="31"/>
      <c r="LGZ85" s="31"/>
      <c r="LHA85" s="31"/>
      <c r="LHB85" s="31"/>
      <c r="LHC85" s="31"/>
      <c r="LHD85" s="31"/>
      <c r="LHE85" s="31"/>
      <c r="LHF85" s="31"/>
      <c r="LHG85" s="31"/>
      <c r="LHH85" s="31"/>
      <c r="LHI85" s="31"/>
      <c r="LHJ85" s="31"/>
      <c r="LHK85" s="31"/>
      <c r="LHL85" s="31"/>
      <c r="LHM85" s="31"/>
      <c r="LHN85" s="31"/>
      <c r="LHO85" s="31"/>
      <c r="LHP85" s="31"/>
      <c r="LHQ85" s="31"/>
      <c r="LHR85" s="31"/>
      <c r="LHS85" s="31"/>
      <c r="LHT85" s="31"/>
      <c r="LHU85" s="31"/>
      <c r="LHV85" s="31"/>
      <c r="LHW85" s="31"/>
      <c r="LHX85" s="31"/>
      <c r="LHY85" s="31"/>
      <c r="LHZ85" s="31"/>
      <c r="LIA85" s="31"/>
      <c r="LIB85" s="31"/>
      <c r="LIC85" s="31"/>
      <c r="LID85" s="31"/>
      <c r="LIE85" s="31"/>
      <c r="LIF85" s="31"/>
      <c r="LIG85" s="31"/>
      <c r="LIH85" s="31"/>
      <c r="LII85" s="31"/>
      <c r="LIJ85" s="31"/>
      <c r="LIK85" s="31"/>
      <c r="LIL85" s="31"/>
      <c r="LIM85" s="31"/>
      <c r="LIN85" s="31"/>
      <c r="LIO85" s="31"/>
      <c r="LIP85" s="31"/>
      <c r="LIQ85" s="31"/>
      <c r="LIR85" s="31"/>
      <c r="LIS85" s="31"/>
      <c r="LIT85" s="31"/>
      <c r="LIU85" s="31"/>
      <c r="LIV85" s="31"/>
      <c r="LIW85" s="31"/>
      <c r="LIX85" s="31"/>
      <c r="LIY85" s="31"/>
      <c r="LIZ85" s="31"/>
      <c r="LJA85" s="31"/>
      <c r="LJB85" s="31"/>
      <c r="LJC85" s="31"/>
      <c r="LJD85" s="31"/>
      <c r="LJE85" s="31"/>
      <c r="LJF85" s="31"/>
      <c r="LJG85" s="31"/>
      <c r="LJH85" s="31"/>
      <c r="LJI85" s="31"/>
      <c r="LJJ85" s="31"/>
      <c r="LJK85" s="31"/>
      <c r="LJL85" s="31"/>
      <c r="LJM85" s="31"/>
      <c r="LJN85" s="31"/>
      <c r="LJO85" s="31"/>
      <c r="LJP85" s="31"/>
      <c r="LJQ85" s="31"/>
      <c r="LJR85" s="31"/>
      <c r="LJS85" s="31"/>
      <c r="LJT85" s="31"/>
      <c r="LJU85" s="31"/>
      <c r="LJV85" s="31"/>
      <c r="LJW85" s="31"/>
      <c r="LJX85" s="31"/>
      <c r="LJY85" s="31"/>
      <c r="LJZ85" s="31"/>
      <c r="LKA85" s="31"/>
      <c r="LKB85" s="31"/>
      <c r="LKC85" s="31"/>
      <c r="LKD85" s="31"/>
      <c r="LKE85" s="31"/>
      <c r="LKF85" s="31"/>
      <c r="LKG85" s="31"/>
      <c r="LKH85" s="31"/>
      <c r="LKI85" s="31"/>
      <c r="LKJ85" s="31"/>
      <c r="LKK85" s="31"/>
      <c r="LKL85" s="31"/>
      <c r="LKM85" s="31"/>
      <c r="LKN85" s="31"/>
      <c r="LKO85" s="31"/>
      <c r="LKP85" s="31"/>
      <c r="LKQ85" s="31"/>
      <c r="LKR85" s="31"/>
      <c r="LKS85" s="31"/>
      <c r="LKT85" s="31"/>
      <c r="LKU85" s="31"/>
      <c r="LKV85" s="31"/>
      <c r="LKW85" s="31"/>
      <c r="LKX85" s="31"/>
      <c r="LKY85" s="31"/>
      <c r="LKZ85" s="31"/>
      <c r="LLA85" s="31"/>
      <c r="LLB85" s="31"/>
      <c r="LLC85" s="31"/>
      <c r="LLD85" s="31"/>
      <c r="LLE85" s="31"/>
      <c r="LLF85" s="31"/>
      <c r="LLG85" s="31"/>
      <c r="LLH85" s="31"/>
      <c r="LLI85" s="31"/>
      <c r="LLJ85" s="31"/>
      <c r="LLK85" s="31"/>
      <c r="LLL85" s="31"/>
      <c r="LLM85" s="31"/>
      <c r="LLN85" s="31"/>
      <c r="LLO85" s="31"/>
      <c r="LLP85" s="31"/>
      <c r="LLQ85" s="31"/>
      <c r="LLR85" s="31"/>
      <c r="LLS85" s="31"/>
      <c r="LLT85" s="31"/>
      <c r="LLU85" s="31"/>
      <c r="LLV85" s="31"/>
      <c r="LLW85" s="31"/>
      <c r="LLX85" s="31"/>
      <c r="LLY85" s="31"/>
      <c r="LLZ85" s="31"/>
      <c r="LMA85" s="31"/>
      <c r="LMB85" s="31"/>
      <c r="LMC85" s="31"/>
      <c r="LMD85" s="31"/>
      <c r="LME85" s="31"/>
      <c r="LMF85" s="31"/>
      <c r="LMG85" s="31"/>
      <c r="LMH85" s="31"/>
      <c r="LMI85" s="31"/>
      <c r="LMJ85" s="31"/>
      <c r="LMK85" s="31"/>
      <c r="LML85" s="31"/>
      <c r="LMM85" s="31"/>
      <c r="LMN85" s="31"/>
      <c r="LMO85" s="31"/>
      <c r="LMP85" s="31"/>
      <c r="LMQ85" s="31"/>
      <c r="LMR85" s="31"/>
      <c r="LMS85" s="31"/>
      <c r="LMT85" s="31"/>
      <c r="LMU85" s="31"/>
      <c r="LMV85" s="31"/>
      <c r="LMW85" s="31"/>
      <c r="LMX85" s="31"/>
      <c r="LMY85" s="31"/>
      <c r="LMZ85" s="31"/>
      <c r="LNA85" s="31"/>
      <c r="LNB85" s="31"/>
      <c r="LNC85" s="31"/>
      <c r="LND85" s="31"/>
      <c r="LNE85" s="31"/>
      <c r="LNF85" s="31"/>
      <c r="LNG85" s="31"/>
      <c r="LNH85" s="31"/>
      <c r="LNI85" s="31"/>
      <c r="LNJ85" s="31"/>
      <c r="LNK85" s="31"/>
      <c r="LNL85" s="31"/>
      <c r="LNM85" s="31"/>
      <c r="LNN85" s="31"/>
      <c r="LNO85" s="31"/>
      <c r="LNP85" s="31"/>
      <c r="LNQ85" s="31"/>
      <c r="LNR85" s="31"/>
      <c r="LNS85" s="31"/>
      <c r="LNT85" s="31"/>
      <c r="LNU85" s="31"/>
      <c r="LNV85" s="31"/>
      <c r="LNW85" s="31"/>
      <c r="LNX85" s="31"/>
      <c r="LNY85" s="31"/>
      <c r="LNZ85" s="31"/>
      <c r="LOA85" s="31"/>
      <c r="LOB85" s="31"/>
      <c r="LOC85" s="31"/>
      <c r="LOD85" s="31"/>
      <c r="LOE85" s="31"/>
      <c r="LOF85" s="31"/>
      <c r="LOG85" s="31"/>
      <c r="LOH85" s="31"/>
      <c r="LOI85" s="31"/>
      <c r="LOJ85" s="31"/>
      <c r="LOK85" s="31"/>
      <c r="LOL85" s="31"/>
      <c r="LOM85" s="31"/>
      <c r="LON85" s="31"/>
      <c r="LOO85" s="31"/>
      <c r="LOP85" s="31"/>
      <c r="LOQ85" s="31"/>
      <c r="LOR85" s="31"/>
      <c r="LOS85" s="31"/>
      <c r="LOT85" s="31"/>
      <c r="LOU85" s="31"/>
      <c r="LOV85" s="31"/>
      <c r="LOW85" s="31"/>
      <c r="LOX85" s="31"/>
      <c r="LOY85" s="31"/>
      <c r="LOZ85" s="31"/>
      <c r="LPA85" s="31"/>
      <c r="LPB85" s="31"/>
      <c r="LPC85" s="31"/>
      <c r="LPD85" s="31"/>
      <c r="LPE85" s="31"/>
      <c r="LPF85" s="31"/>
      <c r="LPG85" s="31"/>
      <c r="LPH85" s="31"/>
      <c r="LPI85" s="31"/>
      <c r="LPJ85" s="31"/>
      <c r="LPK85" s="31"/>
      <c r="LPL85" s="31"/>
      <c r="LPM85" s="31"/>
      <c r="LPN85" s="31"/>
      <c r="LPO85" s="31"/>
      <c r="LPP85" s="31"/>
      <c r="LPQ85" s="31"/>
      <c r="LPR85" s="31"/>
      <c r="LPS85" s="31"/>
      <c r="LPT85" s="31"/>
      <c r="LPU85" s="31"/>
      <c r="LPV85" s="31"/>
      <c r="LPW85" s="31"/>
      <c r="LPX85" s="31"/>
      <c r="LPY85" s="31"/>
      <c r="LPZ85" s="31"/>
      <c r="LQA85" s="31"/>
      <c r="LQB85" s="31"/>
      <c r="LQC85" s="31"/>
      <c r="LQD85" s="31"/>
      <c r="LQE85" s="31"/>
      <c r="LQF85" s="31"/>
      <c r="LQG85" s="31"/>
      <c r="LQH85" s="31"/>
      <c r="LQI85" s="31"/>
      <c r="LQJ85" s="31"/>
      <c r="LQK85" s="31"/>
      <c r="LQL85" s="31"/>
      <c r="LQM85" s="31"/>
      <c r="LQN85" s="31"/>
      <c r="LQO85" s="31"/>
      <c r="LQP85" s="31"/>
      <c r="LQQ85" s="31"/>
      <c r="LQR85" s="31"/>
      <c r="LQS85" s="31"/>
      <c r="LQT85" s="31"/>
      <c r="LQU85" s="31"/>
      <c r="LQV85" s="31"/>
      <c r="LQW85" s="31"/>
      <c r="LQX85" s="31"/>
      <c r="LQY85" s="31"/>
      <c r="LQZ85" s="31"/>
      <c r="LRA85" s="31"/>
      <c r="LRB85" s="31"/>
      <c r="LRC85" s="31"/>
      <c r="LRD85" s="31"/>
      <c r="LRE85" s="31"/>
      <c r="LRF85" s="31"/>
      <c r="LRG85" s="31"/>
      <c r="LRH85" s="31"/>
      <c r="LRI85" s="31"/>
      <c r="LRJ85" s="31"/>
      <c r="LRK85" s="31"/>
      <c r="LRL85" s="31"/>
      <c r="LRM85" s="31"/>
      <c r="LRN85" s="31"/>
      <c r="LRO85" s="31"/>
      <c r="LRP85" s="31"/>
      <c r="LRQ85" s="31"/>
      <c r="LRR85" s="31"/>
      <c r="LRS85" s="31"/>
      <c r="LRT85" s="31"/>
      <c r="LRU85" s="31"/>
      <c r="LRV85" s="31"/>
      <c r="LRW85" s="31"/>
      <c r="LRX85" s="31"/>
      <c r="LRY85" s="31"/>
      <c r="LRZ85" s="31"/>
      <c r="LSA85" s="31"/>
      <c r="LSB85" s="31"/>
      <c r="LSC85" s="31"/>
      <c r="LSD85" s="31"/>
      <c r="LSE85" s="31"/>
      <c r="LSF85" s="31"/>
      <c r="LSG85" s="31"/>
      <c r="LSH85" s="31"/>
      <c r="LSI85" s="31"/>
      <c r="LSJ85" s="31"/>
      <c r="LSK85" s="31"/>
      <c r="LSL85" s="31"/>
      <c r="LSM85" s="31"/>
      <c r="LSN85" s="31"/>
      <c r="LSO85" s="31"/>
      <c r="LSP85" s="31"/>
      <c r="LSQ85" s="31"/>
      <c r="LSR85" s="31"/>
      <c r="LSS85" s="31"/>
      <c r="LST85" s="31"/>
      <c r="LSU85" s="31"/>
      <c r="LSV85" s="31"/>
      <c r="LSW85" s="31"/>
      <c r="LSX85" s="31"/>
      <c r="LSY85" s="31"/>
      <c r="LSZ85" s="31"/>
      <c r="LTA85" s="31"/>
      <c r="LTB85" s="31"/>
      <c r="LTC85" s="31"/>
      <c r="LTD85" s="31"/>
      <c r="LTE85" s="31"/>
      <c r="LTF85" s="31"/>
      <c r="LTG85" s="31"/>
      <c r="LTH85" s="31"/>
      <c r="LTI85" s="31"/>
      <c r="LTJ85" s="31"/>
      <c r="LTK85" s="31"/>
      <c r="LTL85" s="31"/>
      <c r="LTM85" s="31"/>
      <c r="LTN85" s="31"/>
      <c r="LTO85" s="31"/>
      <c r="LTP85" s="31"/>
      <c r="LTQ85" s="31"/>
      <c r="LTR85" s="31"/>
      <c r="LTS85" s="31"/>
      <c r="LTT85" s="31"/>
      <c r="LTU85" s="31"/>
      <c r="LTV85" s="31"/>
      <c r="LTW85" s="31"/>
      <c r="LTX85" s="31"/>
      <c r="LTY85" s="31"/>
      <c r="LTZ85" s="31"/>
      <c r="LUA85" s="31"/>
      <c r="LUB85" s="31"/>
      <c r="LUC85" s="31"/>
      <c r="LUD85" s="31"/>
      <c r="LUE85" s="31"/>
      <c r="LUF85" s="31"/>
      <c r="LUG85" s="31"/>
      <c r="LUH85" s="31"/>
      <c r="LUI85" s="31"/>
      <c r="LUJ85" s="31"/>
      <c r="LUK85" s="31"/>
      <c r="LUL85" s="31"/>
      <c r="LUM85" s="31"/>
      <c r="LUN85" s="31"/>
      <c r="LUO85" s="31"/>
      <c r="LUP85" s="31"/>
      <c r="LUQ85" s="31"/>
      <c r="LUR85" s="31"/>
      <c r="LUS85" s="31"/>
      <c r="LUT85" s="31"/>
      <c r="LUU85" s="31"/>
      <c r="LUV85" s="31"/>
      <c r="LUW85" s="31"/>
      <c r="LUX85" s="31"/>
      <c r="LUY85" s="31"/>
      <c r="LUZ85" s="31"/>
      <c r="LVA85" s="31"/>
      <c r="LVB85" s="31"/>
      <c r="LVC85" s="31"/>
      <c r="LVD85" s="31"/>
      <c r="LVE85" s="31"/>
      <c r="LVF85" s="31"/>
      <c r="LVG85" s="31"/>
      <c r="LVH85" s="31"/>
      <c r="LVI85" s="31"/>
      <c r="LVJ85" s="31"/>
      <c r="LVK85" s="31"/>
      <c r="LVL85" s="31"/>
      <c r="LVM85" s="31"/>
      <c r="LVN85" s="31"/>
      <c r="LVO85" s="31"/>
      <c r="LVP85" s="31"/>
      <c r="LVQ85" s="31"/>
      <c r="LVR85" s="31"/>
      <c r="LVS85" s="31"/>
      <c r="LVT85" s="31"/>
      <c r="LVU85" s="31"/>
      <c r="LVV85" s="31"/>
      <c r="LVW85" s="31"/>
      <c r="LVX85" s="31"/>
      <c r="LVY85" s="31"/>
      <c r="LVZ85" s="31"/>
      <c r="LWA85" s="31"/>
      <c r="LWB85" s="31"/>
      <c r="LWC85" s="31"/>
      <c r="LWD85" s="31"/>
      <c r="LWE85" s="31"/>
      <c r="LWF85" s="31"/>
      <c r="LWG85" s="31"/>
      <c r="LWH85" s="31"/>
      <c r="LWI85" s="31"/>
      <c r="LWJ85" s="31"/>
      <c r="LWK85" s="31"/>
      <c r="LWL85" s="31"/>
      <c r="LWM85" s="31"/>
      <c r="LWN85" s="31"/>
      <c r="LWO85" s="31"/>
      <c r="LWP85" s="31"/>
      <c r="LWQ85" s="31"/>
      <c r="LWR85" s="31"/>
      <c r="LWS85" s="31"/>
      <c r="LWT85" s="31"/>
      <c r="LWU85" s="31"/>
      <c r="LWV85" s="31"/>
      <c r="LWW85" s="31"/>
      <c r="LWX85" s="31"/>
      <c r="LWY85" s="31"/>
      <c r="LWZ85" s="31"/>
      <c r="LXA85" s="31"/>
      <c r="LXB85" s="31"/>
      <c r="LXC85" s="31"/>
      <c r="LXD85" s="31"/>
      <c r="LXE85" s="31"/>
      <c r="LXF85" s="31"/>
      <c r="LXG85" s="31"/>
      <c r="LXH85" s="31"/>
      <c r="LXI85" s="31"/>
      <c r="LXJ85" s="31"/>
      <c r="LXK85" s="31"/>
      <c r="LXL85" s="31"/>
      <c r="LXM85" s="31"/>
      <c r="LXN85" s="31"/>
      <c r="LXO85" s="31"/>
      <c r="LXP85" s="31"/>
      <c r="LXQ85" s="31"/>
      <c r="LXR85" s="31"/>
      <c r="LXS85" s="31"/>
      <c r="LXT85" s="31"/>
      <c r="LXU85" s="31"/>
      <c r="LXV85" s="31"/>
      <c r="LXW85" s="31"/>
      <c r="LXX85" s="31"/>
      <c r="LXY85" s="31"/>
      <c r="LXZ85" s="31"/>
      <c r="LYA85" s="31"/>
      <c r="LYB85" s="31"/>
      <c r="LYC85" s="31"/>
      <c r="LYD85" s="31"/>
      <c r="LYE85" s="31"/>
      <c r="LYF85" s="31"/>
      <c r="LYG85" s="31"/>
      <c r="LYH85" s="31"/>
      <c r="LYI85" s="31"/>
      <c r="LYJ85" s="31"/>
      <c r="LYK85" s="31"/>
      <c r="LYL85" s="31"/>
      <c r="LYM85" s="31"/>
      <c r="LYN85" s="31"/>
      <c r="LYO85" s="31"/>
      <c r="LYP85" s="31"/>
      <c r="LYQ85" s="31"/>
      <c r="LYR85" s="31"/>
      <c r="LYS85" s="31"/>
      <c r="LYT85" s="31"/>
      <c r="LYU85" s="31"/>
      <c r="LYV85" s="31"/>
      <c r="LYW85" s="31"/>
      <c r="LYX85" s="31"/>
      <c r="LYY85" s="31"/>
      <c r="LYZ85" s="31"/>
      <c r="LZA85" s="31"/>
      <c r="LZB85" s="31"/>
      <c r="LZC85" s="31"/>
      <c r="LZD85" s="31"/>
      <c r="LZE85" s="31"/>
      <c r="LZF85" s="31"/>
      <c r="LZG85" s="31"/>
      <c r="LZH85" s="31"/>
      <c r="LZI85" s="31"/>
      <c r="LZJ85" s="31"/>
      <c r="LZK85" s="31"/>
      <c r="LZL85" s="31"/>
      <c r="LZM85" s="31"/>
      <c r="LZN85" s="31"/>
      <c r="LZO85" s="31"/>
      <c r="LZP85" s="31"/>
      <c r="LZQ85" s="31"/>
      <c r="LZR85" s="31"/>
      <c r="LZS85" s="31"/>
      <c r="LZT85" s="31"/>
      <c r="LZU85" s="31"/>
      <c r="LZV85" s="31"/>
      <c r="LZW85" s="31"/>
      <c r="LZX85" s="31"/>
      <c r="LZY85" s="31"/>
      <c r="LZZ85" s="31"/>
      <c r="MAA85" s="31"/>
      <c r="MAB85" s="31"/>
      <c r="MAC85" s="31"/>
      <c r="MAD85" s="31"/>
      <c r="MAE85" s="31"/>
      <c r="MAF85" s="31"/>
      <c r="MAG85" s="31"/>
      <c r="MAH85" s="31"/>
      <c r="MAI85" s="31"/>
      <c r="MAJ85" s="31"/>
      <c r="MAK85" s="31"/>
      <c r="MAL85" s="31"/>
      <c r="MAM85" s="31"/>
      <c r="MAN85" s="31"/>
      <c r="MAO85" s="31"/>
      <c r="MAP85" s="31"/>
      <c r="MAQ85" s="31"/>
      <c r="MAR85" s="31"/>
      <c r="MAS85" s="31"/>
      <c r="MAT85" s="31"/>
      <c r="MAU85" s="31"/>
      <c r="MAV85" s="31"/>
      <c r="MAW85" s="31"/>
      <c r="MAX85" s="31"/>
      <c r="MAY85" s="31"/>
      <c r="MAZ85" s="31"/>
      <c r="MBA85" s="31"/>
      <c r="MBB85" s="31"/>
      <c r="MBC85" s="31"/>
      <c r="MBD85" s="31"/>
      <c r="MBE85" s="31"/>
      <c r="MBF85" s="31"/>
      <c r="MBG85" s="31"/>
      <c r="MBH85" s="31"/>
      <c r="MBI85" s="31"/>
      <c r="MBJ85" s="31"/>
      <c r="MBK85" s="31"/>
      <c r="MBL85" s="31"/>
      <c r="MBM85" s="31"/>
      <c r="MBN85" s="31"/>
      <c r="MBO85" s="31"/>
      <c r="MBP85" s="31"/>
      <c r="MBQ85" s="31"/>
      <c r="MBR85" s="31"/>
      <c r="MBS85" s="31"/>
      <c r="MBT85" s="31"/>
      <c r="MBU85" s="31"/>
      <c r="MBV85" s="31"/>
      <c r="MBW85" s="31"/>
      <c r="MBX85" s="31"/>
      <c r="MBY85" s="31"/>
      <c r="MBZ85" s="31"/>
      <c r="MCA85" s="31"/>
      <c r="MCB85" s="31"/>
      <c r="MCC85" s="31"/>
      <c r="MCD85" s="31"/>
      <c r="MCE85" s="31"/>
      <c r="MCF85" s="31"/>
      <c r="MCG85" s="31"/>
      <c r="MCH85" s="31"/>
      <c r="MCI85" s="31"/>
      <c r="MCJ85" s="31"/>
      <c r="MCK85" s="31"/>
      <c r="MCL85" s="31"/>
      <c r="MCM85" s="31"/>
      <c r="MCN85" s="31"/>
      <c r="MCO85" s="31"/>
      <c r="MCP85" s="31"/>
      <c r="MCQ85" s="31"/>
      <c r="MCR85" s="31"/>
      <c r="MCS85" s="31"/>
      <c r="MCT85" s="31"/>
      <c r="MCU85" s="31"/>
      <c r="MCV85" s="31"/>
      <c r="MCW85" s="31"/>
      <c r="MCX85" s="31"/>
      <c r="MCY85" s="31"/>
      <c r="MCZ85" s="31"/>
      <c r="MDA85" s="31"/>
      <c r="MDB85" s="31"/>
      <c r="MDC85" s="31"/>
      <c r="MDD85" s="31"/>
      <c r="MDE85" s="31"/>
      <c r="MDF85" s="31"/>
      <c r="MDG85" s="31"/>
      <c r="MDH85" s="31"/>
      <c r="MDI85" s="31"/>
      <c r="MDJ85" s="31"/>
      <c r="MDK85" s="31"/>
      <c r="MDL85" s="31"/>
      <c r="MDM85" s="31"/>
      <c r="MDN85" s="31"/>
      <c r="MDO85" s="31"/>
      <c r="MDP85" s="31"/>
      <c r="MDQ85" s="31"/>
      <c r="MDR85" s="31"/>
      <c r="MDS85" s="31"/>
      <c r="MDT85" s="31"/>
      <c r="MDU85" s="31"/>
      <c r="MDV85" s="31"/>
      <c r="MDW85" s="31"/>
      <c r="MDX85" s="31"/>
      <c r="MDY85" s="31"/>
      <c r="MDZ85" s="31"/>
      <c r="MEA85" s="31"/>
      <c r="MEB85" s="31"/>
      <c r="MEC85" s="31"/>
      <c r="MED85" s="31"/>
      <c r="MEE85" s="31"/>
      <c r="MEF85" s="31"/>
      <c r="MEG85" s="31"/>
      <c r="MEH85" s="31"/>
      <c r="MEI85" s="31"/>
      <c r="MEJ85" s="31"/>
      <c r="MEK85" s="31"/>
      <c r="MEL85" s="31"/>
      <c r="MEM85" s="31"/>
      <c r="MEN85" s="31"/>
      <c r="MEO85" s="31"/>
      <c r="MEP85" s="31"/>
      <c r="MEQ85" s="31"/>
      <c r="MER85" s="31"/>
      <c r="MES85" s="31"/>
      <c r="MET85" s="31"/>
      <c r="MEU85" s="31"/>
      <c r="MEV85" s="31"/>
      <c r="MEW85" s="31"/>
      <c r="MEX85" s="31"/>
      <c r="MEY85" s="31"/>
      <c r="MEZ85" s="31"/>
      <c r="MFA85" s="31"/>
      <c r="MFB85" s="31"/>
      <c r="MFC85" s="31"/>
      <c r="MFD85" s="31"/>
      <c r="MFE85" s="31"/>
      <c r="MFF85" s="31"/>
      <c r="MFG85" s="31"/>
      <c r="MFH85" s="31"/>
      <c r="MFI85" s="31"/>
      <c r="MFJ85" s="31"/>
      <c r="MFK85" s="31"/>
      <c r="MFL85" s="31"/>
      <c r="MFM85" s="31"/>
      <c r="MFN85" s="31"/>
      <c r="MFO85" s="31"/>
      <c r="MFP85" s="31"/>
      <c r="MFQ85" s="31"/>
      <c r="MFR85" s="31"/>
      <c r="MFS85" s="31"/>
      <c r="MFT85" s="31"/>
      <c r="MFU85" s="31"/>
      <c r="MFV85" s="31"/>
      <c r="MFW85" s="31"/>
      <c r="MFX85" s="31"/>
      <c r="MFY85" s="31"/>
      <c r="MFZ85" s="31"/>
      <c r="MGA85" s="31"/>
      <c r="MGB85" s="31"/>
      <c r="MGC85" s="31"/>
      <c r="MGD85" s="31"/>
      <c r="MGE85" s="31"/>
      <c r="MGF85" s="31"/>
      <c r="MGG85" s="31"/>
      <c r="MGH85" s="31"/>
      <c r="MGI85" s="31"/>
      <c r="MGJ85" s="31"/>
      <c r="MGK85" s="31"/>
      <c r="MGL85" s="31"/>
      <c r="MGM85" s="31"/>
      <c r="MGN85" s="31"/>
      <c r="MGO85" s="31"/>
      <c r="MGP85" s="31"/>
      <c r="MGQ85" s="31"/>
      <c r="MGR85" s="31"/>
      <c r="MGS85" s="31"/>
      <c r="MGT85" s="31"/>
      <c r="MGU85" s="31"/>
      <c r="MGV85" s="31"/>
      <c r="MGW85" s="31"/>
      <c r="MGX85" s="31"/>
      <c r="MGY85" s="31"/>
      <c r="MGZ85" s="31"/>
      <c r="MHA85" s="31"/>
      <c r="MHB85" s="31"/>
      <c r="MHC85" s="31"/>
      <c r="MHD85" s="31"/>
      <c r="MHE85" s="31"/>
      <c r="MHF85" s="31"/>
      <c r="MHG85" s="31"/>
      <c r="MHH85" s="31"/>
      <c r="MHI85" s="31"/>
      <c r="MHJ85" s="31"/>
      <c r="MHK85" s="31"/>
      <c r="MHL85" s="31"/>
      <c r="MHM85" s="31"/>
      <c r="MHN85" s="31"/>
      <c r="MHO85" s="31"/>
      <c r="MHP85" s="31"/>
      <c r="MHQ85" s="31"/>
      <c r="MHR85" s="31"/>
      <c r="MHS85" s="31"/>
      <c r="MHT85" s="31"/>
      <c r="MHU85" s="31"/>
      <c r="MHV85" s="31"/>
      <c r="MHW85" s="31"/>
      <c r="MHX85" s="31"/>
      <c r="MHY85" s="31"/>
      <c r="MHZ85" s="31"/>
      <c r="MIA85" s="31"/>
      <c r="MIB85" s="31"/>
      <c r="MIC85" s="31"/>
      <c r="MID85" s="31"/>
      <c r="MIE85" s="31"/>
      <c r="MIF85" s="31"/>
      <c r="MIG85" s="31"/>
      <c r="MIH85" s="31"/>
      <c r="MII85" s="31"/>
      <c r="MIJ85" s="31"/>
      <c r="MIK85" s="31"/>
      <c r="MIL85" s="31"/>
      <c r="MIM85" s="31"/>
      <c r="MIN85" s="31"/>
      <c r="MIO85" s="31"/>
      <c r="MIP85" s="31"/>
      <c r="MIQ85" s="31"/>
      <c r="MIR85" s="31"/>
      <c r="MIS85" s="31"/>
      <c r="MIT85" s="31"/>
      <c r="MIU85" s="31"/>
      <c r="MIV85" s="31"/>
      <c r="MIW85" s="31"/>
      <c r="MIX85" s="31"/>
      <c r="MIY85" s="31"/>
      <c r="MIZ85" s="31"/>
      <c r="MJA85" s="31"/>
      <c r="MJB85" s="31"/>
      <c r="MJC85" s="31"/>
      <c r="MJD85" s="31"/>
      <c r="MJE85" s="31"/>
      <c r="MJF85" s="31"/>
      <c r="MJG85" s="31"/>
      <c r="MJH85" s="31"/>
      <c r="MJI85" s="31"/>
      <c r="MJJ85" s="31"/>
      <c r="MJK85" s="31"/>
      <c r="MJL85" s="31"/>
      <c r="MJM85" s="31"/>
      <c r="MJN85" s="31"/>
      <c r="MJO85" s="31"/>
      <c r="MJP85" s="31"/>
      <c r="MJQ85" s="31"/>
      <c r="MJR85" s="31"/>
      <c r="MJS85" s="31"/>
      <c r="MJT85" s="31"/>
      <c r="MJU85" s="31"/>
      <c r="MJV85" s="31"/>
      <c r="MJW85" s="31"/>
      <c r="MJX85" s="31"/>
      <c r="MJY85" s="31"/>
      <c r="MJZ85" s="31"/>
      <c r="MKA85" s="31"/>
      <c r="MKB85" s="31"/>
      <c r="MKC85" s="31"/>
      <c r="MKD85" s="31"/>
      <c r="MKE85" s="31"/>
      <c r="MKF85" s="31"/>
      <c r="MKG85" s="31"/>
      <c r="MKH85" s="31"/>
      <c r="MKI85" s="31"/>
      <c r="MKJ85" s="31"/>
      <c r="MKK85" s="31"/>
      <c r="MKL85" s="31"/>
      <c r="MKM85" s="31"/>
      <c r="MKN85" s="31"/>
      <c r="MKO85" s="31"/>
      <c r="MKP85" s="31"/>
      <c r="MKQ85" s="31"/>
      <c r="MKR85" s="31"/>
      <c r="MKS85" s="31"/>
      <c r="MKT85" s="31"/>
      <c r="MKU85" s="31"/>
      <c r="MKV85" s="31"/>
      <c r="MKW85" s="31"/>
      <c r="MKX85" s="31"/>
      <c r="MKY85" s="31"/>
      <c r="MKZ85" s="31"/>
      <c r="MLA85" s="31"/>
      <c r="MLB85" s="31"/>
      <c r="MLC85" s="31"/>
      <c r="MLD85" s="31"/>
      <c r="MLE85" s="31"/>
      <c r="MLF85" s="31"/>
      <c r="MLG85" s="31"/>
      <c r="MLH85" s="31"/>
      <c r="MLI85" s="31"/>
      <c r="MLJ85" s="31"/>
      <c r="MLK85" s="31"/>
      <c r="MLL85" s="31"/>
      <c r="MLM85" s="31"/>
      <c r="MLN85" s="31"/>
      <c r="MLO85" s="31"/>
      <c r="MLP85" s="31"/>
      <c r="MLQ85" s="31"/>
      <c r="MLR85" s="31"/>
      <c r="MLS85" s="31"/>
      <c r="MLT85" s="31"/>
      <c r="MLU85" s="31"/>
      <c r="MLV85" s="31"/>
      <c r="MLW85" s="31"/>
      <c r="MLX85" s="31"/>
      <c r="MLY85" s="31"/>
      <c r="MLZ85" s="31"/>
      <c r="MMA85" s="31"/>
      <c r="MMB85" s="31"/>
      <c r="MMC85" s="31"/>
      <c r="MMD85" s="31"/>
      <c r="MME85" s="31"/>
      <c r="MMF85" s="31"/>
      <c r="MMG85" s="31"/>
      <c r="MMH85" s="31"/>
      <c r="MMI85" s="31"/>
      <c r="MMJ85" s="31"/>
      <c r="MMK85" s="31"/>
      <c r="MML85" s="31"/>
      <c r="MMM85" s="31"/>
      <c r="MMN85" s="31"/>
      <c r="MMO85" s="31"/>
      <c r="MMP85" s="31"/>
      <c r="MMQ85" s="31"/>
      <c r="MMR85" s="31"/>
      <c r="MMS85" s="31"/>
      <c r="MMT85" s="31"/>
      <c r="MMU85" s="31"/>
      <c r="MMV85" s="31"/>
      <c r="MMW85" s="31"/>
      <c r="MMX85" s="31"/>
      <c r="MMY85" s="31"/>
      <c r="MMZ85" s="31"/>
      <c r="MNA85" s="31"/>
      <c r="MNB85" s="31"/>
      <c r="MNC85" s="31"/>
      <c r="MND85" s="31"/>
      <c r="MNE85" s="31"/>
      <c r="MNF85" s="31"/>
      <c r="MNG85" s="31"/>
      <c r="MNH85" s="31"/>
      <c r="MNI85" s="31"/>
      <c r="MNJ85" s="31"/>
      <c r="MNK85" s="31"/>
      <c r="MNL85" s="31"/>
      <c r="MNM85" s="31"/>
      <c r="MNN85" s="31"/>
      <c r="MNO85" s="31"/>
      <c r="MNP85" s="31"/>
      <c r="MNQ85" s="31"/>
      <c r="MNR85" s="31"/>
      <c r="MNS85" s="31"/>
      <c r="MNT85" s="31"/>
      <c r="MNU85" s="31"/>
      <c r="MNV85" s="31"/>
      <c r="MNW85" s="31"/>
      <c r="MNX85" s="31"/>
      <c r="MNY85" s="31"/>
      <c r="MNZ85" s="31"/>
      <c r="MOA85" s="31"/>
      <c r="MOB85" s="31"/>
      <c r="MOC85" s="31"/>
      <c r="MOD85" s="31"/>
      <c r="MOE85" s="31"/>
      <c r="MOF85" s="31"/>
      <c r="MOG85" s="31"/>
      <c r="MOH85" s="31"/>
      <c r="MOI85" s="31"/>
      <c r="MOJ85" s="31"/>
      <c r="MOK85" s="31"/>
      <c r="MOL85" s="31"/>
      <c r="MOM85" s="31"/>
      <c r="MON85" s="31"/>
      <c r="MOO85" s="31"/>
      <c r="MOP85" s="31"/>
      <c r="MOQ85" s="31"/>
      <c r="MOR85" s="31"/>
      <c r="MOS85" s="31"/>
      <c r="MOT85" s="31"/>
      <c r="MOU85" s="31"/>
      <c r="MOV85" s="31"/>
      <c r="MOW85" s="31"/>
      <c r="MOX85" s="31"/>
      <c r="MOY85" s="31"/>
      <c r="MOZ85" s="31"/>
      <c r="MPA85" s="31"/>
      <c r="MPB85" s="31"/>
      <c r="MPC85" s="31"/>
      <c r="MPD85" s="31"/>
      <c r="MPE85" s="31"/>
      <c r="MPF85" s="31"/>
      <c r="MPG85" s="31"/>
      <c r="MPH85" s="31"/>
      <c r="MPI85" s="31"/>
      <c r="MPJ85" s="31"/>
      <c r="MPK85" s="31"/>
      <c r="MPL85" s="31"/>
      <c r="MPM85" s="31"/>
      <c r="MPN85" s="31"/>
      <c r="MPO85" s="31"/>
      <c r="MPP85" s="31"/>
      <c r="MPQ85" s="31"/>
      <c r="MPR85" s="31"/>
      <c r="MPS85" s="31"/>
      <c r="MPT85" s="31"/>
      <c r="MPU85" s="31"/>
      <c r="MPV85" s="31"/>
      <c r="MPW85" s="31"/>
      <c r="MPX85" s="31"/>
      <c r="MPY85" s="31"/>
      <c r="MPZ85" s="31"/>
      <c r="MQA85" s="31"/>
      <c r="MQB85" s="31"/>
      <c r="MQC85" s="31"/>
      <c r="MQD85" s="31"/>
      <c r="MQE85" s="31"/>
      <c r="MQF85" s="31"/>
      <c r="MQG85" s="31"/>
      <c r="MQH85" s="31"/>
      <c r="MQI85" s="31"/>
      <c r="MQJ85" s="31"/>
      <c r="MQK85" s="31"/>
      <c r="MQL85" s="31"/>
      <c r="MQM85" s="31"/>
      <c r="MQN85" s="31"/>
      <c r="MQO85" s="31"/>
      <c r="MQP85" s="31"/>
      <c r="MQQ85" s="31"/>
      <c r="MQR85" s="31"/>
      <c r="MQS85" s="31"/>
      <c r="MQT85" s="31"/>
      <c r="MQU85" s="31"/>
      <c r="MQV85" s="31"/>
      <c r="MQW85" s="31"/>
      <c r="MQX85" s="31"/>
      <c r="MQY85" s="31"/>
      <c r="MQZ85" s="31"/>
      <c r="MRA85" s="31"/>
      <c r="MRB85" s="31"/>
      <c r="MRC85" s="31"/>
      <c r="MRD85" s="31"/>
      <c r="MRE85" s="31"/>
      <c r="MRF85" s="31"/>
      <c r="MRG85" s="31"/>
      <c r="MRH85" s="31"/>
      <c r="MRI85" s="31"/>
      <c r="MRJ85" s="31"/>
      <c r="MRK85" s="31"/>
      <c r="MRL85" s="31"/>
      <c r="MRM85" s="31"/>
      <c r="MRN85" s="31"/>
      <c r="MRO85" s="31"/>
      <c r="MRP85" s="31"/>
      <c r="MRQ85" s="31"/>
      <c r="MRR85" s="31"/>
      <c r="MRS85" s="31"/>
      <c r="MRT85" s="31"/>
      <c r="MRU85" s="31"/>
      <c r="MRV85" s="31"/>
      <c r="MRW85" s="31"/>
      <c r="MRX85" s="31"/>
      <c r="MRY85" s="31"/>
      <c r="MRZ85" s="31"/>
      <c r="MSA85" s="31"/>
      <c r="MSB85" s="31"/>
      <c r="MSC85" s="31"/>
      <c r="MSD85" s="31"/>
      <c r="MSE85" s="31"/>
      <c r="MSF85" s="31"/>
      <c r="MSG85" s="31"/>
      <c r="MSH85" s="31"/>
      <c r="MSI85" s="31"/>
      <c r="MSJ85" s="31"/>
      <c r="MSK85" s="31"/>
      <c r="MSL85" s="31"/>
      <c r="MSM85" s="31"/>
      <c r="MSN85" s="31"/>
      <c r="MSO85" s="31"/>
      <c r="MSP85" s="31"/>
      <c r="MSQ85" s="31"/>
      <c r="MSR85" s="31"/>
      <c r="MSS85" s="31"/>
      <c r="MST85" s="31"/>
      <c r="MSU85" s="31"/>
      <c r="MSV85" s="31"/>
      <c r="MSW85" s="31"/>
      <c r="MSX85" s="31"/>
      <c r="MSY85" s="31"/>
      <c r="MSZ85" s="31"/>
      <c r="MTA85" s="31"/>
      <c r="MTB85" s="31"/>
      <c r="MTC85" s="31"/>
      <c r="MTD85" s="31"/>
      <c r="MTE85" s="31"/>
      <c r="MTF85" s="31"/>
      <c r="MTG85" s="31"/>
      <c r="MTH85" s="31"/>
      <c r="MTI85" s="31"/>
      <c r="MTJ85" s="31"/>
      <c r="MTK85" s="31"/>
      <c r="MTL85" s="31"/>
      <c r="MTM85" s="31"/>
      <c r="MTN85" s="31"/>
      <c r="MTO85" s="31"/>
      <c r="MTP85" s="31"/>
      <c r="MTQ85" s="31"/>
      <c r="MTR85" s="31"/>
      <c r="MTS85" s="31"/>
      <c r="MTT85" s="31"/>
      <c r="MTU85" s="31"/>
      <c r="MTV85" s="31"/>
      <c r="MTW85" s="31"/>
      <c r="MTX85" s="31"/>
      <c r="MTY85" s="31"/>
      <c r="MTZ85" s="31"/>
      <c r="MUA85" s="31"/>
      <c r="MUB85" s="31"/>
      <c r="MUC85" s="31"/>
      <c r="MUD85" s="31"/>
      <c r="MUE85" s="31"/>
      <c r="MUF85" s="31"/>
      <c r="MUG85" s="31"/>
      <c r="MUH85" s="31"/>
      <c r="MUI85" s="31"/>
      <c r="MUJ85" s="31"/>
      <c r="MUK85" s="31"/>
      <c r="MUL85" s="31"/>
      <c r="MUM85" s="31"/>
      <c r="MUN85" s="31"/>
      <c r="MUO85" s="31"/>
      <c r="MUP85" s="31"/>
      <c r="MUQ85" s="31"/>
      <c r="MUR85" s="31"/>
      <c r="MUS85" s="31"/>
      <c r="MUT85" s="31"/>
      <c r="MUU85" s="31"/>
      <c r="MUV85" s="31"/>
      <c r="MUW85" s="31"/>
      <c r="MUX85" s="31"/>
      <c r="MUY85" s="31"/>
      <c r="MUZ85" s="31"/>
      <c r="MVA85" s="31"/>
      <c r="MVB85" s="31"/>
      <c r="MVC85" s="31"/>
      <c r="MVD85" s="31"/>
      <c r="MVE85" s="31"/>
      <c r="MVF85" s="31"/>
      <c r="MVG85" s="31"/>
      <c r="MVH85" s="31"/>
      <c r="MVI85" s="31"/>
      <c r="MVJ85" s="31"/>
      <c r="MVK85" s="31"/>
      <c r="MVL85" s="31"/>
      <c r="MVM85" s="31"/>
      <c r="MVN85" s="31"/>
      <c r="MVO85" s="31"/>
      <c r="MVP85" s="31"/>
      <c r="MVQ85" s="31"/>
      <c r="MVR85" s="31"/>
      <c r="MVS85" s="31"/>
      <c r="MVT85" s="31"/>
      <c r="MVU85" s="31"/>
      <c r="MVV85" s="31"/>
      <c r="MVW85" s="31"/>
      <c r="MVX85" s="31"/>
      <c r="MVY85" s="31"/>
      <c r="MVZ85" s="31"/>
      <c r="MWA85" s="31"/>
      <c r="MWB85" s="31"/>
      <c r="MWC85" s="31"/>
      <c r="MWD85" s="31"/>
      <c r="MWE85" s="31"/>
      <c r="MWF85" s="31"/>
      <c r="MWG85" s="31"/>
      <c r="MWH85" s="31"/>
      <c r="MWI85" s="31"/>
      <c r="MWJ85" s="31"/>
      <c r="MWK85" s="31"/>
      <c r="MWL85" s="31"/>
      <c r="MWM85" s="31"/>
      <c r="MWN85" s="31"/>
      <c r="MWO85" s="31"/>
      <c r="MWP85" s="31"/>
      <c r="MWQ85" s="31"/>
      <c r="MWR85" s="31"/>
      <c r="MWS85" s="31"/>
      <c r="MWT85" s="31"/>
      <c r="MWU85" s="31"/>
      <c r="MWV85" s="31"/>
      <c r="MWW85" s="31"/>
      <c r="MWX85" s="31"/>
      <c r="MWY85" s="31"/>
      <c r="MWZ85" s="31"/>
      <c r="MXA85" s="31"/>
      <c r="MXB85" s="31"/>
      <c r="MXC85" s="31"/>
      <c r="MXD85" s="31"/>
      <c r="MXE85" s="31"/>
      <c r="MXF85" s="31"/>
      <c r="MXG85" s="31"/>
      <c r="MXH85" s="31"/>
      <c r="MXI85" s="31"/>
      <c r="MXJ85" s="31"/>
      <c r="MXK85" s="31"/>
      <c r="MXL85" s="31"/>
      <c r="MXM85" s="31"/>
      <c r="MXN85" s="31"/>
      <c r="MXO85" s="31"/>
      <c r="MXP85" s="31"/>
      <c r="MXQ85" s="31"/>
      <c r="MXR85" s="31"/>
      <c r="MXS85" s="31"/>
      <c r="MXT85" s="31"/>
      <c r="MXU85" s="31"/>
      <c r="MXV85" s="31"/>
      <c r="MXW85" s="31"/>
      <c r="MXX85" s="31"/>
      <c r="MXY85" s="31"/>
      <c r="MXZ85" s="31"/>
      <c r="MYA85" s="31"/>
      <c r="MYB85" s="31"/>
      <c r="MYC85" s="31"/>
      <c r="MYD85" s="31"/>
      <c r="MYE85" s="31"/>
      <c r="MYF85" s="31"/>
      <c r="MYG85" s="31"/>
      <c r="MYH85" s="31"/>
      <c r="MYI85" s="31"/>
      <c r="MYJ85" s="31"/>
      <c r="MYK85" s="31"/>
      <c r="MYL85" s="31"/>
      <c r="MYM85" s="31"/>
      <c r="MYN85" s="31"/>
      <c r="MYO85" s="31"/>
      <c r="MYP85" s="31"/>
      <c r="MYQ85" s="31"/>
      <c r="MYR85" s="31"/>
      <c r="MYS85" s="31"/>
      <c r="MYT85" s="31"/>
      <c r="MYU85" s="31"/>
      <c r="MYV85" s="31"/>
      <c r="MYW85" s="31"/>
      <c r="MYX85" s="31"/>
      <c r="MYY85" s="31"/>
      <c r="MYZ85" s="31"/>
      <c r="MZA85" s="31"/>
      <c r="MZB85" s="31"/>
      <c r="MZC85" s="31"/>
      <c r="MZD85" s="31"/>
      <c r="MZE85" s="31"/>
      <c r="MZF85" s="31"/>
      <c r="MZG85" s="31"/>
      <c r="MZH85" s="31"/>
      <c r="MZI85" s="31"/>
      <c r="MZJ85" s="31"/>
      <c r="MZK85" s="31"/>
      <c r="MZL85" s="31"/>
      <c r="MZM85" s="31"/>
      <c r="MZN85" s="31"/>
      <c r="MZO85" s="31"/>
      <c r="MZP85" s="31"/>
      <c r="MZQ85" s="31"/>
      <c r="MZR85" s="31"/>
      <c r="MZS85" s="31"/>
      <c r="MZT85" s="31"/>
      <c r="MZU85" s="31"/>
      <c r="MZV85" s="31"/>
      <c r="MZW85" s="31"/>
      <c r="MZX85" s="31"/>
      <c r="MZY85" s="31"/>
      <c r="MZZ85" s="31"/>
      <c r="NAA85" s="31"/>
      <c r="NAB85" s="31"/>
      <c r="NAC85" s="31"/>
      <c r="NAD85" s="31"/>
      <c r="NAE85" s="31"/>
      <c r="NAF85" s="31"/>
      <c r="NAG85" s="31"/>
      <c r="NAH85" s="31"/>
      <c r="NAI85" s="31"/>
      <c r="NAJ85" s="31"/>
      <c r="NAK85" s="31"/>
      <c r="NAL85" s="31"/>
      <c r="NAM85" s="31"/>
      <c r="NAN85" s="31"/>
      <c r="NAO85" s="31"/>
      <c r="NAP85" s="31"/>
      <c r="NAQ85" s="31"/>
      <c r="NAR85" s="31"/>
      <c r="NAS85" s="31"/>
      <c r="NAT85" s="31"/>
      <c r="NAU85" s="31"/>
      <c r="NAV85" s="31"/>
      <c r="NAW85" s="31"/>
      <c r="NAX85" s="31"/>
      <c r="NAY85" s="31"/>
      <c r="NAZ85" s="31"/>
      <c r="NBA85" s="31"/>
      <c r="NBB85" s="31"/>
      <c r="NBC85" s="31"/>
      <c r="NBD85" s="31"/>
      <c r="NBE85" s="31"/>
      <c r="NBF85" s="31"/>
      <c r="NBG85" s="31"/>
      <c r="NBH85" s="31"/>
      <c r="NBI85" s="31"/>
      <c r="NBJ85" s="31"/>
      <c r="NBK85" s="31"/>
      <c r="NBL85" s="31"/>
      <c r="NBM85" s="31"/>
      <c r="NBN85" s="31"/>
      <c r="NBO85" s="31"/>
      <c r="NBP85" s="31"/>
      <c r="NBQ85" s="31"/>
      <c r="NBR85" s="31"/>
      <c r="NBS85" s="31"/>
      <c r="NBT85" s="31"/>
      <c r="NBU85" s="31"/>
      <c r="NBV85" s="31"/>
      <c r="NBW85" s="31"/>
      <c r="NBX85" s="31"/>
      <c r="NBY85" s="31"/>
      <c r="NBZ85" s="31"/>
      <c r="NCA85" s="31"/>
      <c r="NCB85" s="31"/>
      <c r="NCC85" s="31"/>
      <c r="NCD85" s="31"/>
      <c r="NCE85" s="31"/>
      <c r="NCF85" s="31"/>
      <c r="NCG85" s="31"/>
      <c r="NCH85" s="31"/>
      <c r="NCI85" s="31"/>
      <c r="NCJ85" s="31"/>
      <c r="NCK85" s="31"/>
      <c r="NCL85" s="31"/>
      <c r="NCM85" s="31"/>
      <c r="NCN85" s="31"/>
      <c r="NCO85" s="31"/>
      <c r="NCP85" s="31"/>
      <c r="NCQ85" s="31"/>
      <c r="NCR85" s="31"/>
      <c r="NCS85" s="31"/>
      <c r="NCT85" s="31"/>
      <c r="NCU85" s="31"/>
      <c r="NCV85" s="31"/>
      <c r="NCW85" s="31"/>
      <c r="NCX85" s="31"/>
      <c r="NCY85" s="31"/>
      <c r="NCZ85" s="31"/>
      <c r="NDA85" s="31"/>
      <c r="NDB85" s="31"/>
      <c r="NDC85" s="31"/>
      <c r="NDD85" s="31"/>
      <c r="NDE85" s="31"/>
      <c r="NDF85" s="31"/>
      <c r="NDG85" s="31"/>
      <c r="NDH85" s="31"/>
      <c r="NDI85" s="31"/>
      <c r="NDJ85" s="31"/>
      <c r="NDK85" s="31"/>
      <c r="NDL85" s="31"/>
      <c r="NDM85" s="31"/>
      <c r="NDN85" s="31"/>
      <c r="NDO85" s="31"/>
      <c r="NDP85" s="31"/>
      <c r="NDQ85" s="31"/>
      <c r="NDR85" s="31"/>
      <c r="NDS85" s="31"/>
      <c r="NDT85" s="31"/>
      <c r="NDU85" s="31"/>
      <c r="NDV85" s="31"/>
      <c r="NDW85" s="31"/>
      <c r="NDX85" s="31"/>
      <c r="NDY85" s="31"/>
      <c r="NDZ85" s="31"/>
      <c r="NEA85" s="31"/>
      <c r="NEB85" s="31"/>
      <c r="NEC85" s="31"/>
      <c r="NED85" s="31"/>
      <c r="NEE85" s="31"/>
      <c r="NEF85" s="31"/>
      <c r="NEG85" s="31"/>
      <c r="NEH85" s="31"/>
      <c r="NEI85" s="31"/>
      <c r="NEJ85" s="31"/>
      <c r="NEK85" s="31"/>
      <c r="NEL85" s="31"/>
      <c r="NEM85" s="31"/>
      <c r="NEN85" s="31"/>
      <c r="NEO85" s="31"/>
      <c r="NEP85" s="31"/>
      <c r="NEQ85" s="31"/>
      <c r="NER85" s="31"/>
      <c r="NES85" s="31"/>
      <c r="NET85" s="31"/>
      <c r="NEU85" s="31"/>
      <c r="NEV85" s="31"/>
      <c r="NEW85" s="31"/>
      <c r="NEX85" s="31"/>
      <c r="NEY85" s="31"/>
      <c r="NEZ85" s="31"/>
      <c r="NFA85" s="31"/>
      <c r="NFB85" s="31"/>
      <c r="NFC85" s="31"/>
      <c r="NFD85" s="31"/>
      <c r="NFE85" s="31"/>
      <c r="NFF85" s="31"/>
      <c r="NFG85" s="31"/>
      <c r="NFH85" s="31"/>
      <c r="NFI85" s="31"/>
      <c r="NFJ85" s="31"/>
      <c r="NFK85" s="31"/>
      <c r="NFL85" s="31"/>
      <c r="NFM85" s="31"/>
      <c r="NFN85" s="31"/>
      <c r="NFO85" s="31"/>
      <c r="NFP85" s="31"/>
      <c r="NFQ85" s="31"/>
      <c r="NFR85" s="31"/>
      <c r="NFS85" s="31"/>
      <c r="NFT85" s="31"/>
      <c r="NFU85" s="31"/>
      <c r="NFV85" s="31"/>
      <c r="NFW85" s="31"/>
      <c r="NFX85" s="31"/>
      <c r="NFY85" s="31"/>
      <c r="NFZ85" s="31"/>
      <c r="NGA85" s="31"/>
      <c r="NGB85" s="31"/>
      <c r="NGC85" s="31"/>
      <c r="NGD85" s="31"/>
      <c r="NGE85" s="31"/>
      <c r="NGF85" s="31"/>
      <c r="NGG85" s="31"/>
      <c r="NGH85" s="31"/>
      <c r="NGI85" s="31"/>
      <c r="NGJ85" s="31"/>
      <c r="NGK85" s="31"/>
      <c r="NGL85" s="31"/>
      <c r="NGM85" s="31"/>
      <c r="NGN85" s="31"/>
      <c r="NGO85" s="31"/>
      <c r="NGP85" s="31"/>
      <c r="NGQ85" s="31"/>
      <c r="NGR85" s="31"/>
      <c r="NGS85" s="31"/>
      <c r="NGT85" s="31"/>
      <c r="NGU85" s="31"/>
      <c r="NGV85" s="31"/>
      <c r="NGW85" s="31"/>
      <c r="NGX85" s="31"/>
      <c r="NGY85" s="31"/>
      <c r="NGZ85" s="31"/>
      <c r="NHA85" s="31"/>
      <c r="NHB85" s="31"/>
      <c r="NHC85" s="31"/>
      <c r="NHD85" s="31"/>
      <c r="NHE85" s="31"/>
      <c r="NHF85" s="31"/>
      <c r="NHG85" s="31"/>
      <c r="NHH85" s="31"/>
      <c r="NHI85" s="31"/>
      <c r="NHJ85" s="31"/>
      <c r="NHK85" s="31"/>
      <c r="NHL85" s="31"/>
      <c r="NHM85" s="31"/>
      <c r="NHN85" s="31"/>
      <c r="NHO85" s="31"/>
      <c r="NHP85" s="31"/>
      <c r="NHQ85" s="31"/>
      <c r="NHR85" s="31"/>
      <c r="NHS85" s="31"/>
      <c r="NHT85" s="31"/>
      <c r="NHU85" s="31"/>
      <c r="NHV85" s="31"/>
      <c r="NHW85" s="31"/>
      <c r="NHX85" s="31"/>
      <c r="NHY85" s="31"/>
      <c r="NHZ85" s="31"/>
      <c r="NIA85" s="31"/>
      <c r="NIB85" s="31"/>
      <c r="NIC85" s="31"/>
      <c r="NID85" s="31"/>
      <c r="NIE85" s="31"/>
      <c r="NIF85" s="31"/>
      <c r="NIG85" s="31"/>
      <c r="NIH85" s="31"/>
      <c r="NII85" s="31"/>
      <c r="NIJ85" s="31"/>
      <c r="NIK85" s="31"/>
      <c r="NIL85" s="31"/>
      <c r="NIM85" s="31"/>
      <c r="NIN85" s="31"/>
      <c r="NIO85" s="31"/>
      <c r="NIP85" s="31"/>
      <c r="NIQ85" s="31"/>
      <c r="NIR85" s="31"/>
      <c r="NIS85" s="31"/>
      <c r="NIT85" s="31"/>
      <c r="NIU85" s="31"/>
      <c r="NIV85" s="31"/>
      <c r="NIW85" s="31"/>
      <c r="NIX85" s="31"/>
      <c r="NIY85" s="31"/>
      <c r="NIZ85" s="31"/>
      <c r="NJA85" s="31"/>
      <c r="NJB85" s="31"/>
      <c r="NJC85" s="31"/>
      <c r="NJD85" s="31"/>
      <c r="NJE85" s="31"/>
      <c r="NJF85" s="31"/>
      <c r="NJG85" s="31"/>
      <c r="NJH85" s="31"/>
      <c r="NJI85" s="31"/>
      <c r="NJJ85" s="31"/>
      <c r="NJK85" s="31"/>
      <c r="NJL85" s="31"/>
      <c r="NJM85" s="31"/>
      <c r="NJN85" s="31"/>
      <c r="NJO85" s="31"/>
      <c r="NJP85" s="31"/>
      <c r="NJQ85" s="31"/>
      <c r="NJR85" s="31"/>
      <c r="NJS85" s="31"/>
      <c r="NJT85" s="31"/>
      <c r="NJU85" s="31"/>
      <c r="NJV85" s="31"/>
      <c r="NJW85" s="31"/>
      <c r="NJX85" s="31"/>
      <c r="NJY85" s="31"/>
      <c r="NJZ85" s="31"/>
      <c r="NKA85" s="31"/>
      <c r="NKB85" s="31"/>
      <c r="NKC85" s="31"/>
      <c r="NKD85" s="31"/>
      <c r="NKE85" s="31"/>
      <c r="NKF85" s="31"/>
      <c r="NKG85" s="31"/>
      <c r="NKH85" s="31"/>
      <c r="NKI85" s="31"/>
      <c r="NKJ85" s="31"/>
      <c r="NKK85" s="31"/>
      <c r="NKL85" s="31"/>
      <c r="NKM85" s="31"/>
      <c r="NKN85" s="31"/>
      <c r="NKO85" s="31"/>
      <c r="NKP85" s="31"/>
      <c r="NKQ85" s="31"/>
      <c r="NKR85" s="31"/>
      <c r="NKS85" s="31"/>
      <c r="NKT85" s="31"/>
      <c r="NKU85" s="31"/>
      <c r="NKV85" s="31"/>
      <c r="NKW85" s="31"/>
      <c r="NKX85" s="31"/>
      <c r="NKY85" s="31"/>
      <c r="NKZ85" s="31"/>
      <c r="NLA85" s="31"/>
      <c r="NLB85" s="31"/>
      <c r="NLC85" s="31"/>
      <c r="NLD85" s="31"/>
      <c r="NLE85" s="31"/>
      <c r="NLF85" s="31"/>
      <c r="NLG85" s="31"/>
      <c r="NLH85" s="31"/>
      <c r="NLI85" s="31"/>
      <c r="NLJ85" s="31"/>
      <c r="NLK85" s="31"/>
      <c r="NLL85" s="31"/>
      <c r="NLM85" s="31"/>
      <c r="NLN85" s="31"/>
      <c r="NLO85" s="31"/>
      <c r="NLP85" s="31"/>
      <c r="NLQ85" s="31"/>
      <c r="NLR85" s="31"/>
      <c r="NLS85" s="31"/>
      <c r="NLT85" s="31"/>
      <c r="NLU85" s="31"/>
      <c r="NLV85" s="31"/>
      <c r="NLW85" s="31"/>
      <c r="NLX85" s="31"/>
      <c r="NLY85" s="31"/>
      <c r="NLZ85" s="31"/>
      <c r="NMA85" s="31"/>
      <c r="NMB85" s="31"/>
      <c r="NMC85" s="31"/>
      <c r="NMD85" s="31"/>
      <c r="NME85" s="31"/>
      <c r="NMF85" s="31"/>
      <c r="NMG85" s="31"/>
      <c r="NMH85" s="31"/>
      <c r="NMI85" s="31"/>
      <c r="NMJ85" s="31"/>
      <c r="NMK85" s="31"/>
      <c r="NML85" s="31"/>
      <c r="NMM85" s="31"/>
      <c r="NMN85" s="31"/>
      <c r="NMO85" s="31"/>
      <c r="NMP85" s="31"/>
      <c r="NMQ85" s="31"/>
      <c r="NMR85" s="31"/>
      <c r="NMS85" s="31"/>
      <c r="NMT85" s="31"/>
      <c r="NMU85" s="31"/>
      <c r="NMV85" s="31"/>
      <c r="NMW85" s="31"/>
      <c r="NMX85" s="31"/>
      <c r="NMY85" s="31"/>
      <c r="NMZ85" s="31"/>
      <c r="NNA85" s="31"/>
      <c r="NNB85" s="31"/>
      <c r="NNC85" s="31"/>
      <c r="NND85" s="31"/>
      <c r="NNE85" s="31"/>
      <c r="NNF85" s="31"/>
      <c r="NNG85" s="31"/>
      <c r="NNH85" s="31"/>
      <c r="NNI85" s="31"/>
      <c r="NNJ85" s="31"/>
      <c r="NNK85" s="31"/>
      <c r="NNL85" s="31"/>
      <c r="NNM85" s="31"/>
      <c r="NNN85" s="31"/>
      <c r="NNO85" s="31"/>
      <c r="NNP85" s="31"/>
      <c r="NNQ85" s="31"/>
      <c r="NNR85" s="31"/>
      <c r="NNS85" s="31"/>
      <c r="NNT85" s="31"/>
      <c r="NNU85" s="31"/>
      <c r="NNV85" s="31"/>
      <c r="NNW85" s="31"/>
      <c r="NNX85" s="31"/>
      <c r="NNY85" s="31"/>
      <c r="NNZ85" s="31"/>
      <c r="NOA85" s="31"/>
      <c r="NOB85" s="31"/>
      <c r="NOC85" s="31"/>
      <c r="NOD85" s="31"/>
      <c r="NOE85" s="31"/>
      <c r="NOF85" s="31"/>
      <c r="NOG85" s="31"/>
      <c r="NOH85" s="31"/>
      <c r="NOI85" s="31"/>
      <c r="NOJ85" s="31"/>
      <c r="NOK85" s="31"/>
      <c r="NOL85" s="31"/>
      <c r="NOM85" s="31"/>
      <c r="NON85" s="31"/>
      <c r="NOO85" s="31"/>
      <c r="NOP85" s="31"/>
      <c r="NOQ85" s="31"/>
      <c r="NOR85" s="31"/>
      <c r="NOS85" s="31"/>
      <c r="NOT85" s="31"/>
      <c r="NOU85" s="31"/>
      <c r="NOV85" s="31"/>
      <c r="NOW85" s="31"/>
      <c r="NOX85" s="31"/>
      <c r="NOY85" s="31"/>
      <c r="NOZ85" s="31"/>
      <c r="NPA85" s="31"/>
      <c r="NPB85" s="31"/>
      <c r="NPC85" s="31"/>
      <c r="NPD85" s="31"/>
      <c r="NPE85" s="31"/>
      <c r="NPF85" s="31"/>
      <c r="NPG85" s="31"/>
      <c r="NPH85" s="31"/>
      <c r="NPI85" s="31"/>
      <c r="NPJ85" s="31"/>
      <c r="NPK85" s="31"/>
      <c r="NPL85" s="31"/>
      <c r="NPM85" s="31"/>
      <c r="NPN85" s="31"/>
      <c r="NPO85" s="31"/>
      <c r="NPP85" s="31"/>
      <c r="NPQ85" s="31"/>
      <c r="NPR85" s="31"/>
      <c r="NPS85" s="31"/>
      <c r="NPT85" s="31"/>
      <c r="NPU85" s="31"/>
      <c r="NPV85" s="31"/>
      <c r="NPW85" s="31"/>
      <c r="NPX85" s="31"/>
      <c r="NPY85" s="31"/>
      <c r="NPZ85" s="31"/>
      <c r="NQA85" s="31"/>
      <c r="NQB85" s="31"/>
      <c r="NQC85" s="31"/>
      <c r="NQD85" s="31"/>
      <c r="NQE85" s="31"/>
      <c r="NQF85" s="31"/>
      <c r="NQG85" s="31"/>
      <c r="NQH85" s="31"/>
      <c r="NQI85" s="31"/>
      <c r="NQJ85" s="31"/>
      <c r="NQK85" s="31"/>
      <c r="NQL85" s="31"/>
      <c r="NQM85" s="31"/>
      <c r="NQN85" s="31"/>
      <c r="NQO85" s="31"/>
      <c r="NQP85" s="31"/>
      <c r="NQQ85" s="31"/>
      <c r="NQR85" s="31"/>
      <c r="NQS85" s="31"/>
      <c r="NQT85" s="31"/>
      <c r="NQU85" s="31"/>
      <c r="NQV85" s="31"/>
      <c r="NQW85" s="31"/>
      <c r="NQX85" s="31"/>
      <c r="NQY85" s="31"/>
      <c r="NQZ85" s="31"/>
      <c r="NRA85" s="31"/>
      <c r="NRB85" s="31"/>
      <c r="NRC85" s="31"/>
      <c r="NRD85" s="31"/>
      <c r="NRE85" s="31"/>
      <c r="NRF85" s="31"/>
      <c r="NRG85" s="31"/>
      <c r="NRH85" s="31"/>
      <c r="NRI85" s="31"/>
      <c r="NRJ85" s="31"/>
      <c r="NRK85" s="31"/>
      <c r="NRL85" s="31"/>
      <c r="NRM85" s="31"/>
      <c r="NRN85" s="31"/>
      <c r="NRO85" s="31"/>
      <c r="NRP85" s="31"/>
      <c r="NRQ85" s="31"/>
      <c r="NRR85" s="31"/>
      <c r="NRS85" s="31"/>
      <c r="NRT85" s="31"/>
      <c r="NRU85" s="31"/>
      <c r="NRV85" s="31"/>
      <c r="NRW85" s="31"/>
      <c r="NRX85" s="31"/>
      <c r="NRY85" s="31"/>
      <c r="NRZ85" s="31"/>
      <c r="NSA85" s="31"/>
      <c r="NSB85" s="31"/>
      <c r="NSC85" s="31"/>
      <c r="NSD85" s="31"/>
      <c r="NSE85" s="31"/>
      <c r="NSF85" s="31"/>
      <c r="NSG85" s="31"/>
      <c r="NSH85" s="31"/>
      <c r="NSI85" s="31"/>
      <c r="NSJ85" s="31"/>
      <c r="NSK85" s="31"/>
      <c r="NSL85" s="31"/>
      <c r="NSM85" s="31"/>
      <c r="NSN85" s="31"/>
      <c r="NSO85" s="31"/>
      <c r="NSP85" s="31"/>
      <c r="NSQ85" s="31"/>
      <c r="NSR85" s="31"/>
      <c r="NSS85" s="31"/>
      <c r="NST85" s="31"/>
      <c r="NSU85" s="31"/>
      <c r="NSV85" s="31"/>
      <c r="NSW85" s="31"/>
      <c r="NSX85" s="31"/>
      <c r="NSY85" s="31"/>
      <c r="NSZ85" s="31"/>
      <c r="NTA85" s="31"/>
      <c r="NTB85" s="31"/>
      <c r="NTC85" s="31"/>
      <c r="NTD85" s="31"/>
      <c r="NTE85" s="31"/>
      <c r="NTF85" s="31"/>
      <c r="NTG85" s="31"/>
      <c r="NTH85" s="31"/>
      <c r="NTI85" s="31"/>
      <c r="NTJ85" s="31"/>
      <c r="NTK85" s="31"/>
      <c r="NTL85" s="31"/>
      <c r="NTM85" s="31"/>
      <c r="NTN85" s="31"/>
      <c r="NTO85" s="31"/>
      <c r="NTP85" s="31"/>
      <c r="NTQ85" s="31"/>
      <c r="NTR85" s="31"/>
      <c r="NTS85" s="31"/>
      <c r="NTT85" s="31"/>
      <c r="NTU85" s="31"/>
      <c r="NTV85" s="31"/>
      <c r="NTW85" s="31"/>
      <c r="NTX85" s="31"/>
      <c r="NTY85" s="31"/>
      <c r="NTZ85" s="31"/>
      <c r="NUA85" s="31"/>
      <c r="NUB85" s="31"/>
      <c r="NUC85" s="31"/>
      <c r="NUD85" s="31"/>
      <c r="NUE85" s="31"/>
      <c r="NUF85" s="31"/>
      <c r="NUG85" s="31"/>
      <c r="NUH85" s="31"/>
      <c r="NUI85" s="31"/>
      <c r="NUJ85" s="31"/>
      <c r="NUK85" s="31"/>
      <c r="NUL85" s="31"/>
      <c r="NUM85" s="31"/>
      <c r="NUN85" s="31"/>
      <c r="NUO85" s="31"/>
      <c r="NUP85" s="31"/>
      <c r="NUQ85" s="31"/>
      <c r="NUR85" s="31"/>
      <c r="NUS85" s="31"/>
      <c r="NUT85" s="31"/>
      <c r="NUU85" s="31"/>
      <c r="NUV85" s="31"/>
      <c r="NUW85" s="31"/>
      <c r="NUX85" s="31"/>
      <c r="NUY85" s="31"/>
      <c r="NUZ85" s="31"/>
      <c r="NVA85" s="31"/>
      <c r="NVB85" s="31"/>
      <c r="NVC85" s="31"/>
      <c r="NVD85" s="31"/>
      <c r="NVE85" s="31"/>
      <c r="NVF85" s="31"/>
      <c r="NVG85" s="31"/>
      <c r="NVH85" s="31"/>
      <c r="NVI85" s="31"/>
      <c r="NVJ85" s="31"/>
      <c r="NVK85" s="31"/>
      <c r="NVL85" s="31"/>
      <c r="NVM85" s="31"/>
      <c r="NVN85" s="31"/>
      <c r="NVO85" s="31"/>
      <c r="NVP85" s="31"/>
      <c r="NVQ85" s="31"/>
      <c r="NVR85" s="31"/>
      <c r="NVS85" s="31"/>
      <c r="NVT85" s="31"/>
      <c r="NVU85" s="31"/>
      <c r="NVV85" s="31"/>
      <c r="NVW85" s="31"/>
      <c r="NVX85" s="31"/>
      <c r="NVY85" s="31"/>
      <c r="NVZ85" s="31"/>
      <c r="NWA85" s="31"/>
      <c r="NWB85" s="31"/>
      <c r="NWC85" s="31"/>
      <c r="NWD85" s="31"/>
      <c r="NWE85" s="31"/>
      <c r="NWF85" s="31"/>
      <c r="NWG85" s="31"/>
      <c r="NWH85" s="31"/>
      <c r="NWI85" s="31"/>
      <c r="NWJ85" s="31"/>
      <c r="NWK85" s="31"/>
      <c r="NWL85" s="31"/>
      <c r="NWM85" s="31"/>
      <c r="NWN85" s="31"/>
      <c r="NWO85" s="31"/>
      <c r="NWP85" s="31"/>
      <c r="NWQ85" s="31"/>
      <c r="NWR85" s="31"/>
      <c r="NWS85" s="31"/>
      <c r="NWT85" s="31"/>
      <c r="NWU85" s="31"/>
      <c r="NWV85" s="31"/>
      <c r="NWW85" s="31"/>
      <c r="NWX85" s="31"/>
      <c r="NWY85" s="31"/>
      <c r="NWZ85" s="31"/>
      <c r="NXA85" s="31"/>
      <c r="NXB85" s="31"/>
      <c r="NXC85" s="31"/>
      <c r="NXD85" s="31"/>
      <c r="NXE85" s="31"/>
      <c r="NXF85" s="31"/>
      <c r="NXG85" s="31"/>
      <c r="NXH85" s="31"/>
      <c r="NXI85" s="31"/>
      <c r="NXJ85" s="31"/>
      <c r="NXK85" s="31"/>
      <c r="NXL85" s="31"/>
      <c r="NXM85" s="31"/>
      <c r="NXN85" s="31"/>
      <c r="NXO85" s="31"/>
      <c r="NXP85" s="31"/>
      <c r="NXQ85" s="31"/>
      <c r="NXR85" s="31"/>
      <c r="NXS85" s="31"/>
      <c r="NXT85" s="31"/>
      <c r="NXU85" s="31"/>
      <c r="NXV85" s="31"/>
      <c r="NXW85" s="31"/>
      <c r="NXX85" s="31"/>
      <c r="NXY85" s="31"/>
      <c r="NXZ85" s="31"/>
      <c r="NYA85" s="31"/>
      <c r="NYB85" s="31"/>
      <c r="NYC85" s="31"/>
      <c r="NYD85" s="31"/>
      <c r="NYE85" s="31"/>
      <c r="NYF85" s="31"/>
      <c r="NYG85" s="31"/>
      <c r="NYH85" s="31"/>
      <c r="NYI85" s="31"/>
      <c r="NYJ85" s="31"/>
      <c r="NYK85" s="31"/>
      <c r="NYL85" s="31"/>
      <c r="NYM85" s="31"/>
      <c r="NYN85" s="31"/>
      <c r="NYO85" s="31"/>
      <c r="NYP85" s="31"/>
      <c r="NYQ85" s="31"/>
      <c r="NYR85" s="31"/>
      <c r="NYS85" s="31"/>
      <c r="NYT85" s="31"/>
      <c r="NYU85" s="31"/>
      <c r="NYV85" s="31"/>
      <c r="NYW85" s="31"/>
      <c r="NYX85" s="31"/>
      <c r="NYY85" s="31"/>
      <c r="NYZ85" s="31"/>
      <c r="NZA85" s="31"/>
      <c r="NZB85" s="31"/>
      <c r="NZC85" s="31"/>
      <c r="NZD85" s="31"/>
      <c r="NZE85" s="31"/>
      <c r="NZF85" s="31"/>
      <c r="NZG85" s="31"/>
      <c r="NZH85" s="31"/>
      <c r="NZI85" s="31"/>
      <c r="NZJ85" s="31"/>
      <c r="NZK85" s="31"/>
      <c r="NZL85" s="31"/>
      <c r="NZM85" s="31"/>
      <c r="NZN85" s="31"/>
      <c r="NZO85" s="31"/>
      <c r="NZP85" s="31"/>
      <c r="NZQ85" s="31"/>
      <c r="NZR85" s="31"/>
      <c r="NZS85" s="31"/>
      <c r="NZT85" s="31"/>
      <c r="NZU85" s="31"/>
      <c r="NZV85" s="31"/>
      <c r="NZW85" s="31"/>
      <c r="NZX85" s="31"/>
      <c r="NZY85" s="31"/>
      <c r="NZZ85" s="31"/>
      <c r="OAA85" s="31"/>
      <c r="OAB85" s="31"/>
      <c r="OAC85" s="31"/>
      <c r="OAD85" s="31"/>
      <c r="OAE85" s="31"/>
      <c r="OAF85" s="31"/>
      <c r="OAG85" s="31"/>
      <c r="OAH85" s="31"/>
      <c r="OAI85" s="31"/>
      <c r="OAJ85" s="31"/>
      <c r="OAK85" s="31"/>
      <c r="OAL85" s="31"/>
      <c r="OAM85" s="31"/>
      <c r="OAN85" s="31"/>
      <c r="OAO85" s="31"/>
      <c r="OAP85" s="31"/>
      <c r="OAQ85" s="31"/>
      <c r="OAR85" s="31"/>
      <c r="OAS85" s="31"/>
      <c r="OAT85" s="31"/>
      <c r="OAU85" s="31"/>
      <c r="OAV85" s="31"/>
      <c r="OAW85" s="31"/>
      <c r="OAX85" s="31"/>
      <c r="OAY85" s="31"/>
      <c r="OAZ85" s="31"/>
      <c r="OBA85" s="31"/>
      <c r="OBB85" s="31"/>
      <c r="OBC85" s="31"/>
      <c r="OBD85" s="31"/>
      <c r="OBE85" s="31"/>
      <c r="OBF85" s="31"/>
      <c r="OBG85" s="31"/>
      <c r="OBH85" s="31"/>
      <c r="OBI85" s="31"/>
      <c r="OBJ85" s="31"/>
      <c r="OBK85" s="31"/>
      <c r="OBL85" s="31"/>
      <c r="OBM85" s="31"/>
      <c r="OBN85" s="31"/>
      <c r="OBO85" s="31"/>
      <c r="OBP85" s="31"/>
      <c r="OBQ85" s="31"/>
      <c r="OBR85" s="31"/>
      <c r="OBS85" s="31"/>
      <c r="OBT85" s="31"/>
      <c r="OBU85" s="31"/>
      <c r="OBV85" s="31"/>
      <c r="OBW85" s="31"/>
      <c r="OBX85" s="31"/>
      <c r="OBY85" s="31"/>
      <c r="OBZ85" s="31"/>
      <c r="OCA85" s="31"/>
      <c r="OCB85" s="31"/>
      <c r="OCC85" s="31"/>
      <c r="OCD85" s="31"/>
      <c r="OCE85" s="31"/>
      <c r="OCF85" s="31"/>
      <c r="OCG85" s="31"/>
      <c r="OCH85" s="31"/>
      <c r="OCI85" s="31"/>
      <c r="OCJ85" s="31"/>
      <c r="OCK85" s="31"/>
      <c r="OCL85" s="31"/>
      <c r="OCM85" s="31"/>
      <c r="OCN85" s="31"/>
      <c r="OCO85" s="31"/>
      <c r="OCP85" s="31"/>
      <c r="OCQ85" s="31"/>
      <c r="OCR85" s="31"/>
      <c r="OCS85" s="31"/>
      <c r="OCT85" s="31"/>
      <c r="OCU85" s="31"/>
      <c r="OCV85" s="31"/>
      <c r="OCW85" s="31"/>
      <c r="OCX85" s="31"/>
      <c r="OCY85" s="31"/>
      <c r="OCZ85" s="31"/>
      <c r="ODA85" s="31"/>
      <c r="ODB85" s="31"/>
      <c r="ODC85" s="31"/>
      <c r="ODD85" s="31"/>
      <c r="ODE85" s="31"/>
      <c r="ODF85" s="31"/>
      <c r="ODG85" s="31"/>
      <c r="ODH85" s="31"/>
      <c r="ODI85" s="31"/>
      <c r="ODJ85" s="31"/>
      <c r="ODK85" s="31"/>
      <c r="ODL85" s="31"/>
      <c r="ODM85" s="31"/>
      <c r="ODN85" s="31"/>
      <c r="ODO85" s="31"/>
      <c r="ODP85" s="31"/>
      <c r="ODQ85" s="31"/>
      <c r="ODR85" s="31"/>
      <c r="ODS85" s="31"/>
      <c r="ODT85" s="31"/>
      <c r="ODU85" s="31"/>
      <c r="ODV85" s="31"/>
      <c r="ODW85" s="31"/>
      <c r="ODX85" s="31"/>
      <c r="ODY85" s="31"/>
      <c r="ODZ85" s="31"/>
      <c r="OEA85" s="31"/>
      <c r="OEB85" s="31"/>
      <c r="OEC85" s="31"/>
      <c r="OED85" s="31"/>
      <c r="OEE85" s="31"/>
      <c r="OEF85" s="31"/>
      <c r="OEG85" s="31"/>
      <c r="OEH85" s="31"/>
      <c r="OEI85" s="31"/>
      <c r="OEJ85" s="31"/>
      <c r="OEK85" s="31"/>
      <c r="OEL85" s="31"/>
      <c r="OEM85" s="31"/>
      <c r="OEN85" s="31"/>
      <c r="OEO85" s="31"/>
      <c r="OEP85" s="31"/>
      <c r="OEQ85" s="31"/>
      <c r="OER85" s="31"/>
      <c r="OES85" s="31"/>
      <c r="OET85" s="31"/>
      <c r="OEU85" s="31"/>
      <c r="OEV85" s="31"/>
      <c r="OEW85" s="31"/>
      <c r="OEX85" s="31"/>
      <c r="OEY85" s="31"/>
      <c r="OEZ85" s="31"/>
      <c r="OFA85" s="31"/>
      <c r="OFB85" s="31"/>
      <c r="OFC85" s="31"/>
      <c r="OFD85" s="31"/>
      <c r="OFE85" s="31"/>
      <c r="OFF85" s="31"/>
      <c r="OFG85" s="31"/>
      <c r="OFH85" s="31"/>
      <c r="OFI85" s="31"/>
      <c r="OFJ85" s="31"/>
      <c r="OFK85" s="31"/>
      <c r="OFL85" s="31"/>
      <c r="OFM85" s="31"/>
      <c r="OFN85" s="31"/>
      <c r="OFO85" s="31"/>
      <c r="OFP85" s="31"/>
      <c r="OFQ85" s="31"/>
      <c r="OFR85" s="31"/>
      <c r="OFS85" s="31"/>
      <c r="OFT85" s="31"/>
      <c r="OFU85" s="31"/>
      <c r="OFV85" s="31"/>
      <c r="OFW85" s="31"/>
      <c r="OFX85" s="31"/>
      <c r="OFY85" s="31"/>
      <c r="OFZ85" s="31"/>
      <c r="OGA85" s="31"/>
      <c r="OGB85" s="31"/>
      <c r="OGC85" s="31"/>
      <c r="OGD85" s="31"/>
      <c r="OGE85" s="31"/>
      <c r="OGF85" s="31"/>
      <c r="OGG85" s="31"/>
      <c r="OGH85" s="31"/>
      <c r="OGI85" s="31"/>
      <c r="OGJ85" s="31"/>
      <c r="OGK85" s="31"/>
      <c r="OGL85" s="31"/>
      <c r="OGM85" s="31"/>
      <c r="OGN85" s="31"/>
      <c r="OGO85" s="31"/>
      <c r="OGP85" s="31"/>
      <c r="OGQ85" s="31"/>
      <c r="OGR85" s="31"/>
      <c r="OGS85" s="31"/>
      <c r="OGT85" s="31"/>
      <c r="OGU85" s="31"/>
      <c r="OGV85" s="31"/>
      <c r="OGW85" s="31"/>
      <c r="OGX85" s="31"/>
      <c r="OGY85" s="31"/>
      <c r="OGZ85" s="31"/>
      <c r="OHA85" s="31"/>
      <c r="OHB85" s="31"/>
      <c r="OHC85" s="31"/>
      <c r="OHD85" s="31"/>
      <c r="OHE85" s="31"/>
      <c r="OHF85" s="31"/>
      <c r="OHG85" s="31"/>
      <c r="OHH85" s="31"/>
      <c r="OHI85" s="31"/>
      <c r="OHJ85" s="31"/>
      <c r="OHK85" s="31"/>
      <c r="OHL85" s="31"/>
      <c r="OHM85" s="31"/>
      <c r="OHN85" s="31"/>
      <c r="OHO85" s="31"/>
      <c r="OHP85" s="31"/>
      <c r="OHQ85" s="31"/>
      <c r="OHR85" s="31"/>
      <c r="OHS85" s="31"/>
      <c r="OHT85" s="31"/>
      <c r="OHU85" s="31"/>
      <c r="OHV85" s="31"/>
      <c r="OHW85" s="31"/>
      <c r="OHX85" s="31"/>
      <c r="OHY85" s="31"/>
      <c r="OHZ85" s="31"/>
      <c r="OIA85" s="31"/>
      <c r="OIB85" s="31"/>
      <c r="OIC85" s="31"/>
      <c r="OID85" s="31"/>
      <c r="OIE85" s="31"/>
      <c r="OIF85" s="31"/>
      <c r="OIG85" s="31"/>
      <c r="OIH85" s="31"/>
      <c r="OII85" s="31"/>
      <c r="OIJ85" s="31"/>
      <c r="OIK85" s="31"/>
      <c r="OIL85" s="31"/>
      <c r="OIM85" s="31"/>
      <c r="OIN85" s="31"/>
      <c r="OIO85" s="31"/>
      <c r="OIP85" s="31"/>
      <c r="OIQ85" s="31"/>
      <c r="OIR85" s="31"/>
      <c r="OIS85" s="31"/>
      <c r="OIT85" s="31"/>
      <c r="OIU85" s="31"/>
      <c r="OIV85" s="31"/>
      <c r="OIW85" s="31"/>
      <c r="OIX85" s="31"/>
      <c r="OIY85" s="31"/>
      <c r="OIZ85" s="31"/>
      <c r="OJA85" s="31"/>
      <c r="OJB85" s="31"/>
      <c r="OJC85" s="31"/>
      <c r="OJD85" s="31"/>
      <c r="OJE85" s="31"/>
      <c r="OJF85" s="31"/>
      <c r="OJG85" s="31"/>
      <c r="OJH85" s="31"/>
      <c r="OJI85" s="31"/>
      <c r="OJJ85" s="31"/>
      <c r="OJK85" s="31"/>
      <c r="OJL85" s="31"/>
      <c r="OJM85" s="31"/>
      <c r="OJN85" s="31"/>
      <c r="OJO85" s="31"/>
      <c r="OJP85" s="31"/>
      <c r="OJQ85" s="31"/>
      <c r="OJR85" s="31"/>
      <c r="OJS85" s="31"/>
      <c r="OJT85" s="31"/>
      <c r="OJU85" s="31"/>
      <c r="OJV85" s="31"/>
      <c r="OJW85" s="31"/>
      <c r="OJX85" s="31"/>
      <c r="OJY85" s="31"/>
      <c r="OJZ85" s="31"/>
      <c r="OKA85" s="31"/>
      <c r="OKB85" s="31"/>
      <c r="OKC85" s="31"/>
      <c r="OKD85" s="31"/>
      <c r="OKE85" s="31"/>
      <c r="OKF85" s="31"/>
      <c r="OKG85" s="31"/>
      <c r="OKH85" s="31"/>
      <c r="OKI85" s="31"/>
      <c r="OKJ85" s="31"/>
      <c r="OKK85" s="31"/>
      <c r="OKL85" s="31"/>
      <c r="OKM85" s="31"/>
      <c r="OKN85" s="31"/>
      <c r="OKO85" s="31"/>
      <c r="OKP85" s="31"/>
      <c r="OKQ85" s="31"/>
      <c r="OKR85" s="31"/>
      <c r="OKS85" s="31"/>
      <c r="OKT85" s="31"/>
      <c r="OKU85" s="31"/>
      <c r="OKV85" s="31"/>
      <c r="OKW85" s="31"/>
      <c r="OKX85" s="31"/>
      <c r="OKY85" s="31"/>
      <c r="OKZ85" s="31"/>
      <c r="OLA85" s="31"/>
      <c r="OLB85" s="31"/>
      <c r="OLC85" s="31"/>
      <c r="OLD85" s="31"/>
      <c r="OLE85" s="31"/>
      <c r="OLF85" s="31"/>
      <c r="OLG85" s="31"/>
      <c r="OLH85" s="31"/>
      <c r="OLI85" s="31"/>
      <c r="OLJ85" s="31"/>
      <c r="OLK85" s="31"/>
      <c r="OLL85" s="31"/>
      <c r="OLM85" s="31"/>
      <c r="OLN85" s="31"/>
      <c r="OLO85" s="31"/>
      <c r="OLP85" s="31"/>
      <c r="OLQ85" s="31"/>
      <c r="OLR85" s="31"/>
      <c r="OLS85" s="31"/>
      <c r="OLT85" s="31"/>
      <c r="OLU85" s="31"/>
      <c r="OLV85" s="31"/>
      <c r="OLW85" s="31"/>
      <c r="OLX85" s="31"/>
      <c r="OLY85" s="31"/>
      <c r="OLZ85" s="31"/>
      <c r="OMA85" s="31"/>
      <c r="OMB85" s="31"/>
      <c r="OMC85" s="31"/>
      <c r="OMD85" s="31"/>
      <c r="OME85" s="31"/>
      <c r="OMF85" s="31"/>
      <c r="OMG85" s="31"/>
      <c r="OMH85" s="31"/>
      <c r="OMI85" s="31"/>
      <c r="OMJ85" s="31"/>
      <c r="OMK85" s="31"/>
      <c r="OML85" s="31"/>
      <c r="OMM85" s="31"/>
      <c r="OMN85" s="31"/>
      <c r="OMO85" s="31"/>
      <c r="OMP85" s="31"/>
      <c r="OMQ85" s="31"/>
      <c r="OMR85" s="31"/>
      <c r="OMS85" s="31"/>
      <c r="OMT85" s="31"/>
      <c r="OMU85" s="31"/>
      <c r="OMV85" s="31"/>
      <c r="OMW85" s="31"/>
      <c r="OMX85" s="31"/>
      <c r="OMY85" s="31"/>
      <c r="OMZ85" s="31"/>
      <c r="ONA85" s="31"/>
      <c r="ONB85" s="31"/>
      <c r="ONC85" s="31"/>
      <c r="OND85" s="31"/>
      <c r="ONE85" s="31"/>
      <c r="ONF85" s="31"/>
      <c r="ONG85" s="31"/>
      <c r="ONH85" s="31"/>
      <c r="ONI85" s="31"/>
      <c r="ONJ85" s="31"/>
      <c r="ONK85" s="31"/>
      <c r="ONL85" s="31"/>
      <c r="ONM85" s="31"/>
      <c r="ONN85" s="31"/>
      <c r="ONO85" s="31"/>
      <c r="ONP85" s="31"/>
      <c r="ONQ85" s="31"/>
      <c r="ONR85" s="31"/>
      <c r="ONS85" s="31"/>
      <c r="ONT85" s="31"/>
      <c r="ONU85" s="31"/>
      <c r="ONV85" s="31"/>
      <c r="ONW85" s="31"/>
      <c r="ONX85" s="31"/>
      <c r="ONY85" s="31"/>
      <c r="ONZ85" s="31"/>
      <c r="OOA85" s="31"/>
      <c r="OOB85" s="31"/>
      <c r="OOC85" s="31"/>
      <c r="OOD85" s="31"/>
      <c r="OOE85" s="31"/>
      <c r="OOF85" s="31"/>
      <c r="OOG85" s="31"/>
      <c r="OOH85" s="31"/>
      <c r="OOI85" s="31"/>
      <c r="OOJ85" s="31"/>
      <c r="OOK85" s="31"/>
      <c r="OOL85" s="31"/>
      <c r="OOM85" s="31"/>
      <c r="OON85" s="31"/>
      <c r="OOO85" s="31"/>
      <c r="OOP85" s="31"/>
      <c r="OOQ85" s="31"/>
      <c r="OOR85" s="31"/>
      <c r="OOS85" s="31"/>
      <c r="OOT85" s="31"/>
      <c r="OOU85" s="31"/>
      <c r="OOV85" s="31"/>
      <c r="OOW85" s="31"/>
      <c r="OOX85" s="31"/>
      <c r="OOY85" s="31"/>
      <c r="OOZ85" s="31"/>
      <c r="OPA85" s="31"/>
      <c r="OPB85" s="31"/>
      <c r="OPC85" s="31"/>
      <c r="OPD85" s="31"/>
      <c r="OPE85" s="31"/>
      <c r="OPF85" s="31"/>
      <c r="OPG85" s="31"/>
      <c r="OPH85" s="31"/>
      <c r="OPI85" s="31"/>
      <c r="OPJ85" s="31"/>
      <c r="OPK85" s="31"/>
      <c r="OPL85" s="31"/>
      <c r="OPM85" s="31"/>
      <c r="OPN85" s="31"/>
      <c r="OPO85" s="31"/>
      <c r="OPP85" s="31"/>
      <c r="OPQ85" s="31"/>
      <c r="OPR85" s="31"/>
      <c r="OPS85" s="31"/>
      <c r="OPT85" s="31"/>
      <c r="OPU85" s="31"/>
      <c r="OPV85" s="31"/>
      <c r="OPW85" s="31"/>
      <c r="OPX85" s="31"/>
      <c r="OPY85" s="31"/>
      <c r="OPZ85" s="31"/>
      <c r="OQA85" s="31"/>
      <c r="OQB85" s="31"/>
      <c r="OQC85" s="31"/>
      <c r="OQD85" s="31"/>
      <c r="OQE85" s="31"/>
      <c r="OQF85" s="31"/>
      <c r="OQG85" s="31"/>
      <c r="OQH85" s="31"/>
      <c r="OQI85" s="31"/>
      <c r="OQJ85" s="31"/>
      <c r="OQK85" s="31"/>
      <c r="OQL85" s="31"/>
      <c r="OQM85" s="31"/>
      <c r="OQN85" s="31"/>
      <c r="OQO85" s="31"/>
      <c r="OQP85" s="31"/>
      <c r="OQQ85" s="31"/>
      <c r="OQR85" s="31"/>
      <c r="OQS85" s="31"/>
      <c r="OQT85" s="31"/>
      <c r="OQU85" s="31"/>
      <c r="OQV85" s="31"/>
      <c r="OQW85" s="31"/>
      <c r="OQX85" s="31"/>
      <c r="OQY85" s="31"/>
      <c r="OQZ85" s="31"/>
      <c r="ORA85" s="31"/>
      <c r="ORB85" s="31"/>
      <c r="ORC85" s="31"/>
      <c r="ORD85" s="31"/>
      <c r="ORE85" s="31"/>
      <c r="ORF85" s="31"/>
      <c r="ORG85" s="31"/>
      <c r="ORH85" s="31"/>
      <c r="ORI85" s="31"/>
      <c r="ORJ85" s="31"/>
      <c r="ORK85" s="31"/>
      <c r="ORL85" s="31"/>
      <c r="ORM85" s="31"/>
      <c r="ORN85" s="31"/>
      <c r="ORO85" s="31"/>
      <c r="ORP85" s="31"/>
      <c r="ORQ85" s="31"/>
      <c r="ORR85" s="31"/>
      <c r="ORS85" s="31"/>
      <c r="ORT85" s="31"/>
      <c r="ORU85" s="31"/>
      <c r="ORV85" s="31"/>
      <c r="ORW85" s="31"/>
      <c r="ORX85" s="31"/>
      <c r="ORY85" s="31"/>
      <c r="ORZ85" s="31"/>
      <c r="OSA85" s="31"/>
      <c r="OSB85" s="31"/>
      <c r="OSC85" s="31"/>
      <c r="OSD85" s="31"/>
      <c r="OSE85" s="31"/>
      <c r="OSF85" s="31"/>
      <c r="OSG85" s="31"/>
      <c r="OSH85" s="31"/>
      <c r="OSI85" s="31"/>
      <c r="OSJ85" s="31"/>
      <c r="OSK85" s="31"/>
      <c r="OSL85" s="31"/>
      <c r="OSM85" s="31"/>
      <c r="OSN85" s="31"/>
      <c r="OSO85" s="31"/>
      <c r="OSP85" s="31"/>
      <c r="OSQ85" s="31"/>
      <c r="OSR85" s="31"/>
      <c r="OSS85" s="31"/>
      <c r="OST85" s="31"/>
      <c r="OSU85" s="31"/>
      <c r="OSV85" s="31"/>
      <c r="OSW85" s="31"/>
      <c r="OSX85" s="31"/>
      <c r="OSY85" s="31"/>
      <c r="OSZ85" s="31"/>
      <c r="OTA85" s="31"/>
      <c r="OTB85" s="31"/>
      <c r="OTC85" s="31"/>
      <c r="OTD85" s="31"/>
      <c r="OTE85" s="31"/>
      <c r="OTF85" s="31"/>
      <c r="OTG85" s="31"/>
      <c r="OTH85" s="31"/>
      <c r="OTI85" s="31"/>
      <c r="OTJ85" s="31"/>
      <c r="OTK85" s="31"/>
      <c r="OTL85" s="31"/>
      <c r="OTM85" s="31"/>
      <c r="OTN85" s="31"/>
      <c r="OTO85" s="31"/>
      <c r="OTP85" s="31"/>
      <c r="OTQ85" s="31"/>
      <c r="OTR85" s="31"/>
      <c r="OTS85" s="31"/>
      <c r="OTT85" s="31"/>
      <c r="OTU85" s="31"/>
      <c r="OTV85" s="31"/>
      <c r="OTW85" s="31"/>
      <c r="OTX85" s="31"/>
      <c r="OTY85" s="31"/>
      <c r="OTZ85" s="31"/>
      <c r="OUA85" s="31"/>
      <c r="OUB85" s="31"/>
      <c r="OUC85" s="31"/>
      <c r="OUD85" s="31"/>
      <c r="OUE85" s="31"/>
      <c r="OUF85" s="31"/>
      <c r="OUG85" s="31"/>
      <c r="OUH85" s="31"/>
      <c r="OUI85" s="31"/>
      <c r="OUJ85" s="31"/>
      <c r="OUK85" s="31"/>
      <c r="OUL85" s="31"/>
      <c r="OUM85" s="31"/>
      <c r="OUN85" s="31"/>
      <c r="OUO85" s="31"/>
      <c r="OUP85" s="31"/>
      <c r="OUQ85" s="31"/>
      <c r="OUR85" s="31"/>
      <c r="OUS85" s="31"/>
      <c r="OUT85" s="31"/>
      <c r="OUU85" s="31"/>
      <c r="OUV85" s="31"/>
      <c r="OUW85" s="31"/>
      <c r="OUX85" s="31"/>
      <c r="OUY85" s="31"/>
      <c r="OUZ85" s="31"/>
      <c r="OVA85" s="31"/>
      <c r="OVB85" s="31"/>
      <c r="OVC85" s="31"/>
      <c r="OVD85" s="31"/>
      <c r="OVE85" s="31"/>
      <c r="OVF85" s="31"/>
      <c r="OVG85" s="31"/>
      <c r="OVH85" s="31"/>
      <c r="OVI85" s="31"/>
      <c r="OVJ85" s="31"/>
      <c r="OVK85" s="31"/>
      <c r="OVL85" s="31"/>
      <c r="OVM85" s="31"/>
      <c r="OVN85" s="31"/>
      <c r="OVO85" s="31"/>
      <c r="OVP85" s="31"/>
      <c r="OVQ85" s="31"/>
      <c r="OVR85" s="31"/>
      <c r="OVS85" s="31"/>
      <c r="OVT85" s="31"/>
      <c r="OVU85" s="31"/>
      <c r="OVV85" s="31"/>
      <c r="OVW85" s="31"/>
      <c r="OVX85" s="31"/>
      <c r="OVY85" s="31"/>
      <c r="OVZ85" s="31"/>
      <c r="OWA85" s="31"/>
      <c r="OWB85" s="31"/>
      <c r="OWC85" s="31"/>
      <c r="OWD85" s="31"/>
      <c r="OWE85" s="31"/>
      <c r="OWF85" s="31"/>
      <c r="OWG85" s="31"/>
      <c r="OWH85" s="31"/>
      <c r="OWI85" s="31"/>
      <c r="OWJ85" s="31"/>
      <c r="OWK85" s="31"/>
      <c r="OWL85" s="31"/>
      <c r="OWM85" s="31"/>
      <c r="OWN85" s="31"/>
      <c r="OWO85" s="31"/>
      <c r="OWP85" s="31"/>
      <c r="OWQ85" s="31"/>
      <c r="OWR85" s="31"/>
      <c r="OWS85" s="31"/>
      <c r="OWT85" s="31"/>
      <c r="OWU85" s="31"/>
      <c r="OWV85" s="31"/>
      <c r="OWW85" s="31"/>
      <c r="OWX85" s="31"/>
      <c r="OWY85" s="31"/>
      <c r="OWZ85" s="31"/>
      <c r="OXA85" s="31"/>
      <c r="OXB85" s="31"/>
      <c r="OXC85" s="31"/>
      <c r="OXD85" s="31"/>
      <c r="OXE85" s="31"/>
      <c r="OXF85" s="31"/>
      <c r="OXG85" s="31"/>
      <c r="OXH85" s="31"/>
      <c r="OXI85" s="31"/>
      <c r="OXJ85" s="31"/>
      <c r="OXK85" s="31"/>
      <c r="OXL85" s="31"/>
      <c r="OXM85" s="31"/>
      <c r="OXN85" s="31"/>
      <c r="OXO85" s="31"/>
      <c r="OXP85" s="31"/>
      <c r="OXQ85" s="31"/>
      <c r="OXR85" s="31"/>
      <c r="OXS85" s="31"/>
      <c r="OXT85" s="31"/>
      <c r="OXU85" s="31"/>
      <c r="OXV85" s="31"/>
      <c r="OXW85" s="31"/>
      <c r="OXX85" s="31"/>
      <c r="OXY85" s="31"/>
      <c r="OXZ85" s="31"/>
      <c r="OYA85" s="31"/>
      <c r="OYB85" s="31"/>
      <c r="OYC85" s="31"/>
      <c r="OYD85" s="31"/>
      <c r="OYE85" s="31"/>
      <c r="OYF85" s="31"/>
      <c r="OYG85" s="31"/>
      <c r="OYH85" s="31"/>
      <c r="OYI85" s="31"/>
      <c r="OYJ85" s="31"/>
      <c r="OYK85" s="31"/>
      <c r="OYL85" s="31"/>
      <c r="OYM85" s="31"/>
      <c r="OYN85" s="31"/>
      <c r="OYO85" s="31"/>
      <c r="OYP85" s="31"/>
      <c r="OYQ85" s="31"/>
      <c r="OYR85" s="31"/>
      <c r="OYS85" s="31"/>
      <c r="OYT85" s="31"/>
      <c r="OYU85" s="31"/>
      <c r="OYV85" s="31"/>
      <c r="OYW85" s="31"/>
      <c r="OYX85" s="31"/>
      <c r="OYY85" s="31"/>
      <c r="OYZ85" s="31"/>
      <c r="OZA85" s="31"/>
      <c r="OZB85" s="31"/>
      <c r="OZC85" s="31"/>
      <c r="OZD85" s="31"/>
      <c r="OZE85" s="31"/>
      <c r="OZF85" s="31"/>
      <c r="OZG85" s="31"/>
      <c r="OZH85" s="31"/>
      <c r="OZI85" s="31"/>
      <c r="OZJ85" s="31"/>
      <c r="OZK85" s="31"/>
      <c r="OZL85" s="31"/>
      <c r="OZM85" s="31"/>
      <c r="OZN85" s="31"/>
      <c r="OZO85" s="31"/>
      <c r="OZP85" s="31"/>
      <c r="OZQ85" s="31"/>
      <c r="OZR85" s="31"/>
      <c r="OZS85" s="31"/>
      <c r="OZT85" s="31"/>
      <c r="OZU85" s="31"/>
      <c r="OZV85" s="31"/>
      <c r="OZW85" s="31"/>
      <c r="OZX85" s="31"/>
      <c r="OZY85" s="31"/>
      <c r="OZZ85" s="31"/>
      <c r="PAA85" s="31"/>
      <c r="PAB85" s="31"/>
      <c r="PAC85" s="31"/>
      <c r="PAD85" s="31"/>
      <c r="PAE85" s="31"/>
      <c r="PAF85" s="31"/>
      <c r="PAG85" s="31"/>
      <c r="PAH85" s="31"/>
      <c r="PAI85" s="31"/>
      <c r="PAJ85" s="31"/>
      <c r="PAK85" s="31"/>
      <c r="PAL85" s="31"/>
      <c r="PAM85" s="31"/>
      <c r="PAN85" s="31"/>
      <c r="PAO85" s="31"/>
      <c r="PAP85" s="31"/>
      <c r="PAQ85" s="31"/>
      <c r="PAR85" s="31"/>
      <c r="PAS85" s="31"/>
      <c r="PAT85" s="31"/>
      <c r="PAU85" s="31"/>
      <c r="PAV85" s="31"/>
      <c r="PAW85" s="31"/>
      <c r="PAX85" s="31"/>
      <c r="PAY85" s="31"/>
      <c r="PAZ85" s="31"/>
      <c r="PBA85" s="31"/>
      <c r="PBB85" s="31"/>
      <c r="PBC85" s="31"/>
      <c r="PBD85" s="31"/>
      <c r="PBE85" s="31"/>
      <c r="PBF85" s="31"/>
      <c r="PBG85" s="31"/>
      <c r="PBH85" s="31"/>
      <c r="PBI85" s="31"/>
      <c r="PBJ85" s="31"/>
      <c r="PBK85" s="31"/>
      <c r="PBL85" s="31"/>
      <c r="PBM85" s="31"/>
      <c r="PBN85" s="31"/>
      <c r="PBO85" s="31"/>
      <c r="PBP85" s="31"/>
      <c r="PBQ85" s="31"/>
      <c r="PBR85" s="31"/>
      <c r="PBS85" s="31"/>
      <c r="PBT85" s="31"/>
      <c r="PBU85" s="31"/>
      <c r="PBV85" s="31"/>
      <c r="PBW85" s="31"/>
      <c r="PBX85" s="31"/>
      <c r="PBY85" s="31"/>
      <c r="PBZ85" s="31"/>
      <c r="PCA85" s="31"/>
      <c r="PCB85" s="31"/>
      <c r="PCC85" s="31"/>
      <c r="PCD85" s="31"/>
      <c r="PCE85" s="31"/>
      <c r="PCF85" s="31"/>
      <c r="PCG85" s="31"/>
      <c r="PCH85" s="31"/>
      <c r="PCI85" s="31"/>
      <c r="PCJ85" s="31"/>
      <c r="PCK85" s="31"/>
      <c r="PCL85" s="31"/>
      <c r="PCM85" s="31"/>
      <c r="PCN85" s="31"/>
      <c r="PCO85" s="31"/>
      <c r="PCP85" s="31"/>
      <c r="PCQ85" s="31"/>
      <c r="PCR85" s="31"/>
      <c r="PCS85" s="31"/>
      <c r="PCT85" s="31"/>
      <c r="PCU85" s="31"/>
      <c r="PCV85" s="31"/>
      <c r="PCW85" s="31"/>
      <c r="PCX85" s="31"/>
      <c r="PCY85" s="31"/>
      <c r="PCZ85" s="31"/>
      <c r="PDA85" s="31"/>
      <c r="PDB85" s="31"/>
      <c r="PDC85" s="31"/>
      <c r="PDD85" s="31"/>
      <c r="PDE85" s="31"/>
      <c r="PDF85" s="31"/>
      <c r="PDG85" s="31"/>
      <c r="PDH85" s="31"/>
      <c r="PDI85" s="31"/>
      <c r="PDJ85" s="31"/>
      <c r="PDK85" s="31"/>
      <c r="PDL85" s="31"/>
      <c r="PDM85" s="31"/>
      <c r="PDN85" s="31"/>
      <c r="PDO85" s="31"/>
      <c r="PDP85" s="31"/>
      <c r="PDQ85" s="31"/>
      <c r="PDR85" s="31"/>
      <c r="PDS85" s="31"/>
      <c r="PDT85" s="31"/>
      <c r="PDU85" s="31"/>
      <c r="PDV85" s="31"/>
      <c r="PDW85" s="31"/>
      <c r="PDX85" s="31"/>
      <c r="PDY85" s="31"/>
      <c r="PDZ85" s="31"/>
      <c r="PEA85" s="31"/>
      <c r="PEB85" s="31"/>
      <c r="PEC85" s="31"/>
      <c r="PED85" s="31"/>
      <c r="PEE85" s="31"/>
      <c r="PEF85" s="31"/>
      <c r="PEG85" s="31"/>
      <c r="PEH85" s="31"/>
      <c r="PEI85" s="31"/>
      <c r="PEJ85" s="31"/>
      <c r="PEK85" s="31"/>
      <c r="PEL85" s="31"/>
      <c r="PEM85" s="31"/>
      <c r="PEN85" s="31"/>
      <c r="PEO85" s="31"/>
      <c r="PEP85" s="31"/>
      <c r="PEQ85" s="31"/>
      <c r="PER85" s="31"/>
      <c r="PES85" s="31"/>
      <c r="PET85" s="31"/>
      <c r="PEU85" s="31"/>
      <c r="PEV85" s="31"/>
      <c r="PEW85" s="31"/>
      <c r="PEX85" s="31"/>
      <c r="PEY85" s="31"/>
      <c r="PEZ85" s="31"/>
      <c r="PFA85" s="31"/>
      <c r="PFB85" s="31"/>
      <c r="PFC85" s="31"/>
      <c r="PFD85" s="31"/>
      <c r="PFE85" s="31"/>
      <c r="PFF85" s="31"/>
      <c r="PFG85" s="31"/>
      <c r="PFH85" s="31"/>
      <c r="PFI85" s="31"/>
      <c r="PFJ85" s="31"/>
      <c r="PFK85" s="31"/>
      <c r="PFL85" s="31"/>
      <c r="PFM85" s="31"/>
      <c r="PFN85" s="31"/>
      <c r="PFO85" s="31"/>
      <c r="PFP85" s="31"/>
      <c r="PFQ85" s="31"/>
      <c r="PFR85" s="31"/>
      <c r="PFS85" s="31"/>
      <c r="PFT85" s="31"/>
      <c r="PFU85" s="31"/>
      <c r="PFV85" s="31"/>
      <c r="PFW85" s="31"/>
      <c r="PFX85" s="31"/>
      <c r="PFY85" s="31"/>
      <c r="PFZ85" s="31"/>
      <c r="PGA85" s="31"/>
      <c r="PGB85" s="31"/>
      <c r="PGC85" s="31"/>
      <c r="PGD85" s="31"/>
      <c r="PGE85" s="31"/>
      <c r="PGF85" s="31"/>
      <c r="PGG85" s="31"/>
      <c r="PGH85" s="31"/>
      <c r="PGI85" s="31"/>
      <c r="PGJ85" s="31"/>
      <c r="PGK85" s="31"/>
      <c r="PGL85" s="31"/>
      <c r="PGM85" s="31"/>
      <c r="PGN85" s="31"/>
      <c r="PGO85" s="31"/>
      <c r="PGP85" s="31"/>
      <c r="PGQ85" s="31"/>
      <c r="PGR85" s="31"/>
      <c r="PGS85" s="31"/>
      <c r="PGT85" s="31"/>
      <c r="PGU85" s="31"/>
      <c r="PGV85" s="31"/>
      <c r="PGW85" s="31"/>
      <c r="PGX85" s="31"/>
      <c r="PGY85" s="31"/>
      <c r="PGZ85" s="31"/>
      <c r="PHA85" s="31"/>
      <c r="PHB85" s="31"/>
      <c r="PHC85" s="31"/>
      <c r="PHD85" s="31"/>
      <c r="PHE85" s="31"/>
      <c r="PHF85" s="31"/>
      <c r="PHG85" s="31"/>
      <c r="PHH85" s="31"/>
      <c r="PHI85" s="31"/>
      <c r="PHJ85" s="31"/>
      <c r="PHK85" s="31"/>
      <c r="PHL85" s="31"/>
      <c r="PHM85" s="31"/>
      <c r="PHN85" s="31"/>
      <c r="PHO85" s="31"/>
      <c r="PHP85" s="31"/>
      <c r="PHQ85" s="31"/>
      <c r="PHR85" s="31"/>
      <c r="PHS85" s="31"/>
      <c r="PHT85" s="31"/>
      <c r="PHU85" s="31"/>
      <c r="PHV85" s="31"/>
      <c r="PHW85" s="31"/>
      <c r="PHX85" s="31"/>
      <c r="PHY85" s="31"/>
      <c r="PHZ85" s="31"/>
      <c r="PIA85" s="31"/>
      <c r="PIB85" s="31"/>
      <c r="PIC85" s="31"/>
      <c r="PID85" s="31"/>
      <c r="PIE85" s="31"/>
      <c r="PIF85" s="31"/>
      <c r="PIG85" s="31"/>
      <c r="PIH85" s="31"/>
      <c r="PII85" s="31"/>
      <c r="PIJ85" s="31"/>
      <c r="PIK85" s="31"/>
      <c r="PIL85" s="31"/>
      <c r="PIM85" s="31"/>
      <c r="PIN85" s="31"/>
      <c r="PIO85" s="31"/>
      <c r="PIP85" s="31"/>
      <c r="PIQ85" s="31"/>
      <c r="PIR85" s="31"/>
      <c r="PIS85" s="31"/>
      <c r="PIT85" s="31"/>
      <c r="PIU85" s="31"/>
      <c r="PIV85" s="31"/>
      <c r="PIW85" s="31"/>
      <c r="PIX85" s="31"/>
      <c r="PIY85" s="31"/>
      <c r="PIZ85" s="31"/>
      <c r="PJA85" s="31"/>
      <c r="PJB85" s="31"/>
      <c r="PJC85" s="31"/>
      <c r="PJD85" s="31"/>
      <c r="PJE85" s="31"/>
      <c r="PJF85" s="31"/>
      <c r="PJG85" s="31"/>
      <c r="PJH85" s="31"/>
      <c r="PJI85" s="31"/>
      <c r="PJJ85" s="31"/>
      <c r="PJK85" s="31"/>
      <c r="PJL85" s="31"/>
      <c r="PJM85" s="31"/>
      <c r="PJN85" s="31"/>
      <c r="PJO85" s="31"/>
      <c r="PJP85" s="31"/>
      <c r="PJQ85" s="31"/>
      <c r="PJR85" s="31"/>
      <c r="PJS85" s="31"/>
      <c r="PJT85" s="31"/>
      <c r="PJU85" s="31"/>
      <c r="PJV85" s="31"/>
      <c r="PJW85" s="31"/>
      <c r="PJX85" s="31"/>
      <c r="PJY85" s="31"/>
      <c r="PJZ85" s="31"/>
      <c r="PKA85" s="31"/>
      <c r="PKB85" s="31"/>
      <c r="PKC85" s="31"/>
      <c r="PKD85" s="31"/>
      <c r="PKE85" s="31"/>
      <c r="PKF85" s="31"/>
      <c r="PKG85" s="31"/>
      <c r="PKH85" s="31"/>
      <c r="PKI85" s="31"/>
      <c r="PKJ85" s="31"/>
      <c r="PKK85" s="31"/>
      <c r="PKL85" s="31"/>
      <c r="PKM85" s="31"/>
      <c r="PKN85" s="31"/>
      <c r="PKO85" s="31"/>
      <c r="PKP85" s="31"/>
      <c r="PKQ85" s="31"/>
      <c r="PKR85" s="31"/>
      <c r="PKS85" s="31"/>
      <c r="PKT85" s="31"/>
      <c r="PKU85" s="31"/>
      <c r="PKV85" s="31"/>
      <c r="PKW85" s="31"/>
      <c r="PKX85" s="31"/>
      <c r="PKY85" s="31"/>
      <c r="PKZ85" s="31"/>
      <c r="PLA85" s="31"/>
      <c r="PLB85" s="31"/>
      <c r="PLC85" s="31"/>
      <c r="PLD85" s="31"/>
      <c r="PLE85" s="31"/>
      <c r="PLF85" s="31"/>
      <c r="PLG85" s="31"/>
      <c r="PLH85" s="31"/>
      <c r="PLI85" s="31"/>
      <c r="PLJ85" s="31"/>
      <c r="PLK85" s="31"/>
      <c r="PLL85" s="31"/>
      <c r="PLM85" s="31"/>
      <c r="PLN85" s="31"/>
      <c r="PLO85" s="31"/>
      <c r="PLP85" s="31"/>
      <c r="PLQ85" s="31"/>
      <c r="PLR85" s="31"/>
      <c r="PLS85" s="31"/>
      <c r="PLT85" s="31"/>
      <c r="PLU85" s="31"/>
      <c r="PLV85" s="31"/>
      <c r="PLW85" s="31"/>
      <c r="PLX85" s="31"/>
      <c r="PLY85" s="31"/>
      <c r="PLZ85" s="31"/>
      <c r="PMA85" s="31"/>
      <c r="PMB85" s="31"/>
      <c r="PMC85" s="31"/>
      <c r="PMD85" s="31"/>
      <c r="PME85" s="31"/>
      <c r="PMF85" s="31"/>
      <c r="PMG85" s="31"/>
      <c r="PMH85" s="31"/>
      <c r="PMI85" s="31"/>
      <c r="PMJ85" s="31"/>
      <c r="PMK85" s="31"/>
      <c r="PML85" s="31"/>
      <c r="PMM85" s="31"/>
      <c r="PMN85" s="31"/>
      <c r="PMO85" s="31"/>
      <c r="PMP85" s="31"/>
      <c r="PMQ85" s="31"/>
      <c r="PMR85" s="31"/>
      <c r="PMS85" s="31"/>
      <c r="PMT85" s="31"/>
      <c r="PMU85" s="31"/>
      <c r="PMV85" s="31"/>
      <c r="PMW85" s="31"/>
      <c r="PMX85" s="31"/>
      <c r="PMY85" s="31"/>
      <c r="PMZ85" s="31"/>
      <c r="PNA85" s="31"/>
      <c r="PNB85" s="31"/>
      <c r="PNC85" s="31"/>
      <c r="PND85" s="31"/>
      <c r="PNE85" s="31"/>
      <c r="PNF85" s="31"/>
      <c r="PNG85" s="31"/>
      <c r="PNH85" s="31"/>
      <c r="PNI85" s="31"/>
      <c r="PNJ85" s="31"/>
      <c r="PNK85" s="31"/>
      <c r="PNL85" s="31"/>
      <c r="PNM85" s="31"/>
      <c r="PNN85" s="31"/>
      <c r="PNO85" s="31"/>
      <c r="PNP85" s="31"/>
      <c r="PNQ85" s="31"/>
      <c r="PNR85" s="31"/>
      <c r="PNS85" s="31"/>
      <c r="PNT85" s="31"/>
      <c r="PNU85" s="31"/>
      <c r="PNV85" s="31"/>
      <c r="PNW85" s="31"/>
      <c r="PNX85" s="31"/>
      <c r="PNY85" s="31"/>
      <c r="PNZ85" s="31"/>
      <c r="POA85" s="31"/>
      <c r="POB85" s="31"/>
      <c r="POC85" s="31"/>
      <c r="POD85" s="31"/>
      <c r="POE85" s="31"/>
      <c r="POF85" s="31"/>
      <c r="POG85" s="31"/>
      <c r="POH85" s="31"/>
      <c r="POI85" s="31"/>
      <c r="POJ85" s="31"/>
      <c r="POK85" s="31"/>
      <c r="POL85" s="31"/>
      <c r="POM85" s="31"/>
      <c r="PON85" s="31"/>
      <c r="POO85" s="31"/>
      <c r="POP85" s="31"/>
      <c r="POQ85" s="31"/>
      <c r="POR85" s="31"/>
      <c r="POS85" s="31"/>
      <c r="POT85" s="31"/>
      <c r="POU85" s="31"/>
      <c r="POV85" s="31"/>
      <c r="POW85" s="31"/>
      <c r="POX85" s="31"/>
      <c r="POY85" s="31"/>
      <c r="POZ85" s="31"/>
      <c r="PPA85" s="31"/>
      <c r="PPB85" s="31"/>
      <c r="PPC85" s="31"/>
      <c r="PPD85" s="31"/>
      <c r="PPE85" s="31"/>
      <c r="PPF85" s="31"/>
      <c r="PPG85" s="31"/>
      <c r="PPH85" s="31"/>
      <c r="PPI85" s="31"/>
      <c r="PPJ85" s="31"/>
      <c r="PPK85" s="31"/>
      <c r="PPL85" s="31"/>
      <c r="PPM85" s="31"/>
      <c r="PPN85" s="31"/>
      <c r="PPO85" s="31"/>
      <c r="PPP85" s="31"/>
      <c r="PPQ85" s="31"/>
      <c r="PPR85" s="31"/>
      <c r="PPS85" s="31"/>
      <c r="PPT85" s="31"/>
      <c r="PPU85" s="31"/>
      <c r="PPV85" s="31"/>
      <c r="PPW85" s="31"/>
      <c r="PPX85" s="31"/>
      <c r="PPY85" s="31"/>
      <c r="PPZ85" s="31"/>
      <c r="PQA85" s="31"/>
      <c r="PQB85" s="31"/>
      <c r="PQC85" s="31"/>
      <c r="PQD85" s="31"/>
      <c r="PQE85" s="31"/>
      <c r="PQF85" s="31"/>
      <c r="PQG85" s="31"/>
      <c r="PQH85" s="31"/>
      <c r="PQI85" s="31"/>
      <c r="PQJ85" s="31"/>
      <c r="PQK85" s="31"/>
      <c r="PQL85" s="31"/>
      <c r="PQM85" s="31"/>
      <c r="PQN85" s="31"/>
      <c r="PQO85" s="31"/>
      <c r="PQP85" s="31"/>
      <c r="PQQ85" s="31"/>
      <c r="PQR85" s="31"/>
      <c r="PQS85" s="31"/>
      <c r="PQT85" s="31"/>
      <c r="PQU85" s="31"/>
      <c r="PQV85" s="31"/>
      <c r="PQW85" s="31"/>
      <c r="PQX85" s="31"/>
      <c r="PQY85" s="31"/>
      <c r="PQZ85" s="31"/>
      <c r="PRA85" s="31"/>
      <c r="PRB85" s="31"/>
      <c r="PRC85" s="31"/>
      <c r="PRD85" s="31"/>
      <c r="PRE85" s="31"/>
      <c r="PRF85" s="31"/>
      <c r="PRG85" s="31"/>
      <c r="PRH85" s="31"/>
      <c r="PRI85" s="31"/>
      <c r="PRJ85" s="31"/>
      <c r="PRK85" s="31"/>
      <c r="PRL85" s="31"/>
      <c r="PRM85" s="31"/>
      <c r="PRN85" s="31"/>
      <c r="PRO85" s="31"/>
      <c r="PRP85" s="31"/>
      <c r="PRQ85" s="31"/>
      <c r="PRR85" s="31"/>
      <c r="PRS85" s="31"/>
      <c r="PRT85" s="31"/>
      <c r="PRU85" s="31"/>
      <c r="PRV85" s="31"/>
      <c r="PRW85" s="31"/>
      <c r="PRX85" s="31"/>
      <c r="PRY85" s="31"/>
      <c r="PRZ85" s="31"/>
      <c r="PSA85" s="31"/>
      <c r="PSB85" s="31"/>
      <c r="PSC85" s="31"/>
      <c r="PSD85" s="31"/>
      <c r="PSE85" s="31"/>
      <c r="PSF85" s="31"/>
      <c r="PSG85" s="31"/>
      <c r="PSH85" s="31"/>
      <c r="PSI85" s="31"/>
      <c r="PSJ85" s="31"/>
      <c r="PSK85" s="31"/>
      <c r="PSL85" s="31"/>
      <c r="PSM85" s="31"/>
      <c r="PSN85" s="31"/>
      <c r="PSO85" s="31"/>
      <c r="PSP85" s="31"/>
      <c r="PSQ85" s="31"/>
      <c r="PSR85" s="31"/>
      <c r="PSS85" s="31"/>
      <c r="PST85" s="31"/>
      <c r="PSU85" s="31"/>
      <c r="PSV85" s="31"/>
      <c r="PSW85" s="31"/>
      <c r="PSX85" s="31"/>
      <c r="PSY85" s="31"/>
      <c r="PSZ85" s="31"/>
      <c r="PTA85" s="31"/>
      <c r="PTB85" s="31"/>
      <c r="PTC85" s="31"/>
      <c r="PTD85" s="31"/>
      <c r="PTE85" s="31"/>
      <c r="PTF85" s="31"/>
      <c r="PTG85" s="31"/>
      <c r="PTH85" s="31"/>
      <c r="PTI85" s="31"/>
      <c r="PTJ85" s="31"/>
      <c r="PTK85" s="31"/>
      <c r="PTL85" s="31"/>
      <c r="PTM85" s="31"/>
      <c r="PTN85" s="31"/>
      <c r="PTO85" s="31"/>
      <c r="PTP85" s="31"/>
      <c r="PTQ85" s="31"/>
      <c r="PTR85" s="31"/>
      <c r="PTS85" s="31"/>
      <c r="PTT85" s="31"/>
      <c r="PTU85" s="31"/>
      <c r="PTV85" s="31"/>
      <c r="PTW85" s="31"/>
      <c r="PTX85" s="31"/>
      <c r="PTY85" s="31"/>
      <c r="PTZ85" s="31"/>
      <c r="PUA85" s="31"/>
      <c r="PUB85" s="31"/>
      <c r="PUC85" s="31"/>
      <c r="PUD85" s="31"/>
      <c r="PUE85" s="31"/>
      <c r="PUF85" s="31"/>
      <c r="PUG85" s="31"/>
      <c r="PUH85" s="31"/>
      <c r="PUI85" s="31"/>
      <c r="PUJ85" s="31"/>
      <c r="PUK85" s="31"/>
      <c r="PUL85" s="31"/>
      <c r="PUM85" s="31"/>
      <c r="PUN85" s="31"/>
      <c r="PUO85" s="31"/>
      <c r="PUP85" s="31"/>
      <c r="PUQ85" s="31"/>
      <c r="PUR85" s="31"/>
      <c r="PUS85" s="31"/>
      <c r="PUT85" s="31"/>
      <c r="PUU85" s="31"/>
      <c r="PUV85" s="31"/>
      <c r="PUW85" s="31"/>
      <c r="PUX85" s="31"/>
      <c r="PUY85" s="31"/>
      <c r="PUZ85" s="31"/>
      <c r="PVA85" s="31"/>
      <c r="PVB85" s="31"/>
      <c r="PVC85" s="31"/>
      <c r="PVD85" s="31"/>
      <c r="PVE85" s="31"/>
      <c r="PVF85" s="31"/>
      <c r="PVG85" s="31"/>
      <c r="PVH85" s="31"/>
      <c r="PVI85" s="31"/>
      <c r="PVJ85" s="31"/>
      <c r="PVK85" s="31"/>
      <c r="PVL85" s="31"/>
      <c r="PVM85" s="31"/>
      <c r="PVN85" s="31"/>
      <c r="PVO85" s="31"/>
      <c r="PVP85" s="31"/>
      <c r="PVQ85" s="31"/>
      <c r="PVR85" s="31"/>
      <c r="PVS85" s="31"/>
      <c r="PVT85" s="31"/>
      <c r="PVU85" s="31"/>
      <c r="PVV85" s="31"/>
      <c r="PVW85" s="31"/>
      <c r="PVX85" s="31"/>
      <c r="PVY85" s="31"/>
      <c r="PVZ85" s="31"/>
      <c r="PWA85" s="31"/>
      <c r="PWB85" s="31"/>
      <c r="PWC85" s="31"/>
      <c r="PWD85" s="31"/>
      <c r="PWE85" s="31"/>
      <c r="PWF85" s="31"/>
      <c r="PWG85" s="31"/>
      <c r="PWH85" s="31"/>
      <c r="PWI85" s="31"/>
      <c r="PWJ85" s="31"/>
      <c r="PWK85" s="31"/>
      <c r="PWL85" s="31"/>
      <c r="PWM85" s="31"/>
      <c r="PWN85" s="31"/>
      <c r="PWO85" s="31"/>
      <c r="PWP85" s="31"/>
      <c r="PWQ85" s="31"/>
      <c r="PWR85" s="31"/>
      <c r="PWS85" s="31"/>
      <c r="PWT85" s="31"/>
      <c r="PWU85" s="31"/>
      <c r="PWV85" s="31"/>
      <c r="PWW85" s="31"/>
      <c r="PWX85" s="31"/>
      <c r="PWY85" s="31"/>
      <c r="PWZ85" s="31"/>
      <c r="PXA85" s="31"/>
      <c r="PXB85" s="31"/>
      <c r="PXC85" s="31"/>
      <c r="PXD85" s="31"/>
      <c r="PXE85" s="31"/>
      <c r="PXF85" s="31"/>
      <c r="PXG85" s="31"/>
      <c r="PXH85" s="31"/>
      <c r="PXI85" s="31"/>
      <c r="PXJ85" s="31"/>
      <c r="PXK85" s="31"/>
      <c r="PXL85" s="31"/>
      <c r="PXM85" s="31"/>
      <c r="PXN85" s="31"/>
      <c r="PXO85" s="31"/>
      <c r="PXP85" s="31"/>
      <c r="PXQ85" s="31"/>
      <c r="PXR85" s="31"/>
      <c r="PXS85" s="31"/>
      <c r="PXT85" s="31"/>
      <c r="PXU85" s="31"/>
      <c r="PXV85" s="31"/>
      <c r="PXW85" s="31"/>
      <c r="PXX85" s="31"/>
      <c r="PXY85" s="31"/>
      <c r="PXZ85" s="31"/>
      <c r="PYA85" s="31"/>
      <c r="PYB85" s="31"/>
      <c r="PYC85" s="31"/>
      <c r="PYD85" s="31"/>
      <c r="PYE85" s="31"/>
      <c r="PYF85" s="31"/>
      <c r="PYG85" s="31"/>
      <c r="PYH85" s="31"/>
      <c r="PYI85" s="31"/>
      <c r="PYJ85" s="31"/>
      <c r="PYK85" s="31"/>
      <c r="PYL85" s="31"/>
      <c r="PYM85" s="31"/>
      <c r="PYN85" s="31"/>
      <c r="PYO85" s="31"/>
      <c r="PYP85" s="31"/>
      <c r="PYQ85" s="31"/>
      <c r="PYR85" s="31"/>
      <c r="PYS85" s="31"/>
      <c r="PYT85" s="31"/>
      <c r="PYU85" s="31"/>
      <c r="PYV85" s="31"/>
      <c r="PYW85" s="31"/>
      <c r="PYX85" s="31"/>
      <c r="PYY85" s="31"/>
      <c r="PYZ85" s="31"/>
      <c r="PZA85" s="31"/>
      <c r="PZB85" s="31"/>
      <c r="PZC85" s="31"/>
      <c r="PZD85" s="31"/>
      <c r="PZE85" s="31"/>
      <c r="PZF85" s="31"/>
      <c r="PZG85" s="31"/>
      <c r="PZH85" s="31"/>
      <c r="PZI85" s="31"/>
      <c r="PZJ85" s="31"/>
      <c r="PZK85" s="31"/>
      <c r="PZL85" s="31"/>
      <c r="PZM85" s="31"/>
      <c r="PZN85" s="31"/>
      <c r="PZO85" s="31"/>
      <c r="PZP85" s="31"/>
      <c r="PZQ85" s="31"/>
      <c r="PZR85" s="31"/>
      <c r="PZS85" s="31"/>
      <c r="PZT85" s="31"/>
      <c r="PZU85" s="31"/>
      <c r="PZV85" s="31"/>
      <c r="PZW85" s="31"/>
      <c r="PZX85" s="31"/>
      <c r="PZY85" s="31"/>
      <c r="PZZ85" s="31"/>
      <c r="QAA85" s="31"/>
      <c r="QAB85" s="31"/>
      <c r="QAC85" s="31"/>
      <c r="QAD85" s="31"/>
      <c r="QAE85" s="31"/>
      <c r="QAF85" s="31"/>
      <c r="QAG85" s="31"/>
      <c r="QAH85" s="31"/>
      <c r="QAI85" s="31"/>
      <c r="QAJ85" s="31"/>
      <c r="QAK85" s="31"/>
      <c r="QAL85" s="31"/>
      <c r="QAM85" s="31"/>
      <c r="QAN85" s="31"/>
      <c r="QAO85" s="31"/>
      <c r="QAP85" s="31"/>
      <c r="QAQ85" s="31"/>
      <c r="QAR85" s="31"/>
      <c r="QAS85" s="31"/>
      <c r="QAT85" s="31"/>
      <c r="QAU85" s="31"/>
      <c r="QAV85" s="31"/>
      <c r="QAW85" s="31"/>
      <c r="QAX85" s="31"/>
      <c r="QAY85" s="31"/>
      <c r="QAZ85" s="31"/>
      <c r="QBA85" s="31"/>
      <c r="QBB85" s="31"/>
      <c r="QBC85" s="31"/>
      <c r="QBD85" s="31"/>
      <c r="QBE85" s="31"/>
      <c r="QBF85" s="31"/>
      <c r="QBG85" s="31"/>
      <c r="QBH85" s="31"/>
      <c r="QBI85" s="31"/>
      <c r="QBJ85" s="31"/>
      <c r="QBK85" s="31"/>
      <c r="QBL85" s="31"/>
      <c r="QBM85" s="31"/>
      <c r="QBN85" s="31"/>
      <c r="QBO85" s="31"/>
      <c r="QBP85" s="31"/>
      <c r="QBQ85" s="31"/>
      <c r="QBR85" s="31"/>
      <c r="QBS85" s="31"/>
      <c r="QBT85" s="31"/>
      <c r="QBU85" s="31"/>
      <c r="QBV85" s="31"/>
      <c r="QBW85" s="31"/>
      <c r="QBX85" s="31"/>
      <c r="QBY85" s="31"/>
      <c r="QBZ85" s="31"/>
      <c r="QCA85" s="31"/>
      <c r="QCB85" s="31"/>
      <c r="QCC85" s="31"/>
      <c r="QCD85" s="31"/>
      <c r="QCE85" s="31"/>
      <c r="QCF85" s="31"/>
      <c r="QCG85" s="31"/>
      <c r="QCH85" s="31"/>
      <c r="QCI85" s="31"/>
      <c r="QCJ85" s="31"/>
      <c r="QCK85" s="31"/>
      <c r="QCL85" s="31"/>
      <c r="QCM85" s="31"/>
      <c r="QCN85" s="31"/>
      <c r="QCO85" s="31"/>
      <c r="QCP85" s="31"/>
      <c r="QCQ85" s="31"/>
      <c r="QCR85" s="31"/>
      <c r="QCS85" s="31"/>
      <c r="QCT85" s="31"/>
      <c r="QCU85" s="31"/>
      <c r="QCV85" s="31"/>
      <c r="QCW85" s="31"/>
      <c r="QCX85" s="31"/>
      <c r="QCY85" s="31"/>
      <c r="QCZ85" s="31"/>
      <c r="QDA85" s="31"/>
      <c r="QDB85" s="31"/>
      <c r="QDC85" s="31"/>
      <c r="QDD85" s="31"/>
      <c r="QDE85" s="31"/>
      <c r="QDF85" s="31"/>
      <c r="QDG85" s="31"/>
      <c r="QDH85" s="31"/>
      <c r="QDI85" s="31"/>
      <c r="QDJ85" s="31"/>
      <c r="QDK85" s="31"/>
      <c r="QDL85" s="31"/>
      <c r="QDM85" s="31"/>
      <c r="QDN85" s="31"/>
      <c r="QDO85" s="31"/>
      <c r="QDP85" s="31"/>
      <c r="QDQ85" s="31"/>
      <c r="QDR85" s="31"/>
      <c r="QDS85" s="31"/>
      <c r="QDT85" s="31"/>
      <c r="QDU85" s="31"/>
      <c r="QDV85" s="31"/>
      <c r="QDW85" s="31"/>
      <c r="QDX85" s="31"/>
      <c r="QDY85" s="31"/>
      <c r="QDZ85" s="31"/>
      <c r="QEA85" s="31"/>
      <c r="QEB85" s="31"/>
      <c r="QEC85" s="31"/>
      <c r="QED85" s="31"/>
      <c r="QEE85" s="31"/>
      <c r="QEF85" s="31"/>
      <c r="QEG85" s="31"/>
      <c r="QEH85" s="31"/>
      <c r="QEI85" s="31"/>
      <c r="QEJ85" s="31"/>
      <c r="QEK85" s="31"/>
      <c r="QEL85" s="31"/>
      <c r="QEM85" s="31"/>
      <c r="QEN85" s="31"/>
      <c r="QEO85" s="31"/>
      <c r="QEP85" s="31"/>
      <c r="QEQ85" s="31"/>
      <c r="QER85" s="31"/>
      <c r="QES85" s="31"/>
      <c r="QET85" s="31"/>
      <c r="QEU85" s="31"/>
      <c r="QEV85" s="31"/>
      <c r="QEW85" s="31"/>
      <c r="QEX85" s="31"/>
      <c r="QEY85" s="31"/>
      <c r="QEZ85" s="31"/>
      <c r="QFA85" s="31"/>
      <c r="QFB85" s="31"/>
      <c r="QFC85" s="31"/>
      <c r="QFD85" s="31"/>
      <c r="QFE85" s="31"/>
      <c r="QFF85" s="31"/>
      <c r="QFG85" s="31"/>
      <c r="QFH85" s="31"/>
      <c r="QFI85" s="31"/>
      <c r="QFJ85" s="31"/>
      <c r="QFK85" s="31"/>
      <c r="QFL85" s="31"/>
      <c r="QFM85" s="31"/>
      <c r="QFN85" s="31"/>
      <c r="QFO85" s="31"/>
      <c r="QFP85" s="31"/>
      <c r="QFQ85" s="31"/>
      <c r="QFR85" s="31"/>
      <c r="QFS85" s="31"/>
      <c r="QFT85" s="31"/>
      <c r="QFU85" s="31"/>
      <c r="QFV85" s="31"/>
      <c r="QFW85" s="31"/>
      <c r="QFX85" s="31"/>
      <c r="QFY85" s="31"/>
      <c r="QFZ85" s="31"/>
      <c r="QGA85" s="31"/>
      <c r="QGB85" s="31"/>
      <c r="QGC85" s="31"/>
      <c r="QGD85" s="31"/>
      <c r="QGE85" s="31"/>
      <c r="QGF85" s="31"/>
      <c r="QGG85" s="31"/>
      <c r="QGH85" s="31"/>
      <c r="QGI85" s="31"/>
      <c r="QGJ85" s="31"/>
      <c r="QGK85" s="31"/>
      <c r="QGL85" s="31"/>
      <c r="QGM85" s="31"/>
      <c r="QGN85" s="31"/>
      <c r="QGO85" s="31"/>
      <c r="QGP85" s="31"/>
      <c r="QGQ85" s="31"/>
      <c r="QGR85" s="31"/>
      <c r="QGS85" s="31"/>
      <c r="QGT85" s="31"/>
      <c r="QGU85" s="31"/>
      <c r="QGV85" s="31"/>
      <c r="QGW85" s="31"/>
      <c r="QGX85" s="31"/>
      <c r="QGY85" s="31"/>
      <c r="QGZ85" s="31"/>
      <c r="QHA85" s="31"/>
      <c r="QHB85" s="31"/>
      <c r="QHC85" s="31"/>
      <c r="QHD85" s="31"/>
      <c r="QHE85" s="31"/>
      <c r="QHF85" s="31"/>
      <c r="QHG85" s="31"/>
      <c r="QHH85" s="31"/>
      <c r="QHI85" s="31"/>
      <c r="QHJ85" s="31"/>
      <c r="QHK85" s="31"/>
      <c r="QHL85" s="31"/>
      <c r="QHM85" s="31"/>
      <c r="QHN85" s="31"/>
      <c r="QHO85" s="31"/>
      <c r="QHP85" s="31"/>
      <c r="QHQ85" s="31"/>
      <c r="QHR85" s="31"/>
      <c r="QHS85" s="31"/>
      <c r="QHT85" s="31"/>
      <c r="QHU85" s="31"/>
      <c r="QHV85" s="31"/>
      <c r="QHW85" s="31"/>
      <c r="QHX85" s="31"/>
      <c r="QHY85" s="31"/>
      <c r="QHZ85" s="31"/>
      <c r="QIA85" s="31"/>
      <c r="QIB85" s="31"/>
      <c r="QIC85" s="31"/>
      <c r="QID85" s="31"/>
      <c r="QIE85" s="31"/>
      <c r="QIF85" s="31"/>
      <c r="QIG85" s="31"/>
      <c r="QIH85" s="31"/>
      <c r="QII85" s="31"/>
      <c r="QIJ85" s="31"/>
      <c r="QIK85" s="31"/>
      <c r="QIL85" s="31"/>
      <c r="QIM85" s="31"/>
      <c r="QIN85" s="31"/>
      <c r="QIO85" s="31"/>
      <c r="QIP85" s="31"/>
      <c r="QIQ85" s="31"/>
      <c r="QIR85" s="31"/>
      <c r="QIS85" s="31"/>
      <c r="QIT85" s="31"/>
      <c r="QIU85" s="31"/>
      <c r="QIV85" s="31"/>
      <c r="QIW85" s="31"/>
      <c r="QIX85" s="31"/>
      <c r="QIY85" s="31"/>
      <c r="QIZ85" s="31"/>
      <c r="QJA85" s="31"/>
      <c r="QJB85" s="31"/>
      <c r="QJC85" s="31"/>
      <c r="QJD85" s="31"/>
      <c r="QJE85" s="31"/>
      <c r="QJF85" s="31"/>
      <c r="QJG85" s="31"/>
      <c r="QJH85" s="31"/>
      <c r="QJI85" s="31"/>
      <c r="QJJ85" s="31"/>
      <c r="QJK85" s="31"/>
      <c r="QJL85" s="31"/>
      <c r="QJM85" s="31"/>
      <c r="QJN85" s="31"/>
      <c r="QJO85" s="31"/>
      <c r="QJP85" s="31"/>
      <c r="QJQ85" s="31"/>
      <c r="QJR85" s="31"/>
      <c r="QJS85" s="31"/>
      <c r="QJT85" s="31"/>
      <c r="QJU85" s="31"/>
      <c r="QJV85" s="31"/>
      <c r="QJW85" s="31"/>
      <c r="QJX85" s="31"/>
      <c r="QJY85" s="31"/>
      <c r="QJZ85" s="31"/>
      <c r="QKA85" s="31"/>
      <c r="QKB85" s="31"/>
      <c r="QKC85" s="31"/>
      <c r="QKD85" s="31"/>
      <c r="QKE85" s="31"/>
      <c r="QKF85" s="31"/>
      <c r="QKG85" s="31"/>
      <c r="QKH85" s="31"/>
      <c r="QKI85" s="31"/>
      <c r="QKJ85" s="31"/>
      <c r="QKK85" s="31"/>
      <c r="QKL85" s="31"/>
      <c r="QKM85" s="31"/>
      <c r="QKN85" s="31"/>
      <c r="QKO85" s="31"/>
      <c r="QKP85" s="31"/>
      <c r="QKQ85" s="31"/>
      <c r="QKR85" s="31"/>
      <c r="QKS85" s="31"/>
      <c r="QKT85" s="31"/>
      <c r="QKU85" s="31"/>
      <c r="QKV85" s="31"/>
      <c r="QKW85" s="31"/>
      <c r="QKX85" s="31"/>
      <c r="QKY85" s="31"/>
      <c r="QKZ85" s="31"/>
      <c r="QLA85" s="31"/>
      <c r="QLB85" s="31"/>
      <c r="QLC85" s="31"/>
      <c r="QLD85" s="31"/>
      <c r="QLE85" s="31"/>
      <c r="QLF85" s="31"/>
      <c r="QLG85" s="31"/>
      <c r="QLH85" s="31"/>
      <c r="QLI85" s="31"/>
      <c r="QLJ85" s="31"/>
      <c r="QLK85" s="31"/>
      <c r="QLL85" s="31"/>
      <c r="QLM85" s="31"/>
      <c r="QLN85" s="31"/>
      <c r="QLO85" s="31"/>
      <c r="QLP85" s="31"/>
      <c r="QLQ85" s="31"/>
      <c r="QLR85" s="31"/>
      <c r="QLS85" s="31"/>
      <c r="QLT85" s="31"/>
      <c r="QLU85" s="31"/>
      <c r="QLV85" s="31"/>
      <c r="QLW85" s="31"/>
      <c r="QLX85" s="31"/>
      <c r="QLY85" s="31"/>
      <c r="QLZ85" s="31"/>
      <c r="QMA85" s="31"/>
      <c r="QMB85" s="31"/>
      <c r="QMC85" s="31"/>
      <c r="QMD85" s="31"/>
      <c r="QME85" s="31"/>
      <c r="QMF85" s="31"/>
      <c r="QMG85" s="31"/>
      <c r="QMH85" s="31"/>
      <c r="QMI85" s="31"/>
      <c r="QMJ85" s="31"/>
      <c r="QMK85" s="31"/>
      <c r="QML85" s="31"/>
      <c r="QMM85" s="31"/>
      <c r="QMN85" s="31"/>
      <c r="QMO85" s="31"/>
      <c r="QMP85" s="31"/>
      <c r="QMQ85" s="31"/>
      <c r="QMR85" s="31"/>
      <c r="QMS85" s="31"/>
      <c r="QMT85" s="31"/>
      <c r="QMU85" s="31"/>
      <c r="QMV85" s="31"/>
      <c r="QMW85" s="31"/>
      <c r="QMX85" s="31"/>
      <c r="QMY85" s="31"/>
      <c r="QMZ85" s="31"/>
      <c r="QNA85" s="31"/>
      <c r="QNB85" s="31"/>
      <c r="QNC85" s="31"/>
      <c r="QND85" s="31"/>
      <c r="QNE85" s="31"/>
      <c r="QNF85" s="31"/>
      <c r="QNG85" s="31"/>
      <c r="QNH85" s="31"/>
      <c r="QNI85" s="31"/>
      <c r="QNJ85" s="31"/>
      <c r="QNK85" s="31"/>
      <c r="QNL85" s="31"/>
      <c r="QNM85" s="31"/>
      <c r="QNN85" s="31"/>
      <c r="QNO85" s="31"/>
      <c r="QNP85" s="31"/>
      <c r="QNQ85" s="31"/>
      <c r="QNR85" s="31"/>
      <c r="QNS85" s="31"/>
      <c r="QNT85" s="31"/>
      <c r="QNU85" s="31"/>
      <c r="QNV85" s="31"/>
      <c r="QNW85" s="31"/>
      <c r="QNX85" s="31"/>
      <c r="QNY85" s="31"/>
      <c r="QNZ85" s="31"/>
      <c r="QOA85" s="31"/>
      <c r="QOB85" s="31"/>
      <c r="QOC85" s="31"/>
      <c r="QOD85" s="31"/>
      <c r="QOE85" s="31"/>
      <c r="QOF85" s="31"/>
      <c r="QOG85" s="31"/>
      <c r="QOH85" s="31"/>
      <c r="QOI85" s="31"/>
      <c r="QOJ85" s="31"/>
      <c r="QOK85" s="31"/>
      <c r="QOL85" s="31"/>
      <c r="QOM85" s="31"/>
      <c r="QON85" s="31"/>
      <c r="QOO85" s="31"/>
      <c r="QOP85" s="31"/>
      <c r="QOQ85" s="31"/>
      <c r="QOR85" s="31"/>
      <c r="QOS85" s="31"/>
      <c r="QOT85" s="31"/>
      <c r="QOU85" s="31"/>
      <c r="QOV85" s="31"/>
      <c r="QOW85" s="31"/>
      <c r="QOX85" s="31"/>
      <c r="QOY85" s="31"/>
      <c r="QOZ85" s="31"/>
      <c r="QPA85" s="31"/>
      <c r="QPB85" s="31"/>
      <c r="QPC85" s="31"/>
      <c r="QPD85" s="31"/>
      <c r="QPE85" s="31"/>
      <c r="QPF85" s="31"/>
      <c r="QPG85" s="31"/>
      <c r="QPH85" s="31"/>
      <c r="QPI85" s="31"/>
      <c r="QPJ85" s="31"/>
      <c r="QPK85" s="31"/>
      <c r="QPL85" s="31"/>
      <c r="QPM85" s="31"/>
      <c r="QPN85" s="31"/>
      <c r="QPO85" s="31"/>
      <c r="QPP85" s="31"/>
      <c r="QPQ85" s="31"/>
      <c r="QPR85" s="31"/>
      <c r="QPS85" s="31"/>
      <c r="QPT85" s="31"/>
      <c r="QPU85" s="31"/>
      <c r="QPV85" s="31"/>
      <c r="QPW85" s="31"/>
      <c r="QPX85" s="31"/>
      <c r="QPY85" s="31"/>
      <c r="QPZ85" s="31"/>
      <c r="QQA85" s="31"/>
      <c r="QQB85" s="31"/>
      <c r="QQC85" s="31"/>
      <c r="QQD85" s="31"/>
      <c r="QQE85" s="31"/>
      <c r="QQF85" s="31"/>
      <c r="QQG85" s="31"/>
      <c r="QQH85" s="31"/>
      <c r="QQI85" s="31"/>
      <c r="QQJ85" s="31"/>
      <c r="QQK85" s="31"/>
      <c r="QQL85" s="31"/>
      <c r="QQM85" s="31"/>
      <c r="QQN85" s="31"/>
      <c r="QQO85" s="31"/>
      <c r="QQP85" s="31"/>
      <c r="QQQ85" s="31"/>
      <c r="QQR85" s="31"/>
      <c r="QQS85" s="31"/>
      <c r="QQT85" s="31"/>
      <c r="QQU85" s="31"/>
      <c r="QQV85" s="31"/>
      <c r="QQW85" s="31"/>
      <c r="QQX85" s="31"/>
      <c r="QQY85" s="31"/>
      <c r="QQZ85" s="31"/>
      <c r="QRA85" s="31"/>
      <c r="QRB85" s="31"/>
      <c r="QRC85" s="31"/>
      <c r="QRD85" s="31"/>
      <c r="QRE85" s="31"/>
      <c r="QRF85" s="31"/>
      <c r="QRG85" s="31"/>
      <c r="QRH85" s="31"/>
      <c r="QRI85" s="31"/>
      <c r="QRJ85" s="31"/>
      <c r="QRK85" s="31"/>
      <c r="QRL85" s="31"/>
      <c r="QRM85" s="31"/>
      <c r="QRN85" s="31"/>
      <c r="QRO85" s="31"/>
      <c r="QRP85" s="31"/>
      <c r="QRQ85" s="31"/>
      <c r="QRR85" s="31"/>
      <c r="QRS85" s="31"/>
      <c r="QRT85" s="31"/>
      <c r="QRU85" s="31"/>
      <c r="QRV85" s="31"/>
      <c r="QRW85" s="31"/>
      <c r="QRX85" s="31"/>
      <c r="QRY85" s="31"/>
      <c r="QRZ85" s="31"/>
      <c r="QSA85" s="31"/>
      <c r="QSB85" s="31"/>
      <c r="QSC85" s="31"/>
      <c r="QSD85" s="31"/>
      <c r="QSE85" s="31"/>
      <c r="QSF85" s="31"/>
      <c r="QSG85" s="31"/>
      <c r="QSH85" s="31"/>
      <c r="QSI85" s="31"/>
      <c r="QSJ85" s="31"/>
      <c r="QSK85" s="31"/>
      <c r="QSL85" s="31"/>
      <c r="QSM85" s="31"/>
      <c r="QSN85" s="31"/>
      <c r="QSO85" s="31"/>
      <c r="QSP85" s="31"/>
      <c r="QSQ85" s="31"/>
      <c r="QSR85" s="31"/>
      <c r="QSS85" s="31"/>
      <c r="QST85" s="31"/>
      <c r="QSU85" s="31"/>
      <c r="QSV85" s="31"/>
      <c r="QSW85" s="31"/>
      <c r="QSX85" s="31"/>
      <c r="QSY85" s="31"/>
      <c r="QSZ85" s="31"/>
      <c r="QTA85" s="31"/>
      <c r="QTB85" s="31"/>
      <c r="QTC85" s="31"/>
      <c r="QTD85" s="31"/>
      <c r="QTE85" s="31"/>
      <c r="QTF85" s="31"/>
      <c r="QTG85" s="31"/>
      <c r="QTH85" s="31"/>
      <c r="QTI85" s="31"/>
      <c r="QTJ85" s="31"/>
      <c r="QTK85" s="31"/>
      <c r="QTL85" s="31"/>
      <c r="QTM85" s="31"/>
      <c r="QTN85" s="31"/>
      <c r="QTO85" s="31"/>
      <c r="QTP85" s="31"/>
      <c r="QTQ85" s="31"/>
      <c r="QTR85" s="31"/>
      <c r="QTS85" s="31"/>
      <c r="QTT85" s="31"/>
      <c r="QTU85" s="31"/>
      <c r="QTV85" s="31"/>
      <c r="QTW85" s="31"/>
      <c r="QTX85" s="31"/>
      <c r="QTY85" s="31"/>
      <c r="QTZ85" s="31"/>
      <c r="QUA85" s="31"/>
      <c r="QUB85" s="31"/>
      <c r="QUC85" s="31"/>
      <c r="QUD85" s="31"/>
      <c r="QUE85" s="31"/>
      <c r="QUF85" s="31"/>
      <c r="QUG85" s="31"/>
      <c r="QUH85" s="31"/>
      <c r="QUI85" s="31"/>
      <c r="QUJ85" s="31"/>
      <c r="QUK85" s="31"/>
      <c r="QUL85" s="31"/>
      <c r="QUM85" s="31"/>
      <c r="QUN85" s="31"/>
      <c r="QUO85" s="31"/>
      <c r="QUP85" s="31"/>
      <c r="QUQ85" s="31"/>
      <c r="QUR85" s="31"/>
      <c r="QUS85" s="31"/>
      <c r="QUT85" s="31"/>
      <c r="QUU85" s="31"/>
      <c r="QUV85" s="31"/>
      <c r="QUW85" s="31"/>
      <c r="QUX85" s="31"/>
      <c r="QUY85" s="31"/>
      <c r="QUZ85" s="31"/>
      <c r="QVA85" s="31"/>
      <c r="QVB85" s="31"/>
      <c r="QVC85" s="31"/>
      <c r="QVD85" s="31"/>
      <c r="QVE85" s="31"/>
      <c r="QVF85" s="31"/>
      <c r="QVG85" s="31"/>
      <c r="QVH85" s="31"/>
      <c r="QVI85" s="31"/>
      <c r="QVJ85" s="31"/>
      <c r="QVK85" s="31"/>
      <c r="QVL85" s="31"/>
      <c r="QVM85" s="31"/>
      <c r="QVN85" s="31"/>
      <c r="QVO85" s="31"/>
      <c r="QVP85" s="31"/>
      <c r="QVQ85" s="31"/>
      <c r="QVR85" s="31"/>
      <c r="QVS85" s="31"/>
      <c r="QVT85" s="31"/>
      <c r="QVU85" s="31"/>
      <c r="QVV85" s="31"/>
      <c r="QVW85" s="31"/>
      <c r="QVX85" s="31"/>
      <c r="QVY85" s="31"/>
      <c r="QVZ85" s="31"/>
      <c r="QWA85" s="31"/>
      <c r="QWB85" s="31"/>
      <c r="QWC85" s="31"/>
      <c r="QWD85" s="31"/>
      <c r="QWE85" s="31"/>
      <c r="QWF85" s="31"/>
      <c r="QWG85" s="31"/>
      <c r="QWH85" s="31"/>
      <c r="QWI85" s="31"/>
      <c r="QWJ85" s="31"/>
      <c r="QWK85" s="31"/>
      <c r="QWL85" s="31"/>
      <c r="QWM85" s="31"/>
      <c r="QWN85" s="31"/>
      <c r="QWO85" s="31"/>
      <c r="QWP85" s="31"/>
      <c r="QWQ85" s="31"/>
      <c r="QWR85" s="31"/>
      <c r="QWS85" s="31"/>
      <c r="QWT85" s="31"/>
      <c r="QWU85" s="31"/>
      <c r="QWV85" s="31"/>
      <c r="QWW85" s="31"/>
      <c r="QWX85" s="31"/>
      <c r="QWY85" s="31"/>
      <c r="QWZ85" s="31"/>
      <c r="QXA85" s="31"/>
      <c r="QXB85" s="31"/>
      <c r="QXC85" s="31"/>
      <c r="QXD85" s="31"/>
      <c r="QXE85" s="31"/>
      <c r="QXF85" s="31"/>
      <c r="QXG85" s="31"/>
      <c r="QXH85" s="31"/>
      <c r="QXI85" s="31"/>
      <c r="QXJ85" s="31"/>
      <c r="QXK85" s="31"/>
      <c r="QXL85" s="31"/>
      <c r="QXM85" s="31"/>
      <c r="QXN85" s="31"/>
      <c r="QXO85" s="31"/>
      <c r="QXP85" s="31"/>
      <c r="QXQ85" s="31"/>
      <c r="QXR85" s="31"/>
      <c r="QXS85" s="31"/>
      <c r="QXT85" s="31"/>
      <c r="QXU85" s="31"/>
      <c r="QXV85" s="31"/>
      <c r="QXW85" s="31"/>
      <c r="QXX85" s="31"/>
      <c r="QXY85" s="31"/>
      <c r="QXZ85" s="31"/>
      <c r="QYA85" s="31"/>
      <c r="QYB85" s="31"/>
      <c r="QYC85" s="31"/>
      <c r="QYD85" s="31"/>
      <c r="QYE85" s="31"/>
      <c r="QYF85" s="31"/>
      <c r="QYG85" s="31"/>
      <c r="QYH85" s="31"/>
      <c r="QYI85" s="31"/>
      <c r="QYJ85" s="31"/>
      <c r="QYK85" s="31"/>
      <c r="QYL85" s="31"/>
      <c r="QYM85" s="31"/>
      <c r="QYN85" s="31"/>
      <c r="QYO85" s="31"/>
      <c r="QYP85" s="31"/>
      <c r="QYQ85" s="31"/>
      <c r="QYR85" s="31"/>
      <c r="QYS85" s="31"/>
      <c r="QYT85" s="31"/>
      <c r="QYU85" s="31"/>
      <c r="QYV85" s="31"/>
      <c r="QYW85" s="31"/>
      <c r="QYX85" s="31"/>
      <c r="QYY85" s="31"/>
      <c r="QYZ85" s="31"/>
      <c r="QZA85" s="31"/>
      <c r="QZB85" s="31"/>
      <c r="QZC85" s="31"/>
      <c r="QZD85" s="31"/>
      <c r="QZE85" s="31"/>
      <c r="QZF85" s="31"/>
      <c r="QZG85" s="31"/>
      <c r="QZH85" s="31"/>
      <c r="QZI85" s="31"/>
      <c r="QZJ85" s="31"/>
      <c r="QZK85" s="31"/>
      <c r="QZL85" s="31"/>
      <c r="QZM85" s="31"/>
      <c r="QZN85" s="31"/>
      <c r="QZO85" s="31"/>
      <c r="QZP85" s="31"/>
      <c r="QZQ85" s="31"/>
      <c r="QZR85" s="31"/>
      <c r="QZS85" s="31"/>
      <c r="QZT85" s="31"/>
      <c r="QZU85" s="31"/>
      <c r="QZV85" s="31"/>
      <c r="QZW85" s="31"/>
      <c r="QZX85" s="31"/>
      <c r="QZY85" s="31"/>
      <c r="QZZ85" s="31"/>
      <c r="RAA85" s="31"/>
      <c r="RAB85" s="31"/>
      <c r="RAC85" s="31"/>
      <c r="RAD85" s="31"/>
      <c r="RAE85" s="31"/>
      <c r="RAF85" s="31"/>
      <c r="RAG85" s="31"/>
      <c r="RAH85" s="31"/>
      <c r="RAI85" s="31"/>
      <c r="RAJ85" s="31"/>
      <c r="RAK85" s="31"/>
      <c r="RAL85" s="31"/>
      <c r="RAM85" s="31"/>
      <c r="RAN85" s="31"/>
      <c r="RAO85" s="31"/>
      <c r="RAP85" s="31"/>
      <c r="RAQ85" s="31"/>
      <c r="RAR85" s="31"/>
      <c r="RAS85" s="31"/>
      <c r="RAT85" s="31"/>
      <c r="RAU85" s="31"/>
      <c r="RAV85" s="31"/>
      <c r="RAW85" s="31"/>
      <c r="RAX85" s="31"/>
      <c r="RAY85" s="31"/>
      <c r="RAZ85" s="31"/>
      <c r="RBA85" s="31"/>
      <c r="RBB85" s="31"/>
      <c r="RBC85" s="31"/>
      <c r="RBD85" s="31"/>
      <c r="RBE85" s="31"/>
      <c r="RBF85" s="31"/>
      <c r="RBG85" s="31"/>
      <c r="RBH85" s="31"/>
      <c r="RBI85" s="31"/>
      <c r="RBJ85" s="31"/>
      <c r="RBK85" s="31"/>
      <c r="RBL85" s="31"/>
      <c r="RBM85" s="31"/>
      <c r="RBN85" s="31"/>
      <c r="RBO85" s="31"/>
      <c r="RBP85" s="31"/>
      <c r="RBQ85" s="31"/>
      <c r="RBR85" s="31"/>
      <c r="RBS85" s="31"/>
      <c r="RBT85" s="31"/>
      <c r="RBU85" s="31"/>
      <c r="RBV85" s="31"/>
      <c r="RBW85" s="31"/>
      <c r="RBX85" s="31"/>
      <c r="RBY85" s="31"/>
      <c r="RBZ85" s="31"/>
      <c r="RCA85" s="31"/>
      <c r="RCB85" s="31"/>
      <c r="RCC85" s="31"/>
      <c r="RCD85" s="31"/>
      <c r="RCE85" s="31"/>
      <c r="RCF85" s="31"/>
      <c r="RCG85" s="31"/>
      <c r="RCH85" s="31"/>
      <c r="RCI85" s="31"/>
      <c r="RCJ85" s="31"/>
      <c r="RCK85" s="31"/>
      <c r="RCL85" s="31"/>
      <c r="RCM85" s="31"/>
      <c r="RCN85" s="31"/>
      <c r="RCO85" s="31"/>
      <c r="RCP85" s="31"/>
      <c r="RCQ85" s="31"/>
      <c r="RCR85" s="31"/>
      <c r="RCS85" s="31"/>
      <c r="RCT85" s="31"/>
      <c r="RCU85" s="31"/>
      <c r="RCV85" s="31"/>
      <c r="RCW85" s="31"/>
      <c r="RCX85" s="31"/>
      <c r="RCY85" s="31"/>
      <c r="RCZ85" s="31"/>
      <c r="RDA85" s="31"/>
      <c r="RDB85" s="31"/>
      <c r="RDC85" s="31"/>
      <c r="RDD85" s="31"/>
      <c r="RDE85" s="31"/>
      <c r="RDF85" s="31"/>
      <c r="RDG85" s="31"/>
      <c r="RDH85" s="31"/>
      <c r="RDI85" s="31"/>
      <c r="RDJ85" s="31"/>
      <c r="RDK85" s="31"/>
      <c r="RDL85" s="31"/>
      <c r="RDM85" s="31"/>
      <c r="RDN85" s="31"/>
      <c r="RDO85" s="31"/>
      <c r="RDP85" s="31"/>
      <c r="RDQ85" s="31"/>
      <c r="RDR85" s="31"/>
      <c r="RDS85" s="31"/>
      <c r="RDT85" s="31"/>
      <c r="RDU85" s="31"/>
      <c r="RDV85" s="31"/>
      <c r="RDW85" s="31"/>
      <c r="RDX85" s="31"/>
      <c r="RDY85" s="31"/>
      <c r="RDZ85" s="31"/>
      <c r="REA85" s="31"/>
      <c r="REB85" s="31"/>
      <c r="REC85" s="31"/>
      <c r="RED85" s="31"/>
      <c r="REE85" s="31"/>
      <c r="REF85" s="31"/>
      <c r="REG85" s="31"/>
      <c r="REH85" s="31"/>
      <c r="REI85" s="31"/>
      <c r="REJ85" s="31"/>
      <c r="REK85" s="31"/>
      <c r="REL85" s="31"/>
      <c r="REM85" s="31"/>
      <c r="REN85" s="31"/>
      <c r="REO85" s="31"/>
      <c r="REP85" s="31"/>
      <c r="REQ85" s="31"/>
      <c r="RER85" s="31"/>
      <c r="RES85" s="31"/>
      <c r="RET85" s="31"/>
      <c r="REU85" s="31"/>
      <c r="REV85" s="31"/>
      <c r="REW85" s="31"/>
      <c r="REX85" s="31"/>
      <c r="REY85" s="31"/>
      <c r="REZ85" s="31"/>
      <c r="RFA85" s="31"/>
      <c r="RFB85" s="31"/>
      <c r="RFC85" s="31"/>
      <c r="RFD85" s="31"/>
      <c r="RFE85" s="31"/>
      <c r="RFF85" s="31"/>
      <c r="RFG85" s="31"/>
      <c r="RFH85" s="31"/>
      <c r="RFI85" s="31"/>
      <c r="RFJ85" s="31"/>
      <c r="RFK85" s="31"/>
      <c r="RFL85" s="31"/>
      <c r="RFM85" s="31"/>
      <c r="RFN85" s="31"/>
      <c r="RFO85" s="31"/>
      <c r="RFP85" s="31"/>
      <c r="RFQ85" s="31"/>
      <c r="RFR85" s="31"/>
      <c r="RFS85" s="31"/>
      <c r="RFT85" s="31"/>
      <c r="RFU85" s="31"/>
      <c r="RFV85" s="31"/>
      <c r="RFW85" s="31"/>
      <c r="RFX85" s="31"/>
      <c r="RFY85" s="31"/>
      <c r="RFZ85" s="31"/>
      <c r="RGA85" s="31"/>
      <c r="RGB85" s="31"/>
      <c r="RGC85" s="31"/>
      <c r="RGD85" s="31"/>
      <c r="RGE85" s="31"/>
      <c r="RGF85" s="31"/>
      <c r="RGG85" s="31"/>
      <c r="RGH85" s="31"/>
      <c r="RGI85" s="31"/>
      <c r="RGJ85" s="31"/>
      <c r="RGK85" s="31"/>
      <c r="RGL85" s="31"/>
      <c r="RGM85" s="31"/>
      <c r="RGN85" s="31"/>
      <c r="RGO85" s="31"/>
      <c r="RGP85" s="31"/>
      <c r="RGQ85" s="31"/>
      <c r="RGR85" s="31"/>
      <c r="RGS85" s="31"/>
      <c r="RGT85" s="31"/>
      <c r="RGU85" s="31"/>
      <c r="RGV85" s="31"/>
      <c r="RGW85" s="31"/>
      <c r="RGX85" s="31"/>
      <c r="RGY85" s="31"/>
      <c r="RGZ85" s="31"/>
      <c r="RHA85" s="31"/>
      <c r="RHB85" s="31"/>
      <c r="RHC85" s="31"/>
      <c r="RHD85" s="31"/>
      <c r="RHE85" s="31"/>
      <c r="RHF85" s="31"/>
      <c r="RHG85" s="31"/>
      <c r="RHH85" s="31"/>
      <c r="RHI85" s="31"/>
      <c r="RHJ85" s="31"/>
      <c r="RHK85" s="31"/>
      <c r="RHL85" s="31"/>
      <c r="RHM85" s="31"/>
      <c r="RHN85" s="31"/>
      <c r="RHO85" s="31"/>
      <c r="RHP85" s="31"/>
      <c r="RHQ85" s="31"/>
      <c r="RHR85" s="31"/>
      <c r="RHS85" s="31"/>
      <c r="RHT85" s="31"/>
      <c r="RHU85" s="31"/>
      <c r="RHV85" s="31"/>
      <c r="RHW85" s="31"/>
      <c r="RHX85" s="31"/>
      <c r="RHY85" s="31"/>
      <c r="RHZ85" s="31"/>
      <c r="RIA85" s="31"/>
      <c r="RIB85" s="31"/>
      <c r="RIC85" s="31"/>
      <c r="RID85" s="31"/>
      <c r="RIE85" s="31"/>
      <c r="RIF85" s="31"/>
      <c r="RIG85" s="31"/>
      <c r="RIH85" s="31"/>
      <c r="RII85" s="31"/>
      <c r="RIJ85" s="31"/>
      <c r="RIK85" s="31"/>
      <c r="RIL85" s="31"/>
      <c r="RIM85" s="31"/>
      <c r="RIN85" s="31"/>
      <c r="RIO85" s="31"/>
      <c r="RIP85" s="31"/>
      <c r="RIQ85" s="31"/>
      <c r="RIR85" s="31"/>
      <c r="RIS85" s="31"/>
      <c r="RIT85" s="31"/>
      <c r="RIU85" s="31"/>
      <c r="RIV85" s="31"/>
      <c r="RIW85" s="31"/>
      <c r="RIX85" s="31"/>
      <c r="RIY85" s="31"/>
      <c r="RIZ85" s="31"/>
      <c r="RJA85" s="31"/>
      <c r="RJB85" s="31"/>
      <c r="RJC85" s="31"/>
      <c r="RJD85" s="31"/>
      <c r="RJE85" s="31"/>
      <c r="RJF85" s="31"/>
      <c r="RJG85" s="31"/>
      <c r="RJH85" s="31"/>
      <c r="RJI85" s="31"/>
      <c r="RJJ85" s="31"/>
      <c r="RJK85" s="31"/>
      <c r="RJL85" s="31"/>
      <c r="RJM85" s="31"/>
      <c r="RJN85" s="31"/>
      <c r="RJO85" s="31"/>
      <c r="RJP85" s="31"/>
      <c r="RJQ85" s="31"/>
      <c r="RJR85" s="31"/>
      <c r="RJS85" s="31"/>
      <c r="RJT85" s="31"/>
      <c r="RJU85" s="31"/>
      <c r="RJV85" s="31"/>
      <c r="RJW85" s="31"/>
      <c r="RJX85" s="31"/>
      <c r="RJY85" s="31"/>
      <c r="RJZ85" s="31"/>
      <c r="RKA85" s="31"/>
      <c r="RKB85" s="31"/>
      <c r="RKC85" s="31"/>
      <c r="RKD85" s="31"/>
      <c r="RKE85" s="31"/>
      <c r="RKF85" s="31"/>
      <c r="RKG85" s="31"/>
      <c r="RKH85" s="31"/>
      <c r="RKI85" s="31"/>
      <c r="RKJ85" s="31"/>
      <c r="RKK85" s="31"/>
      <c r="RKL85" s="31"/>
      <c r="RKM85" s="31"/>
      <c r="RKN85" s="31"/>
      <c r="RKO85" s="31"/>
      <c r="RKP85" s="31"/>
      <c r="RKQ85" s="31"/>
      <c r="RKR85" s="31"/>
      <c r="RKS85" s="31"/>
      <c r="RKT85" s="31"/>
      <c r="RKU85" s="31"/>
      <c r="RKV85" s="31"/>
      <c r="RKW85" s="31"/>
      <c r="RKX85" s="31"/>
      <c r="RKY85" s="31"/>
      <c r="RKZ85" s="31"/>
      <c r="RLA85" s="31"/>
      <c r="RLB85" s="31"/>
      <c r="RLC85" s="31"/>
      <c r="RLD85" s="31"/>
      <c r="RLE85" s="31"/>
      <c r="RLF85" s="31"/>
      <c r="RLG85" s="31"/>
      <c r="RLH85" s="31"/>
      <c r="RLI85" s="31"/>
      <c r="RLJ85" s="31"/>
      <c r="RLK85" s="31"/>
      <c r="RLL85" s="31"/>
      <c r="RLM85" s="31"/>
      <c r="RLN85" s="31"/>
      <c r="RLO85" s="31"/>
      <c r="RLP85" s="31"/>
      <c r="RLQ85" s="31"/>
      <c r="RLR85" s="31"/>
      <c r="RLS85" s="31"/>
      <c r="RLT85" s="31"/>
      <c r="RLU85" s="31"/>
      <c r="RLV85" s="31"/>
      <c r="RLW85" s="31"/>
      <c r="RLX85" s="31"/>
      <c r="RLY85" s="31"/>
      <c r="RLZ85" s="31"/>
      <c r="RMA85" s="31"/>
      <c r="RMB85" s="31"/>
      <c r="RMC85" s="31"/>
      <c r="RMD85" s="31"/>
      <c r="RME85" s="31"/>
      <c r="RMF85" s="31"/>
      <c r="RMG85" s="31"/>
      <c r="RMH85" s="31"/>
      <c r="RMI85" s="31"/>
      <c r="RMJ85" s="31"/>
      <c r="RMK85" s="31"/>
      <c r="RML85" s="31"/>
      <c r="RMM85" s="31"/>
      <c r="RMN85" s="31"/>
      <c r="RMO85" s="31"/>
      <c r="RMP85" s="31"/>
      <c r="RMQ85" s="31"/>
      <c r="RMR85" s="31"/>
      <c r="RMS85" s="31"/>
      <c r="RMT85" s="31"/>
      <c r="RMU85" s="31"/>
      <c r="RMV85" s="31"/>
      <c r="RMW85" s="31"/>
      <c r="RMX85" s="31"/>
      <c r="RMY85" s="31"/>
      <c r="RMZ85" s="31"/>
      <c r="RNA85" s="31"/>
      <c r="RNB85" s="31"/>
      <c r="RNC85" s="31"/>
      <c r="RND85" s="31"/>
      <c r="RNE85" s="31"/>
      <c r="RNF85" s="31"/>
      <c r="RNG85" s="31"/>
      <c r="RNH85" s="31"/>
      <c r="RNI85" s="31"/>
      <c r="RNJ85" s="31"/>
      <c r="RNK85" s="31"/>
      <c r="RNL85" s="31"/>
      <c r="RNM85" s="31"/>
      <c r="RNN85" s="31"/>
      <c r="RNO85" s="31"/>
      <c r="RNP85" s="31"/>
      <c r="RNQ85" s="31"/>
      <c r="RNR85" s="31"/>
      <c r="RNS85" s="31"/>
      <c r="RNT85" s="31"/>
      <c r="RNU85" s="31"/>
      <c r="RNV85" s="31"/>
      <c r="RNW85" s="31"/>
      <c r="RNX85" s="31"/>
      <c r="RNY85" s="31"/>
      <c r="RNZ85" s="31"/>
      <c r="ROA85" s="31"/>
      <c r="ROB85" s="31"/>
      <c r="ROC85" s="31"/>
      <c r="ROD85" s="31"/>
      <c r="ROE85" s="31"/>
      <c r="ROF85" s="31"/>
      <c r="ROG85" s="31"/>
      <c r="ROH85" s="31"/>
      <c r="ROI85" s="31"/>
      <c r="ROJ85" s="31"/>
      <c r="ROK85" s="31"/>
      <c r="ROL85" s="31"/>
      <c r="ROM85" s="31"/>
      <c r="RON85" s="31"/>
      <c r="ROO85" s="31"/>
      <c r="ROP85" s="31"/>
      <c r="ROQ85" s="31"/>
      <c r="ROR85" s="31"/>
      <c r="ROS85" s="31"/>
      <c r="ROT85" s="31"/>
      <c r="ROU85" s="31"/>
      <c r="ROV85" s="31"/>
      <c r="ROW85" s="31"/>
      <c r="ROX85" s="31"/>
      <c r="ROY85" s="31"/>
      <c r="ROZ85" s="31"/>
      <c r="RPA85" s="31"/>
      <c r="RPB85" s="31"/>
      <c r="RPC85" s="31"/>
      <c r="RPD85" s="31"/>
      <c r="RPE85" s="31"/>
      <c r="RPF85" s="31"/>
      <c r="RPG85" s="31"/>
      <c r="RPH85" s="31"/>
      <c r="RPI85" s="31"/>
      <c r="RPJ85" s="31"/>
      <c r="RPK85" s="31"/>
      <c r="RPL85" s="31"/>
      <c r="RPM85" s="31"/>
      <c r="RPN85" s="31"/>
      <c r="RPO85" s="31"/>
      <c r="RPP85" s="31"/>
      <c r="RPQ85" s="31"/>
      <c r="RPR85" s="31"/>
      <c r="RPS85" s="31"/>
      <c r="RPT85" s="31"/>
      <c r="RPU85" s="31"/>
      <c r="RPV85" s="31"/>
      <c r="RPW85" s="31"/>
      <c r="RPX85" s="31"/>
      <c r="RPY85" s="31"/>
      <c r="RPZ85" s="31"/>
      <c r="RQA85" s="31"/>
      <c r="RQB85" s="31"/>
      <c r="RQC85" s="31"/>
      <c r="RQD85" s="31"/>
      <c r="RQE85" s="31"/>
      <c r="RQF85" s="31"/>
      <c r="RQG85" s="31"/>
      <c r="RQH85" s="31"/>
      <c r="RQI85" s="31"/>
      <c r="RQJ85" s="31"/>
      <c r="RQK85" s="31"/>
      <c r="RQL85" s="31"/>
      <c r="RQM85" s="31"/>
      <c r="RQN85" s="31"/>
      <c r="RQO85" s="31"/>
      <c r="RQP85" s="31"/>
      <c r="RQQ85" s="31"/>
      <c r="RQR85" s="31"/>
      <c r="RQS85" s="31"/>
      <c r="RQT85" s="31"/>
      <c r="RQU85" s="31"/>
      <c r="RQV85" s="31"/>
      <c r="RQW85" s="31"/>
      <c r="RQX85" s="31"/>
      <c r="RQY85" s="31"/>
      <c r="RQZ85" s="31"/>
      <c r="RRA85" s="31"/>
      <c r="RRB85" s="31"/>
      <c r="RRC85" s="31"/>
      <c r="RRD85" s="31"/>
      <c r="RRE85" s="31"/>
      <c r="RRF85" s="31"/>
      <c r="RRG85" s="31"/>
      <c r="RRH85" s="31"/>
      <c r="RRI85" s="31"/>
      <c r="RRJ85" s="31"/>
      <c r="RRK85" s="31"/>
      <c r="RRL85" s="31"/>
      <c r="RRM85" s="31"/>
      <c r="RRN85" s="31"/>
      <c r="RRO85" s="31"/>
      <c r="RRP85" s="31"/>
      <c r="RRQ85" s="31"/>
      <c r="RRR85" s="31"/>
      <c r="RRS85" s="31"/>
      <c r="RRT85" s="31"/>
      <c r="RRU85" s="31"/>
      <c r="RRV85" s="31"/>
      <c r="RRW85" s="31"/>
      <c r="RRX85" s="31"/>
      <c r="RRY85" s="31"/>
      <c r="RRZ85" s="31"/>
      <c r="RSA85" s="31"/>
      <c r="RSB85" s="31"/>
      <c r="RSC85" s="31"/>
      <c r="RSD85" s="31"/>
      <c r="RSE85" s="31"/>
      <c r="RSF85" s="31"/>
      <c r="RSG85" s="31"/>
      <c r="RSH85" s="31"/>
      <c r="RSI85" s="31"/>
      <c r="RSJ85" s="31"/>
      <c r="RSK85" s="31"/>
      <c r="RSL85" s="31"/>
      <c r="RSM85" s="31"/>
      <c r="RSN85" s="31"/>
      <c r="RSO85" s="31"/>
      <c r="RSP85" s="31"/>
      <c r="RSQ85" s="31"/>
      <c r="RSR85" s="31"/>
      <c r="RSS85" s="31"/>
      <c r="RST85" s="31"/>
      <c r="RSU85" s="31"/>
      <c r="RSV85" s="31"/>
      <c r="RSW85" s="31"/>
      <c r="RSX85" s="31"/>
      <c r="RSY85" s="31"/>
      <c r="RSZ85" s="31"/>
      <c r="RTA85" s="31"/>
      <c r="RTB85" s="31"/>
      <c r="RTC85" s="31"/>
      <c r="RTD85" s="31"/>
      <c r="RTE85" s="31"/>
      <c r="RTF85" s="31"/>
      <c r="RTG85" s="31"/>
      <c r="RTH85" s="31"/>
      <c r="RTI85" s="31"/>
      <c r="RTJ85" s="31"/>
      <c r="RTK85" s="31"/>
      <c r="RTL85" s="31"/>
      <c r="RTM85" s="31"/>
      <c r="RTN85" s="31"/>
      <c r="RTO85" s="31"/>
      <c r="RTP85" s="31"/>
      <c r="RTQ85" s="31"/>
      <c r="RTR85" s="31"/>
      <c r="RTS85" s="31"/>
      <c r="RTT85" s="31"/>
      <c r="RTU85" s="31"/>
      <c r="RTV85" s="31"/>
      <c r="RTW85" s="31"/>
      <c r="RTX85" s="31"/>
      <c r="RTY85" s="31"/>
      <c r="RTZ85" s="31"/>
      <c r="RUA85" s="31"/>
      <c r="RUB85" s="31"/>
      <c r="RUC85" s="31"/>
      <c r="RUD85" s="31"/>
      <c r="RUE85" s="31"/>
      <c r="RUF85" s="31"/>
      <c r="RUG85" s="31"/>
      <c r="RUH85" s="31"/>
      <c r="RUI85" s="31"/>
      <c r="RUJ85" s="31"/>
      <c r="RUK85" s="31"/>
      <c r="RUL85" s="31"/>
      <c r="RUM85" s="31"/>
      <c r="RUN85" s="31"/>
      <c r="RUO85" s="31"/>
      <c r="RUP85" s="31"/>
      <c r="RUQ85" s="31"/>
      <c r="RUR85" s="31"/>
      <c r="RUS85" s="31"/>
      <c r="RUT85" s="31"/>
      <c r="RUU85" s="31"/>
      <c r="RUV85" s="31"/>
      <c r="RUW85" s="31"/>
      <c r="RUX85" s="31"/>
      <c r="RUY85" s="31"/>
      <c r="RUZ85" s="31"/>
      <c r="RVA85" s="31"/>
      <c r="RVB85" s="31"/>
      <c r="RVC85" s="31"/>
      <c r="RVD85" s="31"/>
      <c r="RVE85" s="31"/>
      <c r="RVF85" s="31"/>
      <c r="RVG85" s="31"/>
      <c r="RVH85" s="31"/>
      <c r="RVI85" s="31"/>
      <c r="RVJ85" s="31"/>
      <c r="RVK85" s="31"/>
      <c r="RVL85" s="31"/>
      <c r="RVM85" s="31"/>
      <c r="RVN85" s="31"/>
      <c r="RVO85" s="31"/>
      <c r="RVP85" s="31"/>
      <c r="RVQ85" s="31"/>
      <c r="RVR85" s="31"/>
      <c r="RVS85" s="31"/>
      <c r="RVT85" s="31"/>
      <c r="RVU85" s="31"/>
      <c r="RVV85" s="31"/>
      <c r="RVW85" s="31"/>
      <c r="RVX85" s="31"/>
      <c r="RVY85" s="31"/>
      <c r="RVZ85" s="31"/>
      <c r="RWA85" s="31"/>
      <c r="RWB85" s="31"/>
      <c r="RWC85" s="31"/>
      <c r="RWD85" s="31"/>
      <c r="RWE85" s="31"/>
      <c r="RWF85" s="31"/>
      <c r="RWG85" s="31"/>
      <c r="RWH85" s="31"/>
      <c r="RWI85" s="31"/>
      <c r="RWJ85" s="31"/>
      <c r="RWK85" s="31"/>
      <c r="RWL85" s="31"/>
      <c r="RWM85" s="31"/>
      <c r="RWN85" s="31"/>
      <c r="RWO85" s="31"/>
      <c r="RWP85" s="31"/>
      <c r="RWQ85" s="31"/>
      <c r="RWR85" s="31"/>
      <c r="RWS85" s="31"/>
      <c r="RWT85" s="31"/>
      <c r="RWU85" s="31"/>
      <c r="RWV85" s="31"/>
      <c r="RWW85" s="31"/>
      <c r="RWX85" s="31"/>
      <c r="RWY85" s="31"/>
      <c r="RWZ85" s="31"/>
      <c r="RXA85" s="31"/>
      <c r="RXB85" s="31"/>
      <c r="RXC85" s="31"/>
      <c r="RXD85" s="31"/>
      <c r="RXE85" s="31"/>
      <c r="RXF85" s="31"/>
      <c r="RXG85" s="31"/>
      <c r="RXH85" s="31"/>
      <c r="RXI85" s="31"/>
      <c r="RXJ85" s="31"/>
      <c r="RXK85" s="31"/>
      <c r="RXL85" s="31"/>
      <c r="RXM85" s="31"/>
      <c r="RXN85" s="31"/>
      <c r="RXO85" s="31"/>
      <c r="RXP85" s="31"/>
      <c r="RXQ85" s="31"/>
      <c r="RXR85" s="31"/>
      <c r="RXS85" s="31"/>
      <c r="RXT85" s="31"/>
      <c r="RXU85" s="31"/>
      <c r="RXV85" s="31"/>
      <c r="RXW85" s="31"/>
      <c r="RXX85" s="31"/>
      <c r="RXY85" s="31"/>
      <c r="RXZ85" s="31"/>
      <c r="RYA85" s="31"/>
      <c r="RYB85" s="31"/>
      <c r="RYC85" s="31"/>
      <c r="RYD85" s="31"/>
      <c r="RYE85" s="31"/>
      <c r="RYF85" s="31"/>
      <c r="RYG85" s="31"/>
      <c r="RYH85" s="31"/>
      <c r="RYI85" s="31"/>
      <c r="RYJ85" s="31"/>
      <c r="RYK85" s="31"/>
      <c r="RYL85" s="31"/>
      <c r="RYM85" s="31"/>
      <c r="RYN85" s="31"/>
      <c r="RYO85" s="31"/>
      <c r="RYP85" s="31"/>
      <c r="RYQ85" s="31"/>
      <c r="RYR85" s="31"/>
      <c r="RYS85" s="31"/>
      <c r="RYT85" s="31"/>
      <c r="RYU85" s="31"/>
      <c r="RYV85" s="31"/>
      <c r="RYW85" s="31"/>
      <c r="RYX85" s="31"/>
      <c r="RYY85" s="31"/>
      <c r="RYZ85" s="31"/>
      <c r="RZA85" s="31"/>
      <c r="RZB85" s="31"/>
      <c r="RZC85" s="31"/>
      <c r="RZD85" s="31"/>
      <c r="RZE85" s="31"/>
      <c r="RZF85" s="31"/>
      <c r="RZG85" s="31"/>
      <c r="RZH85" s="31"/>
      <c r="RZI85" s="31"/>
      <c r="RZJ85" s="31"/>
      <c r="RZK85" s="31"/>
      <c r="RZL85" s="31"/>
      <c r="RZM85" s="31"/>
      <c r="RZN85" s="31"/>
      <c r="RZO85" s="31"/>
      <c r="RZP85" s="31"/>
      <c r="RZQ85" s="31"/>
      <c r="RZR85" s="31"/>
      <c r="RZS85" s="31"/>
      <c r="RZT85" s="31"/>
      <c r="RZU85" s="31"/>
      <c r="RZV85" s="31"/>
      <c r="RZW85" s="31"/>
      <c r="RZX85" s="31"/>
      <c r="RZY85" s="31"/>
      <c r="RZZ85" s="31"/>
      <c r="SAA85" s="31"/>
      <c r="SAB85" s="31"/>
      <c r="SAC85" s="31"/>
      <c r="SAD85" s="31"/>
      <c r="SAE85" s="31"/>
      <c r="SAF85" s="31"/>
      <c r="SAG85" s="31"/>
      <c r="SAH85" s="31"/>
      <c r="SAI85" s="31"/>
      <c r="SAJ85" s="31"/>
      <c r="SAK85" s="31"/>
      <c r="SAL85" s="31"/>
      <c r="SAM85" s="31"/>
      <c r="SAN85" s="31"/>
      <c r="SAO85" s="31"/>
      <c r="SAP85" s="31"/>
      <c r="SAQ85" s="31"/>
      <c r="SAR85" s="31"/>
      <c r="SAS85" s="31"/>
      <c r="SAT85" s="31"/>
      <c r="SAU85" s="31"/>
      <c r="SAV85" s="31"/>
      <c r="SAW85" s="31"/>
      <c r="SAX85" s="31"/>
      <c r="SAY85" s="31"/>
      <c r="SAZ85" s="31"/>
      <c r="SBA85" s="31"/>
      <c r="SBB85" s="31"/>
      <c r="SBC85" s="31"/>
      <c r="SBD85" s="31"/>
      <c r="SBE85" s="31"/>
      <c r="SBF85" s="31"/>
      <c r="SBG85" s="31"/>
      <c r="SBH85" s="31"/>
      <c r="SBI85" s="31"/>
      <c r="SBJ85" s="31"/>
      <c r="SBK85" s="31"/>
      <c r="SBL85" s="31"/>
      <c r="SBM85" s="31"/>
      <c r="SBN85" s="31"/>
      <c r="SBO85" s="31"/>
      <c r="SBP85" s="31"/>
      <c r="SBQ85" s="31"/>
      <c r="SBR85" s="31"/>
      <c r="SBS85" s="31"/>
      <c r="SBT85" s="31"/>
      <c r="SBU85" s="31"/>
      <c r="SBV85" s="31"/>
      <c r="SBW85" s="31"/>
      <c r="SBX85" s="31"/>
      <c r="SBY85" s="31"/>
      <c r="SBZ85" s="31"/>
      <c r="SCA85" s="31"/>
      <c r="SCB85" s="31"/>
      <c r="SCC85" s="31"/>
      <c r="SCD85" s="31"/>
      <c r="SCE85" s="31"/>
      <c r="SCF85" s="31"/>
      <c r="SCG85" s="31"/>
      <c r="SCH85" s="31"/>
      <c r="SCI85" s="31"/>
      <c r="SCJ85" s="31"/>
      <c r="SCK85" s="31"/>
      <c r="SCL85" s="31"/>
      <c r="SCM85" s="31"/>
      <c r="SCN85" s="31"/>
      <c r="SCO85" s="31"/>
      <c r="SCP85" s="31"/>
      <c r="SCQ85" s="31"/>
      <c r="SCR85" s="31"/>
      <c r="SCS85" s="31"/>
      <c r="SCT85" s="31"/>
      <c r="SCU85" s="31"/>
      <c r="SCV85" s="31"/>
      <c r="SCW85" s="31"/>
      <c r="SCX85" s="31"/>
      <c r="SCY85" s="31"/>
      <c r="SCZ85" s="31"/>
      <c r="SDA85" s="31"/>
      <c r="SDB85" s="31"/>
      <c r="SDC85" s="31"/>
      <c r="SDD85" s="31"/>
      <c r="SDE85" s="31"/>
      <c r="SDF85" s="31"/>
      <c r="SDG85" s="31"/>
      <c r="SDH85" s="31"/>
      <c r="SDI85" s="31"/>
      <c r="SDJ85" s="31"/>
      <c r="SDK85" s="31"/>
      <c r="SDL85" s="31"/>
      <c r="SDM85" s="31"/>
      <c r="SDN85" s="31"/>
      <c r="SDO85" s="31"/>
      <c r="SDP85" s="31"/>
      <c r="SDQ85" s="31"/>
      <c r="SDR85" s="31"/>
      <c r="SDS85" s="31"/>
      <c r="SDT85" s="31"/>
      <c r="SDU85" s="31"/>
      <c r="SDV85" s="31"/>
      <c r="SDW85" s="31"/>
      <c r="SDX85" s="31"/>
      <c r="SDY85" s="31"/>
      <c r="SDZ85" s="31"/>
      <c r="SEA85" s="31"/>
      <c r="SEB85" s="31"/>
      <c r="SEC85" s="31"/>
      <c r="SED85" s="31"/>
      <c r="SEE85" s="31"/>
      <c r="SEF85" s="31"/>
      <c r="SEG85" s="31"/>
      <c r="SEH85" s="31"/>
      <c r="SEI85" s="31"/>
      <c r="SEJ85" s="31"/>
      <c r="SEK85" s="31"/>
      <c r="SEL85" s="31"/>
      <c r="SEM85" s="31"/>
      <c r="SEN85" s="31"/>
      <c r="SEO85" s="31"/>
      <c r="SEP85" s="31"/>
      <c r="SEQ85" s="31"/>
      <c r="SER85" s="31"/>
      <c r="SES85" s="31"/>
      <c r="SET85" s="31"/>
      <c r="SEU85" s="31"/>
      <c r="SEV85" s="31"/>
      <c r="SEW85" s="31"/>
      <c r="SEX85" s="31"/>
      <c r="SEY85" s="31"/>
      <c r="SEZ85" s="31"/>
      <c r="SFA85" s="31"/>
      <c r="SFB85" s="31"/>
      <c r="SFC85" s="31"/>
      <c r="SFD85" s="31"/>
      <c r="SFE85" s="31"/>
      <c r="SFF85" s="31"/>
      <c r="SFG85" s="31"/>
      <c r="SFH85" s="31"/>
      <c r="SFI85" s="31"/>
      <c r="SFJ85" s="31"/>
      <c r="SFK85" s="31"/>
      <c r="SFL85" s="31"/>
      <c r="SFM85" s="31"/>
      <c r="SFN85" s="31"/>
      <c r="SFO85" s="31"/>
      <c r="SFP85" s="31"/>
      <c r="SFQ85" s="31"/>
      <c r="SFR85" s="31"/>
      <c r="SFS85" s="31"/>
      <c r="SFT85" s="31"/>
      <c r="SFU85" s="31"/>
      <c r="SFV85" s="31"/>
      <c r="SFW85" s="31"/>
      <c r="SFX85" s="31"/>
      <c r="SFY85" s="31"/>
      <c r="SFZ85" s="31"/>
      <c r="SGA85" s="31"/>
      <c r="SGB85" s="31"/>
      <c r="SGC85" s="31"/>
      <c r="SGD85" s="31"/>
      <c r="SGE85" s="31"/>
      <c r="SGF85" s="31"/>
      <c r="SGG85" s="31"/>
      <c r="SGH85" s="31"/>
      <c r="SGI85" s="31"/>
      <c r="SGJ85" s="31"/>
      <c r="SGK85" s="31"/>
      <c r="SGL85" s="31"/>
      <c r="SGM85" s="31"/>
      <c r="SGN85" s="31"/>
      <c r="SGO85" s="31"/>
      <c r="SGP85" s="31"/>
      <c r="SGQ85" s="31"/>
      <c r="SGR85" s="31"/>
      <c r="SGS85" s="31"/>
      <c r="SGT85" s="31"/>
      <c r="SGU85" s="31"/>
      <c r="SGV85" s="31"/>
      <c r="SGW85" s="31"/>
      <c r="SGX85" s="31"/>
      <c r="SGY85" s="31"/>
      <c r="SGZ85" s="31"/>
      <c r="SHA85" s="31"/>
      <c r="SHB85" s="31"/>
      <c r="SHC85" s="31"/>
      <c r="SHD85" s="31"/>
      <c r="SHE85" s="31"/>
      <c r="SHF85" s="31"/>
      <c r="SHG85" s="31"/>
      <c r="SHH85" s="31"/>
      <c r="SHI85" s="31"/>
      <c r="SHJ85" s="31"/>
      <c r="SHK85" s="31"/>
      <c r="SHL85" s="31"/>
      <c r="SHM85" s="31"/>
      <c r="SHN85" s="31"/>
      <c r="SHO85" s="31"/>
      <c r="SHP85" s="31"/>
      <c r="SHQ85" s="31"/>
      <c r="SHR85" s="31"/>
      <c r="SHS85" s="31"/>
      <c r="SHT85" s="31"/>
      <c r="SHU85" s="31"/>
      <c r="SHV85" s="31"/>
      <c r="SHW85" s="31"/>
      <c r="SHX85" s="31"/>
      <c r="SHY85" s="31"/>
      <c r="SHZ85" s="31"/>
      <c r="SIA85" s="31"/>
      <c r="SIB85" s="31"/>
      <c r="SIC85" s="31"/>
      <c r="SID85" s="31"/>
      <c r="SIE85" s="31"/>
      <c r="SIF85" s="31"/>
      <c r="SIG85" s="31"/>
      <c r="SIH85" s="31"/>
      <c r="SII85" s="31"/>
      <c r="SIJ85" s="31"/>
      <c r="SIK85" s="31"/>
      <c r="SIL85" s="31"/>
      <c r="SIM85" s="31"/>
      <c r="SIN85" s="31"/>
      <c r="SIO85" s="31"/>
      <c r="SIP85" s="31"/>
      <c r="SIQ85" s="31"/>
      <c r="SIR85" s="31"/>
      <c r="SIS85" s="31"/>
      <c r="SIT85" s="31"/>
      <c r="SIU85" s="31"/>
      <c r="SIV85" s="31"/>
      <c r="SIW85" s="31"/>
      <c r="SIX85" s="31"/>
      <c r="SIY85" s="31"/>
      <c r="SIZ85" s="31"/>
      <c r="SJA85" s="31"/>
      <c r="SJB85" s="31"/>
      <c r="SJC85" s="31"/>
      <c r="SJD85" s="31"/>
      <c r="SJE85" s="31"/>
      <c r="SJF85" s="31"/>
      <c r="SJG85" s="31"/>
      <c r="SJH85" s="31"/>
      <c r="SJI85" s="31"/>
      <c r="SJJ85" s="31"/>
      <c r="SJK85" s="31"/>
      <c r="SJL85" s="31"/>
      <c r="SJM85" s="31"/>
      <c r="SJN85" s="31"/>
      <c r="SJO85" s="31"/>
      <c r="SJP85" s="31"/>
      <c r="SJQ85" s="31"/>
      <c r="SJR85" s="31"/>
      <c r="SJS85" s="31"/>
      <c r="SJT85" s="31"/>
      <c r="SJU85" s="31"/>
      <c r="SJV85" s="31"/>
      <c r="SJW85" s="31"/>
      <c r="SJX85" s="31"/>
      <c r="SJY85" s="31"/>
      <c r="SJZ85" s="31"/>
      <c r="SKA85" s="31"/>
      <c r="SKB85" s="31"/>
      <c r="SKC85" s="31"/>
      <c r="SKD85" s="31"/>
      <c r="SKE85" s="31"/>
      <c r="SKF85" s="31"/>
      <c r="SKG85" s="31"/>
      <c r="SKH85" s="31"/>
      <c r="SKI85" s="31"/>
      <c r="SKJ85" s="31"/>
      <c r="SKK85" s="31"/>
      <c r="SKL85" s="31"/>
      <c r="SKM85" s="31"/>
      <c r="SKN85" s="31"/>
      <c r="SKO85" s="31"/>
      <c r="SKP85" s="31"/>
      <c r="SKQ85" s="31"/>
      <c r="SKR85" s="31"/>
      <c r="SKS85" s="31"/>
      <c r="SKT85" s="31"/>
      <c r="SKU85" s="31"/>
      <c r="SKV85" s="31"/>
      <c r="SKW85" s="31"/>
      <c r="SKX85" s="31"/>
      <c r="SKY85" s="31"/>
      <c r="SKZ85" s="31"/>
      <c r="SLA85" s="31"/>
      <c r="SLB85" s="31"/>
      <c r="SLC85" s="31"/>
      <c r="SLD85" s="31"/>
      <c r="SLE85" s="31"/>
      <c r="SLF85" s="31"/>
      <c r="SLG85" s="31"/>
      <c r="SLH85" s="31"/>
      <c r="SLI85" s="31"/>
      <c r="SLJ85" s="31"/>
      <c r="SLK85" s="31"/>
      <c r="SLL85" s="31"/>
      <c r="SLM85" s="31"/>
      <c r="SLN85" s="31"/>
      <c r="SLO85" s="31"/>
      <c r="SLP85" s="31"/>
      <c r="SLQ85" s="31"/>
      <c r="SLR85" s="31"/>
      <c r="SLS85" s="31"/>
      <c r="SLT85" s="31"/>
      <c r="SLU85" s="31"/>
      <c r="SLV85" s="31"/>
      <c r="SLW85" s="31"/>
      <c r="SLX85" s="31"/>
      <c r="SLY85" s="31"/>
      <c r="SLZ85" s="31"/>
      <c r="SMA85" s="31"/>
      <c r="SMB85" s="31"/>
      <c r="SMC85" s="31"/>
      <c r="SMD85" s="31"/>
      <c r="SME85" s="31"/>
      <c r="SMF85" s="31"/>
      <c r="SMG85" s="31"/>
      <c r="SMH85" s="31"/>
      <c r="SMI85" s="31"/>
      <c r="SMJ85" s="31"/>
      <c r="SMK85" s="31"/>
      <c r="SML85" s="31"/>
      <c r="SMM85" s="31"/>
      <c r="SMN85" s="31"/>
      <c r="SMO85" s="31"/>
      <c r="SMP85" s="31"/>
      <c r="SMQ85" s="31"/>
      <c r="SMR85" s="31"/>
      <c r="SMS85" s="31"/>
      <c r="SMT85" s="31"/>
      <c r="SMU85" s="31"/>
      <c r="SMV85" s="31"/>
      <c r="SMW85" s="31"/>
      <c r="SMX85" s="31"/>
      <c r="SMY85" s="31"/>
      <c r="SMZ85" s="31"/>
      <c r="SNA85" s="31"/>
      <c r="SNB85" s="31"/>
      <c r="SNC85" s="31"/>
      <c r="SND85" s="31"/>
      <c r="SNE85" s="31"/>
      <c r="SNF85" s="31"/>
      <c r="SNG85" s="31"/>
      <c r="SNH85" s="31"/>
      <c r="SNI85" s="31"/>
      <c r="SNJ85" s="31"/>
      <c r="SNK85" s="31"/>
      <c r="SNL85" s="31"/>
      <c r="SNM85" s="31"/>
      <c r="SNN85" s="31"/>
      <c r="SNO85" s="31"/>
      <c r="SNP85" s="31"/>
      <c r="SNQ85" s="31"/>
      <c r="SNR85" s="31"/>
      <c r="SNS85" s="31"/>
      <c r="SNT85" s="31"/>
      <c r="SNU85" s="31"/>
      <c r="SNV85" s="31"/>
      <c r="SNW85" s="31"/>
      <c r="SNX85" s="31"/>
      <c r="SNY85" s="31"/>
      <c r="SNZ85" s="31"/>
      <c r="SOA85" s="31"/>
      <c r="SOB85" s="31"/>
      <c r="SOC85" s="31"/>
      <c r="SOD85" s="31"/>
      <c r="SOE85" s="31"/>
      <c r="SOF85" s="31"/>
      <c r="SOG85" s="31"/>
      <c r="SOH85" s="31"/>
      <c r="SOI85" s="31"/>
      <c r="SOJ85" s="31"/>
      <c r="SOK85" s="31"/>
      <c r="SOL85" s="31"/>
      <c r="SOM85" s="31"/>
      <c r="SON85" s="31"/>
      <c r="SOO85" s="31"/>
      <c r="SOP85" s="31"/>
      <c r="SOQ85" s="31"/>
      <c r="SOR85" s="31"/>
      <c r="SOS85" s="31"/>
      <c r="SOT85" s="31"/>
      <c r="SOU85" s="31"/>
      <c r="SOV85" s="31"/>
      <c r="SOW85" s="31"/>
      <c r="SOX85" s="31"/>
      <c r="SOY85" s="31"/>
      <c r="SOZ85" s="31"/>
      <c r="SPA85" s="31"/>
      <c r="SPB85" s="31"/>
      <c r="SPC85" s="31"/>
      <c r="SPD85" s="31"/>
      <c r="SPE85" s="31"/>
      <c r="SPF85" s="31"/>
      <c r="SPG85" s="31"/>
      <c r="SPH85" s="31"/>
      <c r="SPI85" s="31"/>
      <c r="SPJ85" s="31"/>
      <c r="SPK85" s="31"/>
      <c r="SPL85" s="31"/>
      <c r="SPM85" s="31"/>
      <c r="SPN85" s="31"/>
      <c r="SPO85" s="31"/>
      <c r="SPP85" s="31"/>
      <c r="SPQ85" s="31"/>
      <c r="SPR85" s="31"/>
      <c r="SPS85" s="31"/>
      <c r="SPT85" s="31"/>
      <c r="SPU85" s="31"/>
      <c r="SPV85" s="31"/>
      <c r="SPW85" s="31"/>
      <c r="SPX85" s="31"/>
      <c r="SPY85" s="31"/>
      <c r="SPZ85" s="31"/>
      <c r="SQA85" s="31"/>
      <c r="SQB85" s="31"/>
      <c r="SQC85" s="31"/>
      <c r="SQD85" s="31"/>
      <c r="SQE85" s="31"/>
      <c r="SQF85" s="31"/>
      <c r="SQG85" s="31"/>
      <c r="SQH85" s="31"/>
      <c r="SQI85" s="31"/>
      <c r="SQJ85" s="31"/>
      <c r="SQK85" s="31"/>
      <c r="SQL85" s="31"/>
      <c r="SQM85" s="31"/>
      <c r="SQN85" s="31"/>
      <c r="SQO85" s="31"/>
      <c r="SQP85" s="31"/>
      <c r="SQQ85" s="31"/>
      <c r="SQR85" s="31"/>
      <c r="SQS85" s="31"/>
      <c r="SQT85" s="31"/>
      <c r="SQU85" s="31"/>
      <c r="SQV85" s="31"/>
      <c r="SQW85" s="31"/>
      <c r="SQX85" s="31"/>
      <c r="SQY85" s="31"/>
      <c r="SQZ85" s="31"/>
      <c r="SRA85" s="31"/>
      <c r="SRB85" s="31"/>
      <c r="SRC85" s="31"/>
      <c r="SRD85" s="31"/>
      <c r="SRE85" s="31"/>
      <c r="SRF85" s="31"/>
      <c r="SRG85" s="31"/>
      <c r="SRH85" s="31"/>
      <c r="SRI85" s="31"/>
      <c r="SRJ85" s="31"/>
      <c r="SRK85" s="31"/>
      <c r="SRL85" s="31"/>
      <c r="SRM85" s="31"/>
      <c r="SRN85" s="31"/>
      <c r="SRO85" s="31"/>
      <c r="SRP85" s="31"/>
      <c r="SRQ85" s="31"/>
      <c r="SRR85" s="31"/>
      <c r="SRS85" s="31"/>
      <c r="SRT85" s="31"/>
      <c r="SRU85" s="31"/>
      <c r="SRV85" s="31"/>
      <c r="SRW85" s="31"/>
      <c r="SRX85" s="31"/>
      <c r="SRY85" s="31"/>
      <c r="SRZ85" s="31"/>
      <c r="SSA85" s="31"/>
      <c r="SSB85" s="31"/>
      <c r="SSC85" s="31"/>
      <c r="SSD85" s="31"/>
      <c r="SSE85" s="31"/>
      <c r="SSF85" s="31"/>
      <c r="SSG85" s="31"/>
      <c r="SSH85" s="31"/>
      <c r="SSI85" s="31"/>
      <c r="SSJ85" s="31"/>
      <c r="SSK85" s="31"/>
      <c r="SSL85" s="31"/>
      <c r="SSM85" s="31"/>
      <c r="SSN85" s="31"/>
      <c r="SSO85" s="31"/>
      <c r="SSP85" s="31"/>
      <c r="SSQ85" s="31"/>
      <c r="SSR85" s="31"/>
      <c r="SSS85" s="31"/>
      <c r="SST85" s="31"/>
      <c r="SSU85" s="31"/>
      <c r="SSV85" s="31"/>
      <c r="SSW85" s="31"/>
      <c r="SSX85" s="31"/>
      <c r="SSY85" s="31"/>
      <c r="SSZ85" s="31"/>
      <c r="STA85" s="31"/>
      <c r="STB85" s="31"/>
      <c r="STC85" s="31"/>
      <c r="STD85" s="31"/>
      <c r="STE85" s="31"/>
      <c r="STF85" s="31"/>
      <c r="STG85" s="31"/>
      <c r="STH85" s="31"/>
      <c r="STI85" s="31"/>
      <c r="STJ85" s="31"/>
      <c r="STK85" s="31"/>
      <c r="STL85" s="31"/>
      <c r="STM85" s="31"/>
      <c r="STN85" s="31"/>
      <c r="STO85" s="31"/>
      <c r="STP85" s="31"/>
      <c r="STQ85" s="31"/>
      <c r="STR85" s="31"/>
      <c r="STS85" s="31"/>
      <c r="STT85" s="31"/>
      <c r="STU85" s="31"/>
      <c r="STV85" s="31"/>
      <c r="STW85" s="31"/>
      <c r="STX85" s="31"/>
      <c r="STY85" s="31"/>
      <c r="STZ85" s="31"/>
      <c r="SUA85" s="31"/>
      <c r="SUB85" s="31"/>
      <c r="SUC85" s="31"/>
      <c r="SUD85" s="31"/>
      <c r="SUE85" s="31"/>
      <c r="SUF85" s="31"/>
      <c r="SUG85" s="31"/>
      <c r="SUH85" s="31"/>
      <c r="SUI85" s="31"/>
      <c r="SUJ85" s="31"/>
      <c r="SUK85" s="31"/>
      <c r="SUL85" s="31"/>
      <c r="SUM85" s="31"/>
      <c r="SUN85" s="31"/>
      <c r="SUO85" s="31"/>
      <c r="SUP85" s="31"/>
      <c r="SUQ85" s="31"/>
      <c r="SUR85" s="31"/>
      <c r="SUS85" s="31"/>
      <c r="SUT85" s="31"/>
      <c r="SUU85" s="31"/>
      <c r="SUV85" s="31"/>
      <c r="SUW85" s="31"/>
      <c r="SUX85" s="31"/>
      <c r="SUY85" s="31"/>
      <c r="SUZ85" s="31"/>
      <c r="SVA85" s="31"/>
      <c r="SVB85" s="31"/>
      <c r="SVC85" s="31"/>
      <c r="SVD85" s="31"/>
      <c r="SVE85" s="31"/>
      <c r="SVF85" s="31"/>
      <c r="SVG85" s="31"/>
      <c r="SVH85" s="31"/>
      <c r="SVI85" s="31"/>
      <c r="SVJ85" s="31"/>
      <c r="SVK85" s="31"/>
      <c r="SVL85" s="31"/>
      <c r="SVM85" s="31"/>
      <c r="SVN85" s="31"/>
      <c r="SVO85" s="31"/>
      <c r="SVP85" s="31"/>
      <c r="SVQ85" s="31"/>
      <c r="SVR85" s="31"/>
      <c r="SVS85" s="31"/>
      <c r="SVT85" s="31"/>
      <c r="SVU85" s="31"/>
      <c r="SVV85" s="31"/>
      <c r="SVW85" s="31"/>
      <c r="SVX85" s="31"/>
      <c r="SVY85" s="31"/>
      <c r="SVZ85" s="31"/>
      <c r="SWA85" s="31"/>
      <c r="SWB85" s="31"/>
      <c r="SWC85" s="31"/>
      <c r="SWD85" s="31"/>
      <c r="SWE85" s="31"/>
      <c r="SWF85" s="31"/>
      <c r="SWG85" s="31"/>
      <c r="SWH85" s="31"/>
      <c r="SWI85" s="31"/>
      <c r="SWJ85" s="31"/>
      <c r="SWK85" s="31"/>
      <c r="SWL85" s="31"/>
      <c r="SWM85" s="31"/>
      <c r="SWN85" s="31"/>
      <c r="SWO85" s="31"/>
      <c r="SWP85" s="31"/>
      <c r="SWQ85" s="31"/>
      <c r="SWR85" s="31"/>
      <c r="SWS85" s="31"/>
      <c r="SWT85" s="31"/>
      <c r="SWU85" s="31"/>
      <c r="SWV85" s="31"/>
      <c r="SWW85" s="31"/>
      <c r="SWX85" s="31"/>
      <c r="SWY85" s="31"/>
      <c r="SWZ85" s="31"/>
      <c r="SXA85" s="31"/>
      <c r="SXB85" s="31"/>
      <c r="SXC85" s="31"/>
      <c r="SXD85" s="31"/>
      <c r="SXE85" s="31"/>
      <c r="SXF85" s="31"/>
      <c r="SXG85" s="31"/>
      <c r="SXH85" s="31"/>
      <c r="SXI85" s="31"/>
      <c r="SXJ85" s="31"/>
      <c r="SXK85" s="31"/>
      <c r="SXL85" s="31"/>
      <c r="SXM85" s="31"/>
      <c r="SXN85" s="31"/>
      <c r="SXO85" s="31"/>
      <c r="SXP85" s="31"/>
      <c r="SXQ85" s="31"/>
      <c r="SXR85" s="31"/>
      <c r="SXS85" s="31"/>
      <c r="SXT85" s="31"/>
      <c r="SXU85" s="31"/>
      <c r="SXV85" s="31"/>
      <c r="SXW85" s="31"/>
      <c r="SXX85" s="31"/>
      <c r="SXY85" s="31"/>
      <c r="SXZ85" s="31"/>
      <c r="SYA85" s="31"/>
      <c r="SYB85" s="31"/>
      <c r="SYC85" s="31"/>
      <c r="SYD85" s="31"/>
      <c r="SYE85" s="31"/>
      <c r="SYF85" s="31"/>
      <c r="SYG85" s="31"/>
      <c r="SYH85" s="31"/>
      <c r="SYI85" s="31"/>
      <c r="SYJ85" s="31"/>
      <c r="SYK85" s="31"/>
      <c r="SYL85" s="31"/>
      <c r="SYM85" s="31"/>
      <c r="SYN85" s="31"/>
      <c r="SYO85" s="31"/>
      <c r="SYP85" s="31"/>
      <c r="SYQ85" s="31"/>
      <c r="SYR85" s="31"/>
      <c r="SYS85" s="31"/>
      <c r="SYT85" s="31"/>
      <c r="SYU85" s="31"/>
      <c r="SYV85" s="31"/>
      <c r="SYW85" s="31"/>
      <c r="SYX85" s="31"/>
      <c r="SYY85" s="31"/>
      <c r="SYZ85" s="31"/>
      <c r="SZA85" s="31"/>
      <c r="SZB85" s="31"/>
      <c r="SZC85" s="31"/>
      <c r="SZD85" s="31"/>
      <c r="SZE85" s="31"/>
      <c r="SZF85" s="31"/>
      <c r="SZG85" s="31"/>
      <c r="SZH85" s="31"/>
      <c r="SZI85" s="31"/>
      <c r="SZJ85" s="31"/>
      <c r="SZK85" s="31"/>
      <c r="SZL85" s="31"/>
      <c r="SZM85" s="31"/>
      <c r="SZN85" s="31"/>
      <c r="SZO85" s="31"/>
      <c r="SZP85" s="31"/>
      <c r="SZQ85" s="31"/>
      <c r="SZR85" s="31"/>
      <c r="SZS85" s="31"/>
      <c r="SZT85" s="31"/>
      <c r="SZU85" s="31"/>
      <c r="SZV85" s="31"/>
      <c r="SZW85" s="31"/>
      <c r="SZX85" s="31"/>
      <c r="SZY85" s="31"/>
      <c r="SZZ85" s="31"/>
      <c r="TAA85" s="31"/>
      <c r="TAB85" s="31"/>
      <c r="TAC85" s="31"/>
      <c r="TAD85" s="31"/>
      <c r="TAE85" s="31"/>
      <c r="TAF85" s="31"/>
      <c r="TAG85" s="31"/>
      <c r="TAH85" s="31"/>
      <c r="TAI85" s="31"/>
      <c r="TAJ85" s="31"/>
      <c r="TAK85" s="31"/>
      <c r="TAL85" s="31"/>
      <c r="TAM85" s="31"/>
      <c r="TAN85" s="31"/>
      <c r="TAO85" s="31"/>
      <c r="TAP85" s="31"/>
      <c r="TAQ85" s="31"/>
      <c r="TAR85" s="31"/>
      <c r="TAS85" s="31"/>
      <c r="TAT85" s="31"/>
      <c r="TAU85" s="31"/>
      <c r="TAV85" s="31"/>
      <c r="TAW85" s="31"/>
      <c r="TAX85" s="31"/>
      <c r="TAY85" s="31"/>
      <c r="TAZ85" s="31"/>
      <c r="TBA85" s="31"/>
      <c r="TBB85" s="31"/>
      <c r="TBC85" s="31"/>
      <c r="TBD85" s="31"/>
      <c r="TBE85" s="31"/>
      <c r="TBF85" s="31"/>
      <c r="TBG85" s="31"/>
      <c r="TBH85" s="31"/>
      <c r="TBI85" s="31"/>
      <c r="TBJ85" s="31"/>
      <c r="TBK85" s="31"/>
      <c r="TBL85" s="31"/>
      <c r="TBM85" s="31"/>
      <c r="TBN85" s="31"/>
      <c r="TBO85" s="31"/>
      <c r="TBP85" s="31"/>
      <c r="TBQ85" s="31"/>
      <c r="TBR85" s="31"/>
      <c r="TBS85" s="31"/>
      <c r="TBT85" s="31"/>
      <c r="TBU85" s="31"/>
      <c r="TBV85" s="31"/>
      <c r="TBW85" s="31"/>
      <c r="TBX85" s="31"/>
      <c r="TBY85" s="31"/>
      <c r="TBZ85" s="31"/>
      <c r="TCA85" s="31"/>
      <c r="TCB85" s="31"/>
      <c r="TCC85" s="31"/>
      <c r="TCD85" s="31"/>
      <c r="TCE85" s="31"/>
      <c r="TCF85" s="31"/>
      <c r="TCG85" s="31"/>
      <c r="TCH85" s="31"/>
      <c r="TCI85" s="31"/>
      <c r="TCJ85" s="31"/>
      <c r="TCK85" s="31"/>
      <c r="TCL85" s="31"/>
      <c r="TCM85" s="31"/>
      <c r="TCN85" s="31"/>
      <c r="TCO85" s="31"/>
      <c r="TCP85" s="31"/>
      <c r="TCQ85" s="31"/>
      <c r="TCR85" s="31"/>
      <c r="TCS85" s="31"/>
      <c r="TCT85" s="31"/>
      <c r="TCU85" s="31"/>
      <c r="TCV85" s="31"/>
      <c r="TCW85" s="31"/>
      <c r="TCX85" s="31"/>
      <c r="TCY85" s="31"/>
      <c r="TCZ85" s="31"/>
      <c r="TDA85" s="31"/>
      <c r="TDB85" s="31"/>
      <c r="TDC85" s="31"/>
      <c r="TDD85" s="31"/>
      <c r="TDE85" s="31"/>
      <c r="TDF85" s="31"/>
      <c r="TDG85" s="31"/>
      <c r="TDH85" s="31"/>
      <c r="TDI85" s="31"/>
      <c r="TDJ85" s="31"/>
      <c r="TDK85" s="31"/>
      <c r="TDL85" s="31"/>
      <c r="TDM85" s="31"/>
      <c r="TDN85" s="31"/>
      <c r="TDO85" s="31"/>
      <c r="TDP85" s="31"/>
      <c r="TDQ85" s="31"/>
      <c r="TDR85" s="31"/>
      <c r="TDS85" s="31"/>
      <c r="TDT85" s="31"/>
      <c r="TDU85" s="31"/>
      <c r="TDV85" s="31"/>
      <c r="TDW85" s="31"/>
      <c r="TDX85" s="31"/>
      <c r="TDY85" s="31"/>
      <c r="TDZ85" s="31"/>
      <c r="TEA85" s="31"/>
      <c r="TEB85" s="31"/>
      <c r="TEC85" s="31"/>
      <c r="TED85" s="31"/>
      <c r="TEE85" s="31"/>
      <c r="TEF85" s="31"/>
      <c r="TEG85" s="31"/>
      <c r="TEH85" s="31"/>
      <c r="TEI85" s="31"/>
      <c r="TEJ85" s="31"/>
      <c r="TEK85" s="31"/>
      <c r="TEL85" s="31"/>
      <c r="TEM85" s="31"/>
      <c r="TEN85" s="31"/>
      <c r="TEO85" s="31"/>
      <c r="TEP85" s="31"/>
      <c r="TEQ85" s="31"/>
      <c r="TER85" s="31"/>
      <c r="TES85" s="31"/>
      <c r="TET85" s="31"/>
      <c r="TEU85" s="31"/>
      <c r="TEV85" s="31"/>
      <c r="TEW85" s="31"/>
      <c r="TEX85" s="31"/>
      <c r="TEY85" s="31"/>
      <c r="TEZ85" s="31"/>
      <c r="TFA85" s="31"/>
      <c r="TFB85" s="31"/>
      <c r="TFC85" s="31"/>
      <c r="TFD85" s="31"/>
      <c r="TFE85" s="31"/>
      <c r="TFF85" s="31"/>
      <c r="TFG85" s="31"/>
      <c r="TFH85" s="31"/>
      <c r="TFI85" s="31"/>
      <c r="TFJ85" s="31"/>
      <c r="TFK85" s="31"/>
      <c r="TFL85" s="31"/>
      <c r="TFM85" s="31"/>
      <c r="TFN85" s="31"/>
      <c r="TFO85" s="31"/>
      <c r="TFP85" s="31"/>
      <c r="TFQ85" s="31"/>
      <c r="TFR85" s="31"/>
      <c r="TFS85" s="31"/>
      <c r="TFT85" s="31"/>
      <c r="TFU85" s="31"/>
      <c r="TFV85" s="31"/>
      <c r="TFW85" s="31"/>
      <c r="TFX85" s="31"/>
      <c r="TFY85" s="31"/>
      <c r="TFZ85" s="31"/>
      <c r="TGA85" s="31"/>
      <c r="TGB85" s="31"/>
      <c r="TGC85" s="31"/>
      <c r="TGD85" s="31"/>
      <c r="TGE85" s="31"/>
      <c r="TGF85" s="31"/>
      <c r="TGG85" s="31"/>
      <c r="TGH85" s="31"/>
      <c r="TGI85" s="31"/>
      <c r="TGJ85" s="31"/>
      <c r="TGK85" s="31"/>
      <c r="TGL85" s="31"/>
      <c r="TGM85" s="31"/>
      <c r="TGN85" s="31"/>
      <c r="TGO85" s="31"/>
      <c r="TGP85" s="31"/>
      <c r="TGQ85" s="31"/>
      <c r="TGR85" s="31"/>
      <c r="TGS85" s="31"/>
      <c r="TGT85" s="31"/>
      <c r="TGU85" s="31"/>
      <c r="TGV85" s="31"/>
      <c r="TGW85" s="31"/>
      <c r="TGX85" s="31"/>
      <c r="TGY85" s="31"/>
      <c r="TGZ85" s="31"/>
      <c r="THA85" s="31"/>
      <c r="THB85" s="31"/>
      <c r="THC85" s="31"/>
      <c r="THD85" s="31"/>
      <c r="THE85" s="31"/>
      <c r="THF85" s="31"/>
      <c r="THG85" s="31"/>
      <c r="THH85" s="31"/>
      <c r="THI85" s="31"/>
      <c r="THJ85" s="31"/>
      <c r="THK85" s="31"/>
      <c r="THL85" s="31"/>
      <c r="THM85" s="31"/>
      <c r="THN85" s="31"/>
      <c r="THO85" s="31"/>
      <c r="THP85" s="31"/>
      <c r="THQ85" s="31"/>
      <c r="THR85" s="31"/>
      <c r="THS85" s="31"/>
      <c r="THT85" s="31"/>
      <c r="THU85" s="31"/>
      <c r="THV85" s="31"/>
      <c r="THW85" s="31"/>
      <c r="THX85" s="31"/>
      <c r="THY85" s="31"/>
      <c r="THZ85" s="31"/>
      <c r="TIA85" s="31"/>
      <c r="TIB85" s="31"/>
      <c r="TIC85" s="31"/>
      <c r="TID85" s="31"/>
      <c r="TIE85" s="31"/>
      <c r="TIF85" s="31"/>
      <c r="TIG85" s="31"/>
      <c r="TIH85" s="31"/>
      <c r="TII85" s="31"/>
      <c r="TIJ85" s="31"/>
      <c r="TIK85" s="31"/>
      <c r="TIL85" s="31"/>
      <c r="TIM85" s="31"/>
      <c r="TIN85" s="31"/>
      <c r="TIO85" s="31"/>
      <c r="TIP85" s="31"/>
      <c r="TIQ85" s="31"/>
      <c r="TIR85" s="31"/>
      <c r="TIS85" s="31"/>
      <c r="TIT85" s="31"/>
      <c r="TIU85" s="31"/>
      <c r="TIV85" s="31"/>
      <c r="TIW85" s="31"/>
      <c r="TIX85" s="31"/>
      <c r="TIY85" s="31"/>
      <c r="TIZ85" s="31"/>
      <c r="TJA85" s="31"/>
      <c r="TJB85" s="31"/>
      <c r="TJC85" s="31"/>
      <c r="TJD85" s="31"/>
      <c r="TJE85" s="31"/>
      <c r="TJF85" s="31"/>
      <c r="TJG85" s="31"/>
      <c r="TJH85" s="31"/>
      <c r="TJI85" s="31"/>
      <c r="TJJ85" s="31"/>
      <c r="TJK85" s="31"/>
      <c r="TJL85" s="31"/>
      <c r="TJM85" s="31"/>
      <c r="TJN85" s="31"/>
      <c r="TJO85" s="31"/>
      <c r="TJP85" s="31"/>
      <c r="TJQ85" s="31"/>
      <c r="TJR85" s="31"/>
      <c r="TJS85" s="31"/>
      <c r="TJT85" s="31"/>
      <c r="TJU85" s="31"/>
      <c r="TJV85" s="31"/>
      <c r="TJW85" s="31"/>
      <c r="TJX85" s="31"/>
      <c r="TJY85" s="31"/>
      <c r="TJZ85" s="31"/>
      <c r="TKA85" s="31"/>
      <c r="TKB85" s="31"/>
      <c r="TKC85" s="31"/>
      <c r="TKD85" s="31"/>
      <c r="TKE85" s="31"/>
      <c r="TKF85" s="31"/>
      <c r="TKG85" s="31"/>
      <c r="TKH85" s="31"/>
      <c r="TKI85" s="31"/>
      <c r="TKJ85" s="31"/>
      <c r="TKK85" s="31"/>
      <c r="TKL85" s="31"/>
      <c r="TKM85" s="31"/>
      <c r="TKN85" s="31"/>
      <c r="TKO85" s="31"/>
      <c r="TKP85" s="31"/>
      <c r="TKQ85" s="31"/>
      <c r="TKR85" s="31"/>
      <c r="TKS85" s="31"/>
      <c r="TKT85" s="31"/>
      <c r="TKU85" s="31"/>
      <c r="TKV85" s="31"/>
      <c r="TKW85" s="31"/>
      <c r="TKX85" s="31"/>
      <c r="TKY85" s="31"/>
      <c r="TKZ85" s="31"/>
      <c r="TLA85" s="31"/>
      <c r="TLB85" s="31"/>
      <c r="TLC85" s="31"/>
      <c r="TLD85" s="31"/>
      <c r="TLE85" s="31"/>
      <c r="TLF85" s="31"/>
      <c r="TLG85" s="31"/>
      <c r="TLH85" s="31"/>
      <c r="TLI85" s="31"/>
      <c r="TLJ85" s="31"/>
      <c r="TLK85" s="31"/>
      <c r="TLL85" s="31"/>
      <c r="TLM85" s="31"/>
      <c r="TLN85" s="31"/>
      <c r="TLO85" s="31"/>
      <c r="TLP85" s="31"/>
      <c r="TLQ85" s="31"/>
      <c r="TLR85" s="31"/>
      <c r="TLS85" s="31"/>
      <c r="TLT85" s="31"/>
      <c r="TLU85" s="31"/>
      <c r="TLV85" s="31"/>
      <c r="TLW85" s="31"/>
      <c r="TLX85" s="31"/>
      <c r="TLY85" s="31"/>
      <c r="TLZ85" s="31"/>
      <c r="TMA85" s="31"/>
      <c r="TMB85" s="31"/>
      <c r="TMC85" s="31"/>
      <c r="TMD85" s="31"/>
      <c r="TME85" s="31"/>
      <c r="TMF85" s="31"/>
      <c r="TMG85" s="31"/>
      <c r="TMH85" s="31"/>
      <c r="TMI85" s="31"/>
      <c r="TMJ85" s="31"/>
      <c r="TMK85" s="31"/>
      <c r="TML85" s="31"/>
      <c r="TMM85" s="31"/>
      <c r="TMN85" s="31"/>
      <c r="TMO85" s="31"/>
      <c r="TMP85" s="31"/>
      <c r="TMQ85" s="31"/>
      <c r="TMR85" s="31"/>
      <c r="TMS85" s="31"/>
      <c r="TMT85" s="31"/>
      <c r="TMU85" s="31"/>
      <c r="TMV85" s="31"/>
      <c r="TMW85" s="31"/>
      <c r="TMX85" s="31"/>
      <c r="TMY85" s="31"/>
      <c r="TMZ85" s="31"/>
      <c r="TNA85" s="31"/>
      <c r="TNB85" s="31"/>
      <c r="TNC85" s="31"/>
      <c r="TND85" s="31"/>
      <c r="TNE85" s="31"/>
      <c r="TNF85" s="31"/>
      <c r="TNG85" s="31"/>
      <c r="TNH85" s="31"/>
      <c r="TNI85" s="31"/>
      <c r="TNJ85" s="31"/>
      <c r="TNK85" s="31"/>
      <c r="TNL85" s="31"/>
      <c r="TNM85" s="31"/>
      <c r="TNN85" s="31"/>
      <c r="TNO85" s="31"/>
      <c r="TNP85" s="31"/>
      <c r="TNQ85" s="31"/>
      <c r="TNR85" s="31"/>
      <c r="TNS85" s="31"/>
      <c r="TNT85" s="31"/>
      <c r="TNU85" s="31"/>
      <c r="TNV85" s="31"/>
      <c r="TNW85" s="31"/>
      <c r="TNX85" s="31"/>
      <c r="TNY85" s="31"/>
      <c r="TNZ85" s="31"/>
      <c r="TOA85" s="31"/>
      <c r="TOB85" s="31"/>
      <c r="TOC85" s="31"/>
      <c r="TOD85" s="31"/>
      <c r="TOE85" s="31"/>
      <c r="TOF85" s="31"/>
      <c r="TOG85" s="31"/>
      <c r="TOH85" s="31"/>
      <c r="TOI85" s="31"/>
      <c r="TOJ85" s="31"/>
      <c r="TOK85" s="31"/>
      <c r="TOL85" s="31"/>
      <c r="TOM85" s="31"/>
      <c r="TON85" s="31"/>
      <c r="TOO85" s="31"/>
      <c r="TOP85" s="31"/>
      <c r="TOQ85" s="31"/>
      <c r="TOR85" s="31"/>
      <c r="TOS85" s="31"/>
      <c r="TOT85" s="31"/>
      <c r="TOU85" s="31"/>
      <c r="TOV85" s="31"/>
      <c r="TOW85" s="31"/>
      <c r="TOX85" s="31"/>
      <c r="TOY85" s="31"/>
      <c r="TOZ85" s="31"/>
      <c r="TPA85" s="31"/>
      <c r="TPB85" s="31"/>
      <c r="TPC85" s="31"/>
      <c r="TPD85" s="31"/>
      <c r="TPE85" s="31"/>
      <c r="TPF85" s="31"/>
      <c r="TPG85" s="31"/>
      <c r="TPH85" s="31"/>
      <c r="TPI85" s="31"/>
      <c r="TPJ85" s="31"/>
      <c r="TPK85" s="31"/>
      <c r="TPL85" s="31"/>
      <c r="TPM85" s="31"/>
      <c r="TPN85" s="31"/>
      <c r="TPO85" s="31"/>
      <c r="TPP85" s="31"/>
      <c r="TPQ85" s="31"/>
      <c r="TPR85" s="31"/>
      <c r="TPS85" s="31"/>
      <c r="TPT85" s="31"/>
      <c r="TPU85" s="31"/>
      <c r="TPV85" s="31"/>
      <c r="TPW85" s="31"/>
      <c r="TPX85" s="31"/>
      <c r="TPY85" s="31"/>
      <c r="TPZ85" s="31"/>
      <c r="TQA85" s="31"/>
      <c r="TQB85" s="31"/>
      <c r="TQC85" s="31"/>
      <c r="TQD85" s="31"/>
      <c r="TQE85" s="31"/>
      <c r="TQF85" s="31"/>
      <c r="TQG85" s="31"/>
      <c r="TQH85" s="31"/>
      <c r="TQI85" s="31"/>
      <c r="TQJ85" s="31"/>
      <c r="TQK85" s="31"/>
      <c r="TQL85" s="31"/>
      <c r="TQM85" s="31"/>
      <c r="TQN85" s="31"/>
      <c r="TQO85" s="31"/>
      <c r="TQP85" s="31"/>
      <c r="TQQ85" s="31"/>
      <c r="TQR85" s="31"/>
      <c r="TQS85" s="31"/>
      <c r="TQT85" s="31"/>
      <c r="TQU85" s="31"/>
      <c r="TQV85" s="31"/>
      <c r="TQW85" s="31"/>
      <c r="TQX85" s="31"/>
      <c r="TQY85" s="31"/>
      <c r="TQZ85" s="31"/>
      <c r="TRA85" s="31"/>
      <c r="TRB85" s="31"/>
      <c r="TRC85" s="31"/>
      <c r="TRD85" s="31"/>
      <c r="TRE85" s="31"/>
      <c r="TRF85" s="31"/>
      <c r="TRG85" s="31"/>
      <c r="TRH85" s="31"/>
      <c r="TRI85" s="31"/>
      <c r="TRJ85" s="31"/>
      <c r="TRK85" s="31"/>
      <c r="TRL85" s="31"/>
      <c r="TRM85" s="31"/>
      <c r="TRN85" s="31"/>
      <c r="TRO85" s="31"/>
      <c r="TRP85" s="31"/>
      <c r="TRQ85" s="31"/>
      <c r="TRR85" s="31"/>
      <c r="TRS85" s="31"/>
      <c r="TRT85" s="31"/>
      <c r="TRU85" s="31"/>
      <c r="TRV85" s="31"/>
      <c r="TRW85" s="31"/>
      <c r="TRX85" s="31"/>
      <c r="TRY85" s="31"/>
      <c r="TRZ85" s="31"/>
      <c r="TSA85" s="31"/>
      <c r="TSB85" s="31"/>
      <c r="TSC85" s="31"/>
      <c r="TSD85" s="31"/>
      <c r="TSE85" s="31"/>
      <c r="TSF85" s="31"/>
      <c r="TSG85" s="31"/>
      <c r="TSH85" s="31"/>
      <c r="TSI85" s="31"/>
      <c r="TSJ85" s="31"/>
      <c r="TSK85" s="31"/>
      <c r="TSL85" s="31"/>
      <c r="TSM85" s="31"/>
      <c r="TSN85" s="31"/>
      <c r="TSO85" s="31"/>
      <c r="TSP85" s="31"/>
      <c r="TSQ85" s="31"/>
      <c r="TSR85" s="31"/>
      <c r="TSS85" s="31"/>
      <c r="TST85" s="31"/>
      <c r="TSU85" s="31"/>
      <c r="TSV85" s="31"/>
      <c r="TSW85" s="31"/>
      <c r="TSX85" s="31"/>
      <c r="TSY85" s="31"/>
      <c r="TSZ85" s="31"/>
      <c r="TTA85" s="31"/>
      <c r="TTB85" s="31"/>
      <c r="TTC85" s="31"/>
      <c r="TTD85" s="31"/>
      <c r="TTE85" s="31"/>
      <c r="TTF85" s="31"/>
      <c r="TTG85" s="31"/>
      <c r="TTH85" s="31"/>
      <c r="TTI85" s="31"/>
      <c r="TTJ85" s="31"/>
      <c r="TTK85" s="31"/>
      <c r="TTL85" s="31"/>
      <c r="TTM85" s="31"/>
      <c r="TTN85" s="31"/>
      <c r="TTO85" s="31"/>
      <c r="TTP85" s="31"/>
      <c r="TTQ85" s="31"/>
      <c r="TTR85" s="31"/>
      <c r="TTS85" s="31"/>
      <c r="TTT85" s="31"/>
      <c r="TTU85" s="31"/>
      <c r="TTV85" s="31"/>
      <c r="TTW85" s="31"/>
      <c r="TTX85" s="31"/>
      <c r="TTY85" s="31"/>
      <c r="TTZ85" s="31"/>
      <c r="TUA85" s="31"/>
      <c r="TUB85" s="31"/>
      <c r="TUC85" s="31"/>
      <c r="TUD85" s="31"/>
      <c r="TUE85" s="31"/>
      <c r="TUF85" s="31"/>
      <c r="TUG85" s="31"/>
      <c r="TUH85" s="31"/>
      <c r="TUI85" s="31"/>
      <c r="TUJ85" s="31"/>
      <c r="TUK85" s="31"/>
      <c r="TUL85" s="31"/>
      <c r="TUM85" s="31"/>
      <c r="TUN85" s="31"/>
      <c r="TUO85" s="31"/>
      <c r="TUP85" s="31"/>
      <c r="TUQ85" s="31"/>
      <c r="TUR85" s="31"/>
      <c r="TUS85" s="31"/>
      <c r="TUT85" s="31"/>
      <c r="TUU85" s="31"/>
      <c r="TUV85" s="31"/>
      <c r="TUW85" s="31"/>
      <c r="TUX85" s="31"/>
      <c r="TUY85" s="31"/>
      <c r="TUZ85" s="31"/>
      <c r="TVA85" s="31"/>
      <c r="TVB85" s="31"/>
      <c r="TVC85" s="31"/>
      <c r="TVD85" s="31"/>
      <c r="TVE85" s="31"/>
      <c r="TVF85" s="31"/>
      <c r="TVG85" s="31"/>
      <c r="TVH85" s="31"/>
      <c r="TVI85" s="31"/>
      <c r="TVJ85" s="31"/>
      <c r="TVK85" s="31"/>
      <c r="TVL85" s="31"/>
      <c r="TVM85" s="31"/>
      <c r="TVN85" s="31"/>
      <c r="TVO85" s="31"/>
      <c r="TVP85" s="31"/>
      <c r="TVQ85" s="31"/>
      <c r="TVR85" s="31"/>
      <c r="TVS85" s="31"/>
      <c r="TVT85" s="31"/>
      <c r="TVU85" s="31"/>
      <c r="TVV85" s="31"/>
      <c r="TVW85" s="31"/>
      <c r="TVX85" s="31"/>
      <c r="TVY85" s="31"/>
      <c r="TVZ85" s="31"/>
      <c r="TWA85" s="31"/>
      <c r="TWB85" s="31"/>
      <c r="TWC85" s="31"/>
      <c r="TWD85" s="31"/>
      <c r="TWE85" s="31"/>
      <c r="TWF85" s="31"/>
      <c r="TWG85" s="31"/>
      <c r="TWH85" s="31"/>
      <c r="TWI85" s="31"/>
      <c r="TWJ85" s="31"/>
      <c r="TWK85" s="31"/>
      <c r="TWL85" s="31"/>
      <c r="TWM85" s="31"/>
      <c r="TWN85" s="31"/>
      <c r="TWO85" s="31"/>
      <c r="TWP85" s="31"/>
      <c r="TWQ85" s="31"/>
      <c r="TWR85" s="31"/>
      <c r="TWS85" s="31"/>
      <c r="TWT85" s="31"/>
      <c r="TWU85" s="31"/>
      <c r="TWV85" s="31"/>
      <c r="TWW85" s="31"/>
      <c r="TWX85" s="31"/>
      <c r="TWY85" s="31"/>
      <c r="TWZ85" s="31"/>
      <c r="TXA85" s="31"/>
      <c r="TXB85" s="31"/>
      <c r="TXC85" s="31"/>
      <c r="TXD85" s="31"/>
      <c r="TXE85" s="31"/>
      <c r="TXF85" s="31"/>
      <c r="TXG85" s="31"/>
      <c r="TXH85" s="31"/>
      <c r="TXI85" s="31"/>
      <c r="TXJ85" s="31"/>
      <c r="TXK85" s="31"/>
      <c r="TXL85" s="31"/>
      <c r="TXM85" s="31"/>
      <c r="TXN85" s="31"/>
      <c r="TXO85" s="31"/>
      <c r="TXP85" s="31"/>
      <c r="TXQ85" s="31"/>
      <c r="TXR85" s="31"/>
      <c r="TXS85" s="31"/>
      <c r="TXT85" s="31"/>
      <c r="TXU85" s="31"/>
      <c r="TXV85" s="31"/>
      <c r="TXW85" s="31"/>
      <c r="TXX85" s="31"/>
      <c r="TXY85" s="31"/>
      <c r="TXZ85" s="31"/>
      <c r="TYA85" s="31"/>
      <c r="TYB85" s="31"/>
      <c r="TYC85" s="31"/>
      <c r="TYD85" s="31"/>
      <c r="TYE85" s="31"/>
      <c r="TYF85" s="31"/>
      <c r="TYG85" s="31"/>
      <c r="TYH85" s="31"/>
      <c r="TYI85" s="31"/>
      <c r="TYJ85" s="31"/>
      <c r="TYK85" s="31"/>
      <c r="TYL85" s="31"/>
      <c r="TYM85" s="31"/>
      <c r="TYN85" s="31"/>
      <c r="TYO85" s="31"/>
      <c r="TYP85" s="31"/>
      <c r="TYQ85" s="31"/>
      <c r="TYR85" s="31"/>
      <c r="TYS85" s="31"/>
      <c r="TYT85" s="31"/>
      <c r="TYU85" s="31"/>
      <c r="TYV85" s="31"/>
      <c r="TYW85" s="31"/>
      <c r="TYX85" s="31"/>
      <c r="TYY85" s="31"/>
      <c r="TYZ85" s="31"/>
      <c r="TZA85" s="31"/>
      <c r="TZB85" s="31"/>
      <c r="TZC85" s="31"/>
      <c r="TZD85" s="31"/>
      <c r="TZE85" s="31"/>
      <c r="TZF85" s="31"/>
      <c r="TZG85" s="31"/>
      <c r="TZH85" s="31"/>
      <c r="TZI85" s="31"/>
      <c r="TZJ85" s="31"/>
      <c r="TZK85" s="31"/>
      <c r="TZL85" s="31"/>
      <c r="TZM85" s="31"/>
      <c r="TZN85" s="31"/>
      <c r="TZO85" s="31"/>
      <c r="TZP85" s="31"/>
      <c r="TZQ85" s="31"/>
      <c r="TZR85" s="31"/>
      <c r="TZS85" s="31"/>
      <c r="TZT85" s="31"/>
      <c r="TZU85" s="31"/>
      <c r="TZV85" s="31"/>
      <c r="TZW85" s="31"/>
      <c r="TZX85" s="31"/>
      <c r="TZY85" s="31"/>
      <c r="TZZ85" s="31"/>
      <c r="UAA85" s="31"/>
      <c r="UAB85" s="31"/>
      <c r="UAC85" s="31"/>
      <c r="UAD85" s="31"/>
      <c r="UAE85" s="31"/>
      <c r="UAF85" s="31"/>
      <c r="UAG85" s="31"/>
      <c r="UAH85" s="31"/>
      <c r="UAI85" s="31"/>
      <c r="UAJ85" s="31"/>
      <c r="UAK85" s="31"/>
      <c r="UAL85" s="31"/>
      <c r="UAM85" s="31"/>
      <c r="UAN85" s="31"/>
      <c r="UAO85" s="31"/>
      <c r="UAP85" s="31"/>
      <c r="UAQ85" s="31"/>
      <c r="UAR85" s="31"/>
      <c r="UAS85" s="31"/>
      <c r="UAT85" s="31"/>
      <c r="UAU85" s="31"/>
      <c r="UAV85" s="31"/>
      <c r="UAW85" s="31"/>
      <c r="UAX85" s="31"/>
      <c r="UAY85" s="31"/>
      <c r="UAZ85" s="31"/>
      <c r="UBA85" s="31"/>
      <c r="UBB85" s="31"/>
      <c r="UBC85" s="31"/>
      <c r="UBD85" s="31"/>
      <c r="UBE85" s="31"/>
      <c r="UBF85" s="31"/>
      <c r="UBG85" s="31"/>
      <c r="UBH85" s="31"/>
      <c r="UBI85" s="31"/>
      <c r="UBJ85" s="31"/>
      <c r="UBK85" s="31"/>
      <c r="UBL85" s="31"/>
      <c r="UBM85" s="31"/>
      <c r="UBN85" s="31"/>
      <c r="UBO85" s="31"/>
      <c r="UBP85" s="31"/>
      <c r="UBQ85" s="31"/>
      <c r="UBR85" s="31"/>
      <c r="UBS85" s="31"/>
      <c r="UBT85" s="31"/>
      <c r="UBU85" s="31"/>
      <c r="UBV85" s="31"/>
      <c r="UBW85" s="31"/>
      <c r="UBX85" s="31"/>
      <c r="UBY85" s="31"/>
      <c r="UBZ85" s="31"/>
      <c r="UCA85" s="31"/>
      <c r="UCB85" s="31"/>
      <c r="UCC85" s="31"/>
      <c r="UCD85" s="31"/>
      <c r="UCE85" s="31"/>
      <c r="UCF85" s="31"/>
      <c r="UCG85" s="31"/>
      <c r="UCH85" s="31"/>
      <c r="UCI85" s="31"/>
      <c r="UCJ85" s="31"/>
      <c r="UCK85" s="31"/>
      <c r="UCL85" s="31"/>
      <c r="UCM85" s="31"/>
      <c r="UCN85" s="31"/>
      <c r="UCO85" s="31"/>
      <c r="UCP85" s="31"/>
      <c r="UCQ85" s="31"/>
      <c r="UCR85" s="31"/>
      <c r="UCS85" s="31"/>
      <c r="UCT85" s="31"/>
      <c r="UCU85" s="31"/>
      <c r="UCV85" s="31"/>
      <c r="UCW85" s="31"/>
      <c r="UCX85" s="31"/>
      <c r="UCY85" s="31"/>
      <c r="UCZ85" s="31"/>
      <c r="UDA85" s="31"/>
      <c r="UDB85" s="31"/>
      <c r="UDC85" s="31"/>
      <c r="UDD85" s="31"/>
      <c r="UDE85" s="31"/>
      <c r="UDF85" s="31"/>
      <c r="UDG85" s="31"/>
      <c r="UDH85" s="31"/>
      <c r="UDI85" s="31"/>
      <c r="UDJ85" s="31"/>
      <c r="UDK85" s="31"/>
      <c r="UDL85" s="31"/>
      <c r="UDM85" s="31"/>
      <c r="UDN85" s="31"/>
      <c r="UDO85" s="31"/>
      <c r="UDP85" s="31"/>
      <c r="UDQ85" s="31"/>
      <c r="UDR85" s="31"/>
      <c r="UDS85" s="31"/>
      <c r="UDT85" s="31"/>
      <c r="UDU85" s="31"/>
      <c r="UDV85" s="31"/>
      <c r="UDW85" s="31"/>
      <c r="UDX85" s="31"/>
      <c r="UDY85" s="31"/>
      <c r="UDZ85" s="31"/>
      <c r="UEA85" s="31"/>
      <c r="UEB85" s="31"/>
      <c r="UEC85" s="31"/>
      <c r="UED85" s="31"/>
      <c r="UEE85" s="31"/>
      <c r="UEF85" s="31"/>
      <c r="UEG85" s="31"/>
      <c r="UEH85" s="31"/>
      <c r="UEI85" s="31"/>
      <c r="UEJ85" s="31"/>
      <c r="UEK85" s="31"/>
      <c r="UEL85" s="31"/>
      <c r="UEM85" s="31"/>
      <c r="UEN85" s="31"/>
      <c r="UEO85" s="31"/>
      <c r="UEP85" s="31"/>
      <c r="UEQ85" s="31"/>
      <c r="UER85" s="31"/>
      <c r="UES85" s="31"/>
      <c r="UET85" s="31"/>
      <c r="UEU85" s="31"/>
      <c r="UEV85" s="31"/>
      <c r="UEW85" s="31"/>
      <c r="UEX85" s="31"/>
      <c r="UEY85" s="31"/>
      <c r="UEZ85" s="31"/>
      <c r="UFA85" s="31"/>
      <c r="UFB85" s="31"/>
      <c r="UFC85" s="31"/>
      <c r="UFD85" s="31"/>
      <c r="UFE85" s="31"/>
      <c r="UFF85" s="31"/>
      <c r="UFG85" s="31"/>
      <c r="UFH85" s="31"/>
      <c r="UFI85" s="31"/>
      <c r="UFJ85" s="31"/>
      <c r="UFK85" s="31"/>
      <c r="UFL85" s="31"/>
      <c r="UFM85" s="31"/>
      <c r="UFN85" s="31"/>
      <c r="UFO85" s="31"/>
      <c r="UFP85" s="31"/>
      <c r="UFQ85" s="31"/>
      <c r="UFR85" s="31"/>
      <c r="UFS85" s="31"/>
      <c r="UFT85" s="31"/>
      <c r="UFU85" s="31"/>
      <c r="UFV85" s="31"/>
      <c r="UFW85" s="31"/>
      <c r="UFX85" s="31"/>
      <c r="UFY85" s="31"/>
      <c r="UFZ85" s="31"/>
      <c r="UGA85" s="31"/>
      <c r="UGB85" s="31"/>
      <c r="UGC85" s="31"/>
      <c r="UGD85" s="31"/>
      <c r="UGE85" s="31"/>
      <c r="UGF85" s="31"/>
      <c r="UGG85" s="31"/>
      <c r="UGH85" s="31"/>
      <c r="UGI85" s="31"/>
      <c r="UGJ85" s="31"/>
      <c r="UGK85" s="31"/>
      <c r="UGL85" s="31"/>
      <c r="UGM85" s="31"/>
      <c r="UGN85" s="31"/>
      <c r="UGO85" s="31"/>
      <c r="UGP85" s="31"/>
      <c r="UGQ85" s="31"/>
      <c r="UGR85" s="31"/>
      <c r="UGS85" s="31"/>
      <c r="UGT85" s="31"/>
      <c r="UGU85" s="31"/>
      <c r="UGV85" s="31"/>
      <c r="UGW85" s="31"/>
      <c r="UGX85" s="31"/>
      <c r="UGY85" s="31"/>
      <c r="UGZ85" s="31"/>
      <c r="UHA85" s="31"/>
      <c r="UHB85" s="31"/>
      <c r="UHC85" s="31"/>
      <c r="UHD85" s="31"/>
      <c r="UHE85" s="31"/>
      <c r="UHF85" s="31"/>
      <c r="UHG85" s="31"/>
      <c r="UHH85" s="31"/>
      <c r="UHI85" s="31"/>
      <c r="UHJ85" s="31"/>
      <c r="UHK85" s="31"/>
      <c r="UHL85" s="31"/>
      <c r="UHM85" s="31"/>
      <c r="UHN85" s="31"/>
      <c r="UHO85" s="31"/>
      <c r="UHP85" s="31"/>
      <c r="UHQ85" s="31"/>
      <c r="UHR85" s="31"/>
      <c r="UHS85" s="31"/>
      <c r="UHT85" s="31"/>
      <c r="UHU85" s="31"/>
      <c r="UHV85" s="31"/>
      <c r="UHW85" s="31"/>
      <c r="UHX85" s="31"/>
      <c r="UHY85" s="31"/>
      <c r="UHZ85" s="31"/>
      <c r="UIA85" s="31"/>
      <c r="UIB85" s="31"/>
      <c r="UIC85" s="31"/>
      <c r="UID85" s="31"/>
      <c r="UIE85" s="31"/>
      <c r="UIF85" s="31"/>
      <c r="UIG85" s="31"/>
      <c r="UIH85" s="31"/>
      <c r="UII85" s="31"/>
      <c r="UIJ85" s="31"/>
      <c r="UIK85" s="31"/>
      <c r="UIL85" s="31"/>
      <c r="UIM85" s="31"/>
      <c r="UIN85" s="31"/>
      <c r="UIO85" s="31"/>
      <c r="UIP85" s="31"/>
      <c r="UIQ85" s="31"/>
      <c r="UIR85" s="31"/>
      <c r="UIS85" s="31"/>
      <c r="UIT85" s="31"/>
      <c r="UIU85" s="31"/>
      <c r="UIV85" s="31"/>
      <c r="UIW85" s="31"/>
      <c r="UIX85" s="31"/>
      <c r="UIY85" s="31"/>
      <c r="UIZ85" s="31"/>
      <c r="UJA85" s="31"/>
      <c r="UJB85" s="31"/>
      <c r="UJC85" s="31"/>
      <c r="UJD85" s="31"/>
      <c r="UJE85" s="31"/>
      <c r="UJF85" s="31"/>
      <c r="UJG85" s="31"/>
      <c r="UJH85" s="31"/>
      <c r="UJI85" s="31"/>
      <c r="UJJ85" s="31"/>
      <c r="UJK85" s="31"/>
      <c r="UJL85" s="31"/>
      <c r="UJM85" s="31"/>
      <c r="UJN85" s="31"/>
      <c r="UJO85" s="31"/>
      <c r="UJP85" s="31"/>
      <c r="UJQ85" s="31"/>
      <c r="UJR85" s="31"/>
      <c r="UJS85" s="31"/>
      <c r="UJT85" s="31"/>
      <c r="UJU85" s="31"/>
      <c r="UJV85" s="31"/>
      <c r="UJW85" s="31"/>
      <c r="UJX85" s="31"/>
      <c r="UJY85" s="31"/>
      <c r="UJZ85" s="31"/>
      <c r="UKA85" s="31"/>
      <c r="UKB85" s="31"/>
      <c r="UKC85" s="31"/>
      <c r="UKD85" s="31"/>
      <c r="UKE85" s="31"/>
      <c r="UKF85" s="31"/>
      <c r="UKG85" s="31"/>
      <c r="UKH85" s="31"/>
      <c r="UKI85" s="31"/>
      <c r="UKJ85" s="31"/>
      <c r="UKK85" s="31"/>
      <c r="UKL85" s="31"/>
      <c r="UKM85" s="31"/>
      <c r="UKN85" s="31"/>
      <c r="UKO85" s="31"/>
      <c r="UKP85" s="31"/>
      <c r="UKQ85" s="31"/>
      <c r="UKR85" s="31"/>
      <c r="UKS85" s="31"/>
      <c r="UKT85" s="31"/>
      <c r="UKU85" s="31"/>
      <c r="UKV85" s="31"/>
      <c r="UKW85" s="31"/>
      <c r="UKX85" s="31"/>
      <c r="UKY85" s="31"/>
      <c r="UKZ85" s="31"/>
      <c r="ULA85" s="31"/>
      <c r="ULB85" s="31"/>
      <c r="ULC85" s="31"/>
      <c r="ULD85" s="31"/>
      <c r="ULE85" s="31"/>
      <c r="ULF85" s="31"/>
      <c r="ULG85" s="31"/>
      <c r="ULH85" s="31"/>
      <c r="ULI85" s="31"/>
      <c r="ULJ85" s="31"/>
      <c r="ULK85" s="31"/>
      <c r="ULL85" s="31"/>
      <c r="ULM85" s="31"/>
      <c r="ULN85" s="31"/>
      <c r="ULO85" s="31"/>
      <c r="ULP85" s="31"/>
      <c r="ULQ85" s="31"/>
      <c r="ULR85" s="31"/>
      <c r="ULS85" s="31"/>
      <c r="ULT85" s="31"/>
      <c r="ULU85" s="31"/>
      <c r="ULV85" s="31"/>
      <c r="ULW85" s="31"/>
      <c r="ULX85" s="31"/>
      <c r="ULY85" s="31"/>
      <c r="ULZ85" s="31"/>
      <c r="UMA85" s="31"/>
      <c r="UMB85" s="31"/>
      <c r="UMC85" s="31"/>
      <c r="UMD85" s="31"/>
      <c r="UME85" s="31"/>
      <c r="UMF85" s="31"/>
      <c r="UMG85" s="31"/>
      <c r="UMH85" s="31"/>
      <c r="UMI85" s="31"/>
      <c r="UMJ85" s="31"/>
      <c r="UMK85" s="31"/>
      <c r="UML85" s="31"/>
      <c r="UMM85" s="31"/>
      <c r="UMN85" s="31"/>
      <c r="UMO85" s="31"/>
      <c r="UMP85" s="31"/>
      <c r="UMQ85" s="31"/>
      <c r="UMR85" s="31"/>
      <c r="UMS85" s="31"/>
      <c r="UMT85" s="31"/>
      <c r="UMU85" s="31"/>
      <c r="UMV85" s="31"/>
      <c r="UMW85" s="31"/>
      <c r="UMX85" s="31"/>
      <c r="UMY85" s="31"/>
      <c r="UMZ85" s="31"/>
      <c r="UNA85" s="31"/>
      <c r="UNB85" s="31"/>
      <c r="UNC85" s="31"/>
      <c r="UND85" s="31"/>
      <c r="UNE85" s="31"/>
      <c r="UNF85" s="31"/>
      <c r="UNG85" s="31"/>
      <c r="UNH85" s="31"/>
      <c r="UNI85" s="31"/>
      <c r="UNJ85" s="31"/>
      <c r="UNK85" s="31"/>
      <c r="UNL85" s="31"/>
      <c r="UNM85" s="31"/>
      <c r="UNN85" s="31"/>
      <c r="UNO85" s="31"/>
      <c r="UNP85" s="31"/>
      <c r="UNQ85" s="31"/>
      <c r="UNR85" s="31"/>
      <c r="UNS85" s="31"/>
      <c r="UNT85" s="31"/>
      <c r="UNU85" s="31"/>
      <c r="UNV85" s="31"/>
      <c r="UNW85" s="31"/>
      <c r="UNX85" s="31"/>
      <c r="UNY85" s="31"/>
      <c r="UNZ85" s="31"/>
      <c r="UOA85" s="31"/>
      <c r="UOB85" s="31"/>
      <c r="UOC85" s="31"/>
      <c r="UOD85" s="31"/>
      <c r="UOE85" s="31"/>
      <c r="UOF85" s="31"/>
      <c r="UOG85" s="31"/>
      <c r="UOH85" s="31"/>
      <c r="UOI85" s="31"/>
      <c r="UOJ85" s="31"/>
      <c r="UOK85" s="31"/>
      <c r="UOL85" s="31"/>
      <c r="UOM85" s="31"/>
      <c r="UON85" s="31"/>
      <c r="UOO85" s="31"/>
      <c r="UOP85" s="31"/>
      <c r="UOQ85" s="31"/>
      <c r="UOR85" s="31"/>
      <c r="UOS85" s="31"/>
      <c r="UOT85" s="31"/>
      <c r="UOU85" s="31"/>
      <c r="UOV85" s="31"/>
      <c r="UOW85" s="31"/>
      <c r="UOX85" s="31"/>
      <c r="UOY85" s="31"/>
      <c r="UOZ85" s="31"/>
      <c r="UPA85" s="31"/>
      <c r="UPB85" s="31"/>
      <c r="UPC85" s="31"/>
      <c r="UPD85" s="31"/>
      <c r="UPE85" s="31"/>
      <c r="UPF85" s="31"/>
      <c r="UPG85" s="31"/>
      <c r="UPH85" s="31"/>
      <c r="UPI85" s="31"/>
      <c r="UPJ85" s="31"/>
      <c r="UPK85" s="31"/>
      <c r="UPL85" s="31"/>
      <c r="UPM85" s="31"/>
      <c r="UPN85" s="31"/>
      <c r="UPO85" s="31"/>
      <c r="UPP85" s="31"/>
      <c r="UPQ85" s="31"/>
      <c r="UPR85" s="31"/>
      <c r="UPS85" s="31"/>
      <c r="UPT85" s="31"/>
      <c r="UPU85" s="31"/>
      <c r="UPV85" s="31"/>
      <c r="UPW85" s="31"/>
      <c r="UPX85" s="31"/>
      <c r="UPY85" s="31"/>
      <c r="UPZ85" s="31"/>
      <c r="UQA85" s="31"/>
      <c r="UQB85" s="31"/>
      <c r="UQC85" s="31"/>
      <c r="UQD85" s="31"/>
      <c r="UQE85" s="31"/>
      <c r="UQF85" s="31"/>
      <c r="UQG85" s="31"/>
      <c r="UQH85" s="31"/>
      <c r="UQI85" s="31"/>
      <c r="UQJ85" s="31"/>
      <c r="UQK85" s="31"/>
      <c r="UQL85" s="31"/>
      <c r="UQM85" s="31"/>
      <c r="UQN85" s="31"/>
      <c r="UQO85" s="31"/>
      <c r="UQP85" s="31"/>
      <c r="UQQ85" s="31"/>
      <c r="UQR85" s="31"/>
      <c r="UQS85" s="31"/>
      <c r="UQT85" s="31"/>
      <c r="UQU85" s="31"/>
      <c r="UQV85" s="31"/>
      <c r="UQW85" s="31"/>
      <c r="UQX85" s="31"/>
      <c r="UQY85" s="31"/>
      <c r="UQZ85" s="31"/>
      <c r="URA85" s="31"/>
      <c r="URB85" s="31"/>
      <c r="URC85" s="31"/>
      <c r="URD85" s="31"/>
      <c r="URE85" s="31"/>
      <c r="URF85" s="31"/>
      <c r="URG85" s="31"/>
      <c r="URH85" s="31"/>
      <c r="URI85" s="31"/>
      <c r="URJ85" s="31"/>
      <c r="URK85" s="31"/>
      <c r="URL85" s="31"/>
      <c r="URM85" s="31"/>
      <c r="URN85" s="31"/>
      <c r="URO85" s="31"/>
      <c r="URP85" s="31"/>
      <c r="URQ85" s="31"/>
      <c r="URR85" s="31"/>
      <c r="URS85" s="31"/>
      <c r="URT85" s="31"/>
      <c r="URU85" s="31"/>
      <c r="URV85" s="31"/>
      <c r="URW85" s="31"/>
      <c r="URX85" s="31"/>
      <c r="URY85" s="31"/>
      <c r="URZ85" s="31"/>
      <c r="USA85" s="31"/>
      <c r="USB85" s="31"/>
      <c r="USC85" s="31"/>
      <c r="USD85" s="31"/>
      <c r="USE85" s="31"/>
      <c r="USF85" s="31"/>
      <c r="USG85" s="31"/>
      <c r="USH85" s="31"/>
      <c r="USI85" s="31"/>
      <c r="USJ85" s="31"/>
      <c r="USK85" s="31"/>
      <c r="USL85" s="31"/>
      <c r="USM85" s="31"/>
      <c r="USN85" s="31"/>
      <c r="USO85" s="31"/>
      <c r="USP85" s="31"/>
      <c r="USQ85" s="31"/>
      <c r="USR85" s="31"/>
      <c r="USS85" s="31"/>
      <c r="UST85" s="31"/>
      <c r="USU85" s="31"/>
      <c r="USV85" s="31"/>
      <c r="USW85" s="31"/>
      <c r="USX85" s="31"/>
      <c r="USY85" s="31"/>
      <c r="USZ85" s="31"/>
      <c r="UTA85" s="31"/>
      <c r="UTB85" s="31"/>
      <c r="UTC85" s="31"/>
      <c r="UTD85" s="31"/>
      <c r="UTE85" s="31"/>
      <c r="UTF85" s="31"/>
      <c r="UTG85" s="31"/>
      <c r="UTH85" s="31"/>
      <c r="UTI85" s="31"/>
      <c r="UTJ85" s="31"/>
      <c r="UTK85" s="31"/>
      <c r="UTL85" s="31"/>
      <c r="UTM85" s="31"/>
      <c r="UTN85" s="31"/>
      <c r="UTO85" s="31"/>
      <c r="UTP85" s="31"/>
      <c r="UTQ85" s="31"/>
      <c r="UTR85" s="31"/>
      <c r="UTS85" s="31"/>
      <c r="UTT85" s="31"/>
      <c r="UTU85" s="31"/>
      <c r="UTV85" s="31"/>
      <c r="UTW85" s="31"/>
      <c r="UTX85" s="31"/>
      <c r="UTY85" s="31"/>
      <c r="UTZ85" s="31"/>
      <c r="UUA85" s="31"/>
      <c r="UUB85" s="31"/>
      <c r="UUC85" s="31"/>
      <c r="UUD85" s="31"/>
      <c r="UUE85" s="31"/>
      <c r="UUF85" s="31"/>
      <c r="UUG85" s="31"/>
      <c r="UUH85" s="31"/>
      <c r="UUI85" s="31"/>
      <c r="UUJ85" s="31"/>
      <c r="UUK85" s="31"/>
      <c r="UUL85" s="31"/>
      <c r="UUM85" s="31"/>
      <c r="UUN85" s="31"/>
      <c r="UUO85" s="31"/>
      <c r="UUP85" s="31"/>
      <c r="UUQ85" s="31"/>
      <c r="UUR85" s="31"/>
      <c r="UUS85" s="31"/>
      <c r="UUT85" s="31"/>
      <c r="UUU85" s="31"/>
      <c r="UUV85" s="31"/>
      <c r="UUW85" s="31"/>
      <c r="UUX85" s="31"/>
      <c r="UUY85" s="31"/>
      <c r="UUZ85" s="31"/>
      <c r="UVA85" s="31"/>
      <c r="UVB85" s="31"/>
      <c r="UVC85" s="31"/>
      <c r="UVD85" s="31"/>
      <c r="UVE85" s="31"/>
      <c r="UVF85" s="31"/>
      <c r="UVG85" s="31"/>
      <c r="UVH85" s="31"/>
      <c r="UVI85" s="31"/>
      <c r="UVJ85" s="31"/>
      <c r="UVK85" s="31"/>
      <c r="UVL85" s="31"/>
      <c r="UVM85" s="31"/>
      <c r="UVN85" s="31"/>
      <c r="UVO85" s="31"/>
      <c r="UVP85" s="31"/>
      <c r="UVQ85" s="31"/>
      <c r="UVR85" s="31"/>
      <c r="UVS85" s="31"/>
      <c r="UVT85" s="31"/>
      <c r="UVU85" s="31"/>
      <c r="UVV85" s="31"/>
      <c r="UVW85" s="31"/>
      <c r="UVX85" s="31"/>
      <c r="UVY85" s="31"/>
      <c r="UVZ85" s="31"/>
      <c r="UWA85" s="31"/>
      <c r="UWB85" s="31"/>
      <c r="UWC85" s="31"/>
      <c r="UWD85" s="31"/>
      <c r="UWE85" s="31"/>
      <c r="UWF85" s="31"/>
      <c r="UWG85" s="31"/>
      <c r="UWH85" s="31"/>
      <c r="UWI85" s="31"/>
      <c r="UWJ85" s="31"/>
      <c r="UWK85" s="31"/>
      <c r="UWL85" s="31"/>
      <c r="UWM85" s="31"/>
      <c r="UWN85" s="31"/>
      <c r="UWO85" s="31"/>
      <c r="UWP85" s="31"/>
      <c r="UWQ85" s="31"/>
      <c r="UWR85" s="31"/>
      <c r="UWS85" s="31"/>
      <c r="UWT85" s="31"/>
      <c r="UWU85" s="31"/>
      <c r="UWV85" s="31"/>
      <c r="UWW85" s="31"/>
      <c r="UWX85" s="31"/>
      <c r="UWY85" s="31"/>
      <c r="UWZ85" s="31"/>
      <c r="UXA85" s="31"/>
      <c r="UXB85" s="31"/>
      <c r="UXC85" s="31"/>
      <c r="UXD85" s="31"/>
      <c r="UXE85" s="31"/>
      <c r="UXF85" s="31"/>
      <c r="UXG85" s="31"/>
      <c r="UXH85" s="31"/>
      <c r="UXI85" s="31"/>
      <c r="UXJ85" s="31"/>
      <c r="UXK85" s="31"/>
      <c r="UXL85" s="31"/>
      <c r="UXM85" s="31"/>
      <c r="UXN85" s="31"/>
      <c r="UXO85" s="31"/>
      <c r="UXP85" s="31"/>
      <c r="UXQ85" s="31"/>
      <c r="UXR85" s="31"/>
      <c r="UXS85" s="31"/>
      <c r="UXT85" s="31"/>
      <c r="UXU85" s="31"/>
      <c r="UXV85" s="31"/>
      <c r="UXW85" s="31"/>
      <c r="UXX85" s="31"/>
      <c r="UXY85" s="31"/>
      <c r="UXZ85" s="31"/>
      <c r="UYA85" s="31"/>
      <c r="UYB85" s="31"/>
      <c r="UYC85" s="31"/>
      <c r="UYD85" s="31"/>
      <c r="UYE85" s="31"/>
      <c r="UYF85" s="31"/>
      <c r="UYG85" s="31"/>
      <c r="UYH85" s="31"/>
      <c r="UYI85" s="31"/>
      <c r="UYJ85" s="31"/>
      <c r="UYK85" s="31"/>
      <c r="UYL85" s="31"/>
      <c r="UYM85" s="31"/>
      <c r="UYN85" s="31"/>
      <c r="UYO85" s="31"/>
      <c r="UYP85" s="31"/>
      <c r="UYQ85" s="31"/>
      <c r="UYR85" s="31"/>
      <c r="UYS85" s="31"/>
      <c r="UYT85" s="31"/>
      <c r="UYU85" s="31"/>
      <c r="UYV85" s="31"/>
      <c r="UYW85" s="31"/>
      <c r="UYX85" s="31"/>
      <c r="UYY85" s="31"/>
      <c r="UYZ85" s="31"/>
      <c r="UZA85" s="31"/>
      <c r="UZB85" s="31"/>
      <c r="UZC85" s="31"/>
      <c r="UZD85" s="31"/>
      <c r="UZE85" s="31"/>
      <c r="UZF85" s="31"/>
      <c r="UZG85" s="31"/>
      <c r="UZH85" s="31"/>
      <c r="UZI85" s="31"/>
      <c r="UZJ85" s="31"/>
      <c r="UZK85" s="31"/>
      <c r="UZL85" s="31"/>
      <c r="UZM85" s="31"/>
      <c r="UZN85" s="31"/>
      <c r="UZO85" s="31"/>
      <c r="UZP85" s="31"/>
      <c r="UZQ85" s="31"/>
      <c r="UZR85" s="31"/>
      <c r="UZS85" s="31"/>
      <c r="UZT85" s="31"/>
      <c r="UZU85" s="31"/>
      <c r="UZV85" s="31"/>
      <c r="UZW85" s="31"/>
      <c r="UZX85" s="31"/>
      <c r="UZY85" s="31"/>
      <c r="UZZ85" s="31"/>
      <c r="VAA85" s="31"/>
      <c r="VAB85" s="31"/>
      <c r="VAC85" s="31"/>
      <c r="VAD85" s="31"/>
      <c r="VAE85" s="31"/>
      <c r="VAF85" s="31"/>
      <c r="VAG85" s="31"/>
      <c r="VAH85" s="31"/>
      <c r="VAI85" s="31"/>
      <c r="VAJ85" s="31"/>
      <c r="VAK85" s="31"/>
      <c r="VAL85" s="31"/>
      <c r="VAM85" s="31"/>
      <c r="VAN85" s="31"/>
      <c r="VAO85" s="31"/>
      <c r="VAP85" s="31"/>
      <c r="VAQ85" s="31"/>
      <c r="VAR85" s="31"/>
      <c r="VAS85" s="31"/>
      <c r="VAT85" s="31"/>
      <c r="VAU85" s="31"/>
      <c r="VAV85" s="31"/>
      <c r="VAW85" s="31"/>
      <c r="VAX85" s="31"/>
      <c r="VAY85" s="31"/>
      <c r="VAZ85" s="31"/>
      <c r="VBA85" s="31"/>
      <c r="VBB85" s="31"/>
      <c r="VBC85" s="31"/>
      <c r="VBD85" s="31"/>
      <c r="VBE85" s="31"/>
      <c r="VBF85" s="31"/>
      <c r="VBG85" s="31"/>
      <c r="VBH85" s="31"/>
      <c r="VBI85" s="31"/>
      <c r="VBJ85" s="31"/>
      <c r="VBK85" s="31"/>
      <c r="VBL85" s="31"/>
      <c r="VBM85" s="31"/>
      <c r="VBN85" s="31"/>
      <c r="VBO85" s="31"/>
      <c r="VBP85" s="31"/>
      <c r="VBQ85" s="31"/>
      <c r="VBR85" s="31"/>
      <c r="VBS85" s="31"/>
      <c r="VBT85" s="31"/>
      <c r="VBU85" s="31"/>
      <c r="VBV85" s="31"/>
      <c r="VBW85" s="31"/>
      <c r="VBX85" s="31"/>
      <c r="VBY85" s="31"/>
      <c r="VBZ85" s="31"/>
      <c r="VCA85" s="31"/>
      <c r="VCB85" s="31"/>
      <c r="VCC85" s="31"/>
      <c r="VCD85" s="31"/>
      <c r="VCE85" s="31"/>
      <c r="VCF85" s="31"/>
      <c r="VCG85" s="31"/>
      <c r="VCH85" s="31"/>
      <c r="VCI85" s="31"/>
      <c r="VCJ85" s="31"/>
      <c r="VCK85" s="31"/>
      <c r="VCL85" s="31"/>
      <c r="VCM85" s="31"/>
      <c r="VCN85" s="31"/>
      <c r="VCO85" s="31"/>
      <c r="VCP85" s="31"/>
      <c r="VCQ85" s="31"/>
      <c r="VCR85" s="31"/>
      <c r="VCS85" s="31"/>
      <c r="VCT85" s="31"/>
      <c r="VCU85" s="31"/>
      <c r="VCV85" s="31"/>
      <c r="VCW85" s="31"/>
      <c r="VCX85" s="31"/>
      <c r="VCY85" s="31"/>
      <c r="VCZ85" s="31"/>
      <c r="VDA85" s="31"/>
      <c r="VDB85" s="31"/>
      <c r="VDC85" s="31"/>
      <c r="VDD85" s="31"/>
      <c r="VDE85" s="31"/>
      <c r="VDF85" s="31"/>
      <c r="VDG85" s="31"/>
      <c r="VDH85" s="31"/>
      <c r="VDI85" s="31"/>
      <c r="VDJ85" s="31"/>
      <c r="VDK85" s="31"/>
      <c r="VDL85" s="31"/>
      <c r="VDM85" s="31"/>
      <c r="VDN85" s="31"/>
      <c r="VDO85" s="31"/>
      <c r="VDP85" s="31"/>
      <c r="VDQ85" s="31"/>
      <c r="VDR85" s="31"/>
      <c r="VDS85" s="31"/>
      <c r="VDT85" s="31"/>
      <c r="VDU85" s="31"/>
      <c r="VDV85" s="31"/>
      <c r="VDW85" s="31"/>
      <c r="VDX85" s="31"/>
      <c r="VDY85" s="31"/>
      <c r="VDZ85" s="31"/>
      <c r="VEA85" s="31"/>
      <c r="VEB85" s="31"/>
      <c r="VEC85" s="31"/>
      <c r="VED85" s="31"/>
      <c r="VEE85" s="31"/>
      <c r="VEF85" s="31"/>
      <c r="VEG85" s="31"/>
      <c r="VEH85" s="31"/>
      <c r="VEI85" s="31"/>
      <c r="VEJ85" s="31"/>
      <c r="VEK85" s="31"/>
      <c r="VEL85" s="31"/>
      <c r="VEM85" s="31"/>
      <c r="VEN85" s="31"/>
      <c r="VEO85" s="31"/>
      <c r="VEP85" s="31"/>
      <c r="VEQ85" s="31"/>
      <c r="VER85" s="31"/>
      <c r="VES85" s="31"/>
      <c r="VET85" s="31"/>
      <c r="VEU85" s="31"/>
      <c r="VEV85" s="31"/>
      <c r="VEW85" s="31"/>
      <c r="VEX85" s="31"/>
      <c r="VEY85" s="31"/>
      <c r="VEZ85" s="31"/>
      <c r="VFA85" s="31"/>
      <c r="VFB85" s="31"/>
      <c r="VFC85" s="31"/>
      <c r="VFD85" s="31"/>
      <c r="VFE85" s="31"/>
      <c r="VFF85" s="31"/>
      <c r="VFG85" s="31"/>
      <c r="VFH85" s="31"/>
      <c r="VFI85" s="31"/>
      <c r="VFJ85" s="31"/>
      <c r="VFK85" s="31"/>
      <c r="VFL85" s="31"/>
      <c r="VFM85" s="31"/>
      <c r="VFN85" s="31"/>
      <c r="VFO85" s="31"/>
      <c r="VFP85" s="31"/>
      <c r="VFQ85" s="31"/>
      <c r="VFR85" s="31"/>
      <c r="VFS85" s="31"/>
      <c r="VFT85" s="31"/>
      <c r="VFU85" s="31"/>
      <c r="VFV85" s="31"/>
      <c r="VFW85" s="31"/>
      <c r="VFX85" s="31"/>
      <c r="VFY85" s="31"/>
      <c r="VFZ85" s="31"/>
      <c r="VGA85" s="31"/>
      <c r="VGB85" s="31"/>
      <c r="VGC85" s="31"/>
      <c r="VGD85" s="31"/>
      <c r="VGE85" s="31"/>
      <c r="VGF85" s="31"/>
      <c r="VGG85" s="31"/>
      <c r="VGH85" s="31"/>
      <c r="VGI85" s="31"/>
      <c r="VGJ85" s="31"/>
      <c r="VGK85" s="31"/>
      <c r="VGL85" s="31"/>
      <c r="VGM85" s="31"/>
      <c r="VGN85" s="31"/>
      <c r="VGO85" s="31"/>
      <c r="VGP85" s="31"/>
      <c r="VGQ85" s="31"/>
      <c r="VGR85" s="31"/>
      <c r="VGS85" s="31"/>
      <c r="VGT85" s="31"/>
      <c r="VGU85" s="31"/>
      <c r="VGV85" s="31"/>
      <c r="VGW85" s="31"/>
      <c r="VGX85" s="31"/>
      <c r="VGY85" s="31"/>
      <c r="VGZ85" s="31"/>
      <c r="VHA85" s="31"/>
      <c r="VHB85" s="31"/>
      <c r="VHC85" s="31"/>
      <c r="VHD85" s="31"/>
      <c r="VHE85" s="31"/>
      <c r="VHF85" s="31"/>
      <c r="VHG85" s="31"/>
      <c r="VHH85" s="31"/>
      <c r="VHI85" s="31"/>
      <c r="VHJ85" s="31"/>
      <c r="VHK85" s="31"/>
      <c r="VHL85" s="31"/>
      <c r="VHM85" s="31"/>
      <c r="VHN85" s="31"/>
      <c r="VHO85" s="31"/>
      <c r="VHP85" s="31"/>
      <c r="VHQ85" s="31"/>
      <c r="VHR85" s="31"/>
      <c r="VHS85" s="31"/>
      <c r="VHT85" s="31"/>
      <c r="VHU85" s="31"/>
      <c r="VHV85" s="31"/>
      <c r="VHW85" s="31"/>
      <c r="VHX85" s="31"/>
      <c r="VHY85" s="31"/>
      <c r="VHZ85" s="31"/>
      <c r="VIA85" s="31"/>
      <c r="VIB85" s="31"/>
      <c r="VIC85" s="31"/>
      <c r="VID85" s="31"/>
      <c r="VIE85" s="31"/>
      <c r="VIF85" s="31"/>
      <c r="VIG85" s="31"/>
      <c r="VIH85" s="31"/>
      <c r="VII85" s="31"/>
      <c r="VIJ85" s="31"/>
      <c r="VIK85" s="31"/>
      <c r="VIL85" s="31"/>
      <c r="VIM85" s="31"/>
      <c r="VIN85" s="31"/>
      <c r="VIO85" s="31"/>
      <c r="VIP85" s="31"/>
      <c r="VIQ85" s="31"/>
      <c r="VIR85" s="31"/>
      <c r="VIS85" s="31"/>
      <c r="VIT85" s="31"/>
      <c r="VIU85" s="31"/>
      <c r="VIV85" s="31"/>
      <c r="VIW85" s="31"/>
      <c r="VIX85" s="31"/>
      <c r="VIY85" s="31"/>
      <c r="VIZ85" s="31"/>
      <c r="VJA85" s="31"/>
      <c r="VJB85" s="31"/>
      <c r="VJC85" s="31"/>
      <c r="VJD85" s="31"/>
      <c r="VJE85" s="31"/>
      <c r="VJF85" s="31"/>
      <c r="VJG85" s="31"/>
      <c r="VJH85" s="31"/>
      <c r="VJI85" s="31"/>
      <c r="VJJ85" s="31"/>
      <c r="VJK85" s="31"/>
      <c r="VJL85" s="31"/>
      <c r="VJM85" s="31"/>
      <c r="VJN85" s="31"/>
      <c r="VJO85" s="31"/>
      <c r="VJP85" s="31"/>
      <c r="VJQ85" s="31"/>
      <c r="VJR85" s="31"/>
      <c r="VJS85" s="31"/>
      <c r="VJT85" s="31"/>
      <c r="VJU85" s="31"/>
      <c r="VJV85" s="31"/>
      <c r="VJW85" s="31"/>
      <c r="VJX85" s="31"/>
      <c r="VJY85" s="31"/>
      <c r="VJZ85" s="31"/>
      <c r="VKA85" s="31"/>
      <c r="VKB85" s="31"/>
      <c r="VKC85" s="31"/>
      <c r="VKD85" s="31"/>
      <c r="VKE85" s="31"/>
      <c r="VKF85" s="31"/>
      <c r="VKG85" s="31"/>
      <c r="VKH85" s="31"/>
      <c r="VKI85" s="31"/>
      <c r="VKJ85" s="31"/>
      <c r="VKK85" s="31"/>
      <c r="VKL85" s="31"/>
      <c r="VKM85" s="31"/>
      <c r="VKN85" s="31"/>
      <c r="VKO85" s="31"/>
      <c r="VKP85" s="31"/>
      <c r="VKQ85" s="31"/>
      <c r="VKR85" s="31"/>
      <c r="VKS85" s="31"/>
      <c r="VKT85" s="31"/>
      <c r="VKU85" s="31"/>
      <c r="VKV85" s="31"/>
      <c r="VKW85" s="31"/>
      <c r="VKX85" s="31"/>
      <c r="VKY85" s="31"/>
      <c r="VKZ85" s="31"/>
      <c r="VLA85" s="31"/>
      <c r="VLB85" s="31"/>
      <c r="VLC85" s="31"/>
      <c r="VLD85" s="31"/>
      <c r="VLE85" s="31"/>
      <c r="VLF85" s="31"/>
      <c r="VLG85" s="31"/>
      <c r="VLH85" s="31"/>
      <c r="VLI85" s="31"/>
      <c r="VLJ85" s="31"/>
      <c r="VLK85" s="31"/>
      <c r="VLL85" s="31"/>
      <c r="VLM85" s="31"/>
      <c r="VLN85" s="31"/>
      <c r="VLO85" s="31"/>
      <c r="VLP85" s="31"/>
      <c r="VLQ85" s="31"/>
      <c r="VLR85" s="31"/>
      <c r="VLS85" s="31"/>
      <c r="VLT85" s="31"/>
      <c r="VLU85" s="31"/>
      <c r="VLV85" s="31"/>
      <c r="VLW85" s="31"/>
      <c r="VLX85" s="31"/>
      <c r="VLY85" s="31"/>
      <c r="VLZ85" s="31"/>
      <c r="VMA85" s="31"/>
      <c r="VMB85" s="31"/>
      <c r="VMC85" s="31"/>
      <c r="VMD85" s="31"/>
      <c r="VME85" s="31"/>
      <c r="VMF85" s="31"/>
      <c r="VMG85" s="31"/>
      <c r="VMH85" s="31"/>
      <c r="VMI85" s="31"/>
      <c r="VMJ85" s="31"/>
      <c r="VMK85" s="31"/>
      <c r="VML85" s="31"/>
      <c r="VMM85" s="31"/>
      <c r="VMN85" s="31"/>
      <c r="VMO85" s="31"/>
      <c r="VMP85" s="31"/>
      <c r="VMQ85" s="31"/>
      <c r="VMR85" s="31"/>
      <c r="VMS85" s="31"/>
      <c r="VMT85" s="31"/>
      <c r="VMU85" s="31"/>
      <c r="VMV85" s="31"/>
      <c r="VMW85" s="31"/>
      <c r="VMX85" s="31"/>
      <c r="VMY85" s="31"/>
      <c r="VMZ85" s="31"/>
      <c r="VNA85" s="31"/>
      <c r="VNB85" s="31"/>
      <c r="VNC85" s="31"/>
      <c r="VND85" s="31"/>
      <c r="VNE85" s="31"/>
      <c r="VNF85" s="31"/>
      <c r="VNG85" s="31"/>
      <c r="VNH85" s="31"/>
      <c r="VNI85" s="31"/>
      <c r="VNJ85" s="31"/>
      <c r="VNK85" s="31"/>
      <c r="VNL85" s="31"/>
      <c r="VNM85" s="31"/>
      <c r="VNN85" s="31"/>
      <c r="VNO85" s="31"/>
      <c r="VNP85" s="31"/>
      <c r="VNQ85" s="31"/>
      <c r="VNR85" s="31"/>
      <c r="VNS85" s="31"/>
      <c r="VNT85" s="31"/>
      <c r="VNU85" s="31"/>
      <c r="VNV85" s="31"/>
      <c r="VNW85" s="31"/>
      <c r="VNX85" s="31"/>
      <c r="VNY85" s="31"/>
      <c r="VNZ85" s="31"/>
      <c r="VOA85" s="31"/>
      <c r="VOB85" s="31"/>
      <c r="VOC85" s="31"/>
      <c r="VOD85" s="31"/>
      <c r="VOE85" s="31"/>
      <c r="VOF85" s="31"/>
      <c r="VOG85" s="31"/>
      <c r="VOH85" s="31"/>
      <c r="VOI85" s="31"/>
      <c r="VOJ85" s="31"/>
      <c r="VOK85" s="31"/>
      <c r="VOL85" s="31"/>
      <c r="VOM85" s="31"/>
      <c r="VON85" s="31"/>
      <c r="VOO85" s="31"/>
      <c r="VOP85" s="31"/>
      <c r="VOQ85" s="31"/>
      <c r="VOR85" s="31"/>
      <c r="VOS85" s="31"/>
      <c r="VOT85" s="31"/>
      <c r="VOU85" s="31"/>
      <c r="VOV85" s="31"/>
      <c r="VOW85" s="31"/>
      <c r="VOX85" s="31"/>
      <c r="VOY85" s="31"/>
      <c r="VOZ85" s="31"/>
      <c r="VPA85" s="31"/>
      <c r="VPB85" s="31"/>
      <c r="VPC85" s="31"/>
      <c r="VPD85" s="31"/>
      <c r="VPE85" s="31"/>
      <c r="VPF85" s="31"/>
      <c r="VPG85" s="31"/>
      <c r="VPH85" s="31"/>
      <c r="VPI85" s="31"/>
      <c r="VPJ85" s="31"/>
      <c r="VPK85" s="31"/>
      <c r="VPL85" s="31"/>
      <c r="VPM85" s="31"/>
      <c r="VPN85" s="31"/>
      <c r="VPO85" s="31"/>
      <c r="VPP85" s="31"/>
      <c r="VPQ85" s="31"/>
      <c r="VPR85" s="31"/>
      <c r="VPS85" s="31"/>
      <c r="VPT85" s="31"/>
      <c r="VPU85" s="31"/>
      <c r="VPV85" s="31"/>
      <c r="VPW85" s="31"/>
      <c r="VPX85" s="31"/>
      <c r="VPY85" s="31"/>
      <c r="VPZ85" s="31"/>
      <c r="VQA85" s="31"/>
      <c r="VQB85" s="31"/>
      <c r="VQC85" s="31"/>
      <c r="VQD85" s="31"/>
      <c r="VQE85" s="31"/>
      <c r="VQF85" s="31"/>
      <c r="VQG85" s="31"/>
      <c r="VQH85" s="31"/>
      <c r="VQI85" s="31"/>
      <c r="VQJ85" s="31"/>
      <c r="VQK85" s="31"/>
      <c r="VQL85" s="31"/>
      <c r="VQM85" s="31"/>
      <c r="VQN85" s="31"/>
      <c r="VQO85" s="31"/>
      <c r="VQP85" s="31"/>
      <c r="VQQ85" s="31"/>
      <c r="VQR85" s="31"/>
      <c r="VQS85" s="31"/>
      <c r="VQT85" s="31"/>
      <c r="VQU85" s="31"/>
      <c r="VQV85" s="31"/>
      <c r="VQW85" s="31"/>
      <c r="VQX85" s="31"/>
      <c r="VQY85" s="31"/>
      <c r="VQZ85" s="31"/>
      <c r="VRA85" s="31"/>
      <c r="VRB85" s="31"/>
      <c r="VRC85" s="31"/>
      <c r="VRD85" s="31"/>
      <c r="VRE85" s="31"/>
      <c r="VRF85" s="31"/>
      <c r="VRG85" s="31"/>
      <c r="VRH85" s="31"/>
      <c r="VRI85" s="31"/>
      <c r="VRJ85" s="31"/>
      <c r="VRK85" s="31"/>
      <c r="VRL85" s="31"/>
      <c r="VRM85" s="31"/>
      <c r="VRN85" s="31"/>
      <c r="VRO85" s="31"/>
      <c r="VRP85" s="31"/>
      <c r="VRQ85" s="31"/>
      <c r="VRR85" s="31"/>
      <c r="VRS85" s="31"/>
      <c r="VRT85" s="31"/>
      <c r="VRU85" s="31"/>
      <c r="VRV85" s="31"/>
      <c r="VRW85" s="31"/>
      <c r="VRX85" s="31"/>
      <c r="VRY85" s="31"/>
      <c r="VRZ85" s="31"/>
      <c r="VSA85" s="31"/>
      <c r="VSB85" s="31"/>
      <c r="VSC85" s="31"/>
      <c r="VSD85" s="31"/>
      <c r="VSE85" s="31"/>
      <c r="VSF85" s="31"/>
      <c r="VSG85" s="31"/>
      <c r="VSH85" s="31"/>
      <c r="VSI85" s="31"/>
      <c r="VSJ85" s="31"/>
      <c r="VSK85" s="31"/>
      <c r="VSL85" s="31"/>
      <c r="VSM85" s="31"/>
      <c r="VSN85" s="31"/>
      <c r="VSO85" s="31"/>
      <c r="VSP85" s="31"/>
      <c r="VSQ85" s="31"/>
      <c r="VSR85" s="31"/>
      <c r="VSS85" s="31"/>
      <c r="VST85" s="31"/>
      <c r="VSU85" s="31"/>
      <c r="VSV85" s="31"/>
      <c r="VSW85" s="31"/>
      <c r="VSX85" s="31"/>
      <c r="VSY85" s="31"/>
      <c r="VSZ85" s="31"/>
      <c r="VTA85" s="31"/>
      <c r="VTB85" s="31"/>
      <c r="VTC85" s="31"/>
      <c r="VTD85" s="31"/>
      <c r="VTE85" s="31"/>
      <c r="VTF85" s="31"/>
      <c r="VTG85" s="31"/>
      <c r="VTH85" s="31"/>
      <c r="VTI85" s="31"/>
      <c r="VTJ85" s="31"/>
      <c r="VTK85" s="31"/>
      <c r="VTL85" s="31"/>
      <c r="VTM85" s="31"/>
      <c r="VTN85" s="31"/>
      <c r="VTO85" s="31"/>
      <c r="VTP85" s="31"/>
      <c r="VTQ85" s="31"/>
      <c r="VTR85" s="31"/>
      <c r="VTS85" s="31"/>
      <c r="VTT85" s="31"/>
      <c r="VTU85" s="31"/>
      <c r="VTV85" s="31"/>
      <c r="VTW85" s="31"/>
      <c r="VTX85" s="31"/>
      <c r="VTY85" s="31"/>
      <c r="VTZ85" s="31"/>
      <c r="VUA85" s="31"/>
      <c r="VUB85" s="31"/>
      <c r="VUC85" s="31"/>
      <c r="VUD85" s="31"/>
      <c r="VUE85" s="31"/>
      <c r="VUF85" s="31"/>
      <c r="VUG85" s="31"/>
      <c r="VUH85" s="31"/>
      <c r="VUI85" s="31"/>
      <c r="VUJ85" s="31"/>
      <c r="VUK85" s="31"/>
      <c r="VUL85" s="31"/>
      <c r="VUM85" s="31"/>
      <c r="VUN85" s="31"/>
      <c r="VUO85" s="31"/>
      <c r="VUP85" s="31"/>
      <c r="VUQ85" s="31"/>
      <c r="VUR85" s="31"/>
      <c r="VUS85" s="31"/>
      <c r="VUT85" s="31"/>
      <c r="VUU85" s="31"/>
      <c r="VUV85" s="31"/>
      <c r="VUW85" s="31"/>
      <c r="VUX85" s="31"/>
      <c r="VUY85" s="31"/>
      <c r="VUZ85" s="31"/>
      <c r="VVA85" s="31"/>
      <c r="VVB85" s="31"/>
      <c r="VVC85" s="31"/>
      <c r="VVD85" s="31"/>
      <c r="VVE85" s="31"/>
      <c r="VVF85" s="31"/>
      <c r="VVG85" s="31"/>
      <c r="VVH85" s="31"/>
      <c r="VVI85" s="31"/>
      <c r="VVJ85" s="31"/>
      <c r="VVK85" s="31"/>
      <c r="VVL85" s="31"/>
      <c r="VVM85" s="31"/>
      <c r="VVN85" s="31"/>
      <c r="VVO85" s="31"/>
      <c r="VVP85" s="31"/>
      <c r="VVQ85" s="31"/>
      <c r="VVR85" s="31"/>
      <c r="VVS85" s="31"/>
      <c r="VVT85" s="31"/>
      <c r="VVU85" s="31"/>
      <c r="VVV85" s="31"/>
      <c r="VVW85" s="31"/>
      <c r="VVX85" s="31"/>
      <c r="VVY85" s="31"/>
      <c r="VVZ85" s="31"/>
      <c r="VWA85" s="31"/>
      <c r="VWB85" s="31"/>
      <c r="VWC85" s="31"/>
      <c r="VWD85" s="31"/>
      <c r="VWE85" s="31"/>
      <c r="VWF85" s="31"/>
      <c r="VWG85" s="31"/>
      <c r="VWH85" s="31"/>
      <c r="VWI85" s="31"/>
      <c r="VWJ85" s="31"/>
      <c r="VWK85" s="31"/>
      <c r="VWL85" s="31"/>
      <c r="VWM85" s="31"/>
      <c r="VWN85" s="31"/>
      <c r="VWO85" s="31"/>
      <c r="VWP85" s="31"/>
      <c r="VWQ85" s="31"/>
      <c r="VWR85" s="31"/>
      <c r="VWS85" s="31"/>
      <c r="VWT85" s="31"/>
      <c r="VWU85" s="31"/>
      <c r="VWV85" s="31"/>
      <c r="VWW85" s="31"/>
      <c r="VWX85" s="31"/>
      <c r="VWY85" s="31"/>
      <c r="VWZ85" s="31"/>
      <c r="VXA85" s="31"/>
      <c r="VXB85" s="31"/>
      <c r="VXC85" s="31"/>
      <c r="VXD85" s="31"/>
      <c r="VXE85" s="31"/>
      <c r="VXF85" s="31"/>
      <c r="VXG85" s="31"/>
      <c r="VXH85" s="31"/>
      <c r="VXI85" s="31"/>
      <c r="VXJ85" s="31"/>
      <c r="VXK85" s="31"/>
      <c r="VXL85" s="31"/>
      <c r="VXM85" s="31"/>
      <c r="VXN85" s="31"/>
      <c r="VXO85" s="31"/>
      <c r="VXP85" s="31"/>
      <c r="VXQ85" s="31"/>
      <c r="VXR85" s="31"/>
      <c r="VXS85" s="31"/>
      <c r="VXT85" s="31"/>
      <c r="VXU85" s="31"/>
      <c r="VXV85" s="31"/>
      <c r="VXW85" s="31"/>
      <c r="VXX85" s="31"/>
      <c r="VXY85" s="31"/>
      <c r="VXZ85" s="31"/>
      <c r="VYA85" s="31"/>
      <c r="VYB85" s="31"/>
      <c r="VYC85" s="31"/>
      <c r="VYD85" s="31"/>
      <c r="VYE85" s="31"/>
      <c r="VYF85" s="31"/>
      <c r="VYG85" s="31"/>
      <c r="VYH85" s="31"/>
      <c r="VYI85" s="31"/>
      <c r="VYJ85" s="31"/>
      <c r="VYK85" s="31"/>
      <c r="VYL85" s="31"/>
      <c r="VYM85" s="31"/>
      <c r="VYN85" s="31"/>
      <c r="VYO85" s="31"/>
      <c r="VYP85" s="31"/>
      <c r="VYQ85" s="31"/>
      <c r="VYR85" s="31"/>
      <c r="VYS85" s="31"/>
      <c r="VYT85" s="31"/>
      <c r="VYU85" s="31"/>
      <c r="VYV85" s="31"/>
      <c r="VYW85" s="31"/>
      <c r="VYX85" s="31"/>
      <c r="VYY85" s="31"/>
      <c r="VYZ85" s="31"/>
      <c r="VZA85" s="31"/>
      <c r="VZB85" s="31"/>
      <c r="VZC85" s="31"/>
      <c r="VZD85" s="31"/>
      <c r="VZE85" s="31"/>
      <c r="VZF85" s="31"/>
      <c r="VZG85" s="31"/>
      <c r="VZH85" s="31"/>
      <c r="VZI85" s="31"/>
      <c r="VZJ85" s="31"/>
      <c r="VZK85" s="31"/>
      <c r="VZL85" s="31"/>
      <c r="VZM85" s="31"/>
      <c r="VZN85" s="31"/>
      <c r="VZO85" s="31"/>
      <c r="VZP85" s="31"/>
      <c r="VZQ85" s="31"/>
      <c r="VZR85" s="31"/>
      <c r="VZS85" s="31"/>
      <c r="VZT85" s="31"/>
      <c r="VZU85" s="31"/>
      <c r="VZV85" s="31"/>
      <c r="VZW85" s="31"/>
      <c r="VZX85" s="31"/>
      <c r="VZY85" s="31"/>
      <c r="VZZ85" s="31"/>
      <c r="WAA85" s="31"/>
      <c r="WAB85" s="31"/>
      <c r="WAC85" s="31"/>
      <c r="WAD85" s="31"/>
      <c r="WAE85" s="31"/>
      <c r="WAF85" s="31"/>
      <c r="WAG85" s="31"/>
      <c r="WAH85" s="31"/>
      <c r="WAI85" s="31"/>
      <c r="WAJ85" s="31"/>
      <c r="WAK85" s="31"/>
      <c r="WAL85" s="31"/>
      <c r="WAM85" s="31"/>
      <c r="WAN85" s="31"/>
      <c r="WAO85" s="31"/>
      <c r="WAP85" s="31"/>
      <c r="WAQ85" s="31"/>
      <c r="WAR85" s="31"/>
      <c r="WAS85" s="31"/>
      <c r="WAT85" s="31"/>
      <c r="WAU85" s="31"/>
      <c r="WAV85" s="31"/>
      <c r="WAW85" s="31"/>
      <c r="WAX85" s="31"/>
      <c r="WAY85" s="31"/>
      <c r="WAZ85" s="31"/>
      <c r="WBA85" s="31"/>
      <c r="WBB85" s="31"/>
      <c r="WBC85" s="31"/>
      <c r="WBD85" s="31"/>
      <c r="WBE85" s="31"/>
      <c r="WBF85" s="31"/>
      <c r="WBG85" s="31"/>
      <c r="WBH85" s="31"/>
      <c r="WBI85" s="31"/>
      <c r="WBJ85" s="31"/>
      <c r="WBK85" s="31"/>
      <c r="WBL85" s="31"/>
      <c r="WBM85" s="31"/>
      <c r="WBN85" s="31"/>
      <c r="WBO85" s="31"/>
      <c r="WBP85" s="31"/>
      <c r="WBQ85" s="31"/>
      <c r="WBR85" s="31"/>
      <c r="WBS85" s="31"/>
      <c r="WBT85" s="31"/>
      <c r="WBU85" s="31"/>
      <c r="WBV85" s="31"/>
      <c r="WBW85" s="31"/>
      <c r="WBX85" s="31"/>
      <c r="WBY85" s="31"/>
      <c r="WBZ85" s="31"/>
      <c r="WCA85" s="31"/>
      <c r="WCB85" s="31"/>
      <c r="WCC85" s="31"/>
      <c r="WCD85" s="31"/>
      <c r="WCE85" s="31"/>
      <c r="WCF85" s="31"/>
      <c r="WCG85" s="31"/>
      <c r="WCH85" s="31"/>
      <c r="WCI85" s="31"/>
      <c r="WCJ85" s="31"/>
      <c r="WCK85" s="31"/>
      <c r="WCL85" s="31"/>
      <c r="WCM85" s="31"/>
      <c r="WCN85" s="31"/>
      <c r="WCO85" s="31"/>
      <c r="WCP85" s="31"/>
      <c r="WCQ85" s="31"/>
      <c r="WCR85" s="31"/>
      <c r="WCS85" s="31"/>
      <c r="WCT85" s="31"/>
      <c r="WCU85" s="31"/>
      <c r="WCV85" s="31"/>
      <c r="WCW85" s="31"/>
      <c r="WCX85" s="31"/>
      <c r="WCY85" s="31"/>
      <c r="WCZ85" s="31"/>
      <c r="WDA85" s="31"/>
      <c r="WDB85" s="31"/>
      <c r="WDC85" s="31"/>
      <c r="WDD85" s="31"/>
      <c r="WDE85" s="31"/>
      <c r="WDF85" s="31"/>
      <c r="WDG85" s="31"/>
      <c r="WDH85" s="31"/>
      <c r="WDI85" s="31"/>
      <c r="WDJ85" s="31"/>
      <c r="WDK85" s="31"/>
      <c r="WDL85" s="31"/>
      <c r="WDM85" s="31"/>
      <c r="WDN85" s="31"/>
      <c r="WDO85" s="31"/>
      <c r="WDP85" s="31"/>
      <c r="WDQ85" s="31"/>
      <c r="WDR85" s="31"/>
      <c r="WDS85" s="31"/>
      <c r="WDT85" s="31"/>
      <c r="WDU85" s="31"/>
      <c r="WDV85" s="31"/>
      <c r="WDW85" s="31"/>
      <c r="WDX85" s="31"/>
      <c r="WDY85" s="31"/>
      <c r="WDZ85" s="31"/>
      <c r="WEA85" s="31"/>
      <c r="WEB85" s="31"/>
      <c r="WEC85" s="31"/>
      <c r="WED85" s="31"/>
      <c r="WEE85" s="31"/>
      <c r="WEF85" s="31"/>
      <c r="WEG85" s="31"/>
      <c r="WEH85" s="31"/>
      <c r="WEI85" s="31"/>
      <c r="WEJ85" s="31"/>
      <c r="WEK85" s="31"/>
      <c r="WEL85" s="31"/>
      <c r="WEM85" s="31"/>
      <c r="WEN85" s="31"/>
      <c r="WEO85" s="31"/>
      <c r="WEP85" s="31"/>
      <c r="WEQ85" s="31"/>
      <c r="WER85" s="31"/>
      <c r="WES85" s="31"/>
      <c r="WET85" s="31"/>
      <c r="WEU85" s="31"/>
      <c r="WEV85" s="31"/>
      <c r="WEW85" s="31"/>
      <c r="WEX85" s="31"/>
      <c r="WEY85" s="31"/>
      <c r="WEZ85" s="31"/>
      <c r="WFA85" s="31"/>
      <c r="WFB85" s="31"/>
      <c r="WFC85" s="31"/>
      <c r="WFD85" s="31"/>
      <c r="WFE85" s="31"/>
      <c r="WFF85" s="31"/>
      <c r="WFG85" s="31"/>
      <c r="WFH85" s="31"/>
      <c r="WFI85" s="31"/>
      <c r="WFJ85" s="31"/>
      <c r="WFK85" s="31"/>
      <c r="WFL85" s="31"/>
      <c r="WFM85" s="31"/>
      <c r="WFN85" s="31"/>
      <c r="WFO85" s="31"/>
      <c r="WFP85" s="31"/>
      <c r="WFQ85" s="31"/>
      <c r="WFR85" s="31"/>
      <c r="WFS85" s="31"/>
      <c r="WFT85" s="31"/>
      <c r="WFU85" s="31"/>
      <c r="WFV85" s="31"/>
      <c r="WFW85" s="31"/>
      <c r="WFX85" s="31"/>
      <c r="WFY85" s="31"/>
      <c r="WFZ85" s="31"/>
      <c r="WGA85" s="31"/>
      <c r="WGB85" s="31"/>
      <c r="WGC85" s="31"/>
      <c r="WGD85" s="31"/>
      <c r="WGE85" s="31"/>
      <c r="WGF85" s="31"/>
      <c r="WGG85" s="31"/>
      <c r="WGH85" s="31"/>
      <c r="WGI85" s="31"/>
      <c r="WGJ85" s="31"/>
      <c r="WGK85" s="31"/>
      <c r="WGL85" s="31"/>
      <c r="WGM85" s="31"/>
      <c r="WGN85" s="31"/>
      <c r="WGO85" s="31"/>
      <c r="WGP85" s="31"/>
      <c r="WGQ85" s="31"/>
      <c r="WGR85" s="31"/>
      <c r="WGS85" s="31"/>
      <c r="WGT85" s="31"/>
      <c r="WGU85" s="31"/>
      <c r="WGV85" s="31"/>
      <c r="WGW85" s="31"/>
      <c r="WGX85" s="31"/>
      <c r="WGY85" s="31"/>
      <c r="WGZ85" s="31"/>
      <c r="WHA85" s="31"/>
      <c r="WHB85" s="31"/>
      <c r="WHC85" s="31"/>
      <c r="WHD85" s="31"/>
      <c r="WHE85" s="31"/>
      <c r="WHF85" s="31"/>
      <c r="WHG85" s="31"/>
      <c r="WHH85" s="31"/>
      <c r="WHI85" s="31"/>
      <c r="WHJ85" s="31"/>
      <c r="WHK85" s="31"/>
      <c r="WHL85" s="31"/>
      <c r="WHM85" s="31"/>
      <c r="WHN85" s="31"/>
      <c r="WHO85" s="31"/>
      <c r="WHP85" s="31"/>
      <c r="WHQ85" s="31"/>
      <c r="WHR85" s="31"/>
      <c r="WHS85" s="31"/>
      <c r="WHT85" s="31"/>
      <c r="WHU85" s="31"/>
      <c r="WHV85" s="31"/>
      <c r="WHW85" s="31"/>
      <c r="WHX85" s="31"/>
      <c r="WHY85" s="31"/>
      <c r="WHZ85" s="31"/>
      <c r="WIA85" s="31"/>
      <c r="WIB85" s="31"/>
      <c r="WIC85" s="31"/>
      <c r="WID85" s="31"/>
      <c r="WIE85" s="31"/>
      <c r="WIF85" s="31"/>
      <c r="WIG85" s="31"/>
      <c r="WIH85" s="31"/>
      <c r="WII85" s="31"/>
      <c r="WIJ85" s="31"/>
      <c r="WIK85" s="31"/>
      <c r="WIL85" s="31"/>
      <c r="WIM85" s="31"/>
      <c r="WIN85" s="31"/>
      <c r="WIO85" s="31"/>
      <c r="WIP85" s="31"/>
      <c r="WIQ85" s="31"/>
      <c r="WIR85" s="31"/>
      <c r="WIS85" s="31"/>
      <c r="WIT85" s="31"/>
      <c r="WIU85" s="31"/>
      <c r="WIV85" s="31"/>
      <c r="WIW85" s="31"/>
      <c r="WIX85" s="31"/>
      <c r="WIY85" s="31"/>
      <c r="WIZ85" s="31"/>
      <c r="WJA85" s="31"/>
      <c r="WJB85" s="31"/>
      <c r="WJC85" s="31"/>
      <c r="WJD85" s="31"/>
      <c r="WJE85" s="31"/>
      <c r="WJF85" s="31"/>
      <c r="WJG85" s="31"/>
      <c r="WJH85" s="31"/>
      <c r="WJI85" s="31"/>
      <c r="WJJ85" s="31"/>
      <c r="WJK85" s="31"/>
      <c r="WJL85" s="31"/>
      <c r="WJM85" s="31"/>
      <c r="WJN85" s="31"/>
      <c r="WJO85" s="31"/>
      <c r="WJP85" s="31"/>
      <c r="WJQ85" s="31"/>
      <c r="WJR85" s="31"/>
      <c r="WJS85" s="31"/>
      <c r="WJT85" s="31"/>
      <c r="WJU85" s="31"/>
      <c r="WJV85" s="31"/>
      <c r="WJW85" s="31"/>
      <c r="WJX85" s="31"/>
      <c r="WJY85" s="31"/>
      <c r="WJZ85" s="31"/>
      <c r="WKA85" s="31"/>
      <c r="WKB85" s="31"/>
      <c r="WKC85" s="31"/>
      <c r="WKD85" s="31"/>
      <c r="WKE85" s="31"/>
      <c r="WKF85" s="31"/>
      <c r="WKG85" s="31"/>
      <c r="WKH85" s="31"/>
      <c r="WKI85" s="31"/>
      <c r="WKJ85" s="31"/>
      <c r="WKK85" s="31"/>
      <c r="WKL85" s="31"/>
      <c r="WKM85" s="31"/>
      <c r="WKN85" s="31"/>
      <c r="WKO85" s="31"/>
      <c r="WKP85" s="31"/>
      <c r="WKQ85" s="31"/>
      <c r="WKR85" s="31"/>
      <c r="WKS85" s="31"/>
      <c r="WKT85" s="31"/>
      <c r="WKU85" s="31"/>
      <c r="WKV85" s="31"/>
      <c r="WKW85" s="31"/>
      <c r="WKX85" s="31"/>
      <c r="WKY85" s="31"/>
      <c r="WKZ85" s="31"/>
      <c r="WLA85" s="31"/>
      <c r="WLB85" s="31"/>
      <c r="WLC85" s="31"/>
      <c r="WLD85" s="31"/>
      <c r="WLE85" s="31"/>
      <c r="WLF85" s="31"/>
      <c r="WLG85" s="31"/>
      <c r="WLH85" s="31"/>
      <c r="WLI85" s="31"/>
      <c r="WLJ85" s="31"/>
      <c r="WLK85" s="31"/>
      <c r="WLL85" s="31"/>
      <c r="WLM85" s="31"/>
      <c r="WLN85" s="31"/>
      <c r="WLO85" s="31"/>
      <c r="WLP85" s="31"/>
      <c r="WLQ85" s="31"/>
      <c r="WLR85" s="31"/>
      <c r="WLS85" s="31"/>
      <c r="WLT85" s="31"/>
      <c r="WLU85" s="31"/>
      <c r="WLV85" s="31"/>
      <c r="WLW85" s="31"/>
      <c r="WLX85" s="31"/>
      <c r="WLY85" s="31"/>
      <c r="WLZ85" s="31"/>
      <c r="WMA85" s="31"/>
      <c r="WMB85" s="31"/>
      <c r="WMC85" s="31"/>
      <c r="WMD85" s="31"/>
      <c r="WME85" s="31"/>
      <c r="WMF85" s="31"/>
      <c r="WMG85" s="31"/>
      <c r="WMH85" s="31"/>
      <c r="WMI85" s="31"/>
      <c r="WMJ85" s="31"/>
      <c r="WMK85" s="31"/>
      <c r="WML85" s="31"/>
      <c r="WMM85" s="31"/>
      <c r="WMN85" s="31"/>
      <c r="WMO85" s="31"/>
      <c r="WMP85" s="31"/>
      <c r="WMQ85" s="31"/>
      <c r="WMR85" s="31"/>
      <c r="WMS85" s="31"/>
      <c r="WMT85" s="31"/>
      <c r="WMU85" s="31"/>
      <c r="WMV85" s="31"/>
      <c r="WMW85" s="31"/>
      <c r="WMX85" s="31"/>
      <c r="WMY85" s="31"/>
      <c r="WMZ85" s="31"/>
      <c r="WNA85" s="31"/>
      <c r="WNB85" s="31"/>
      <c r="WNC85" s="31"/>
      <c r="WND85" s="31"/>
      <c r="WNE85" s="31"/>
      <c r="WNF85" s="31"/>
      <c r="WNG85" s="31"/>
      <c r="WNH85" s="31"/>
      <c r="WNI85" s="31"/>
      <c r="WNJ85" s="31"/>
      <c r="WNK85" s="31"/>
      <c r="WNL85" s="31"/>
      <c r="WNM85" s="31"/>
      <c r="WNN85" s="31"/>
      <c r="WNO85" s="31"/>
      <c r="WNP85" s="31"/>
      <c r="WNQ85" s="31"/>
      <c r="WNR85" s="31"/>
      <c r="WNS85" s="31"/>
      <c r="WNT85" s="31"/>
      <c r="WNU85" s="31"/>
      <c r="WNV85" s="31"/>
      <c r="WNW85" s="31"/>
      <c r="WNX85" s="31"/>
      <c r="WNY85" s="31"/>
      <c r="WNZ85" s="31"/>
      <c r="WOA85" s="31"/>
      <c r="WOB85" s="31"/>
      <c r="WOC85" s="31"/>
      <c r="WOD85" s="31"/>
      <c r="WOE85" s="31"/>
      <c r="WOF85" s="31"/>
      <c r="WOG85" s="31"/>
      <c r="WOH85" s="31"/>
      <c r="WOI85" s="31"/>
      <c r="WOJ85" s="31"/>
      <c r="WOK85" s="31"/>
      <c r="WOL85" s="31"/>
      <c r="WOM85" s="31"/>
      <c r="WON85" s="31"/>
      <c r="WOO85" s="31"/>
      <c r="WOP85" s="31"/>
      <c r="WOQ85" s="31"/>
      <c r="WOR85" s="31"/>
      <c r="WOS85" s="31"/>
      <c r="WOT85" s="31"/>
      <c r="WOU85" s="31"/>
      <c r="WOV85" s="31"/>
      <c r="WOW85" s="31"/>
      <c r="WOX85" s="31"/>
      <c r="WOY85" s="31"/>
      <c r="WOZ85" s="31"/>
      <c r="WPA85" s="31"/>
      <c r="WPB85" s="31"/>
      <c r="WPC85" s="31"/>
      <c r="WPD85" s="31"/>
      <c r="WPE85" s="31"/>
      <c r="WPF85" s="31"/>
      <c r="WPG85" s="31"/>
      <c r="WPH85" s="31"/>
      <c r="WPI85" s="31"/>
      <c r="WPJ85" s="31"/>
      <c r="WPK85" s="31"/>
      <c r="WPL85" s="31"/>
      <c r="WPM85" s="31"/>
      <c r="WPN85" s="31"/>
      <c r="WPO85" s="31"/>
      <c r="WPP85" s="31"/>
      <c r="WPQ85" s="31"/>
      <c r="WPR85" s="31"/>
      <c r="WPS85" s="31"/>
      <c r="WPT85" s="31"/>
      <c r="WPU85" s="31"/>
      <c r="WPV85" s="31"/>
      <c r="WPW85" s="31"/>
      <c r="WPX85" s="31"/>
      <c r="WPY85" s="31"/>
      <c r="WPZ85" s="31"/>
      <c r="WQA85" s="31"/>
      <c r="WQB85" s="31"/>
      <c r="WQC85" s="31"/>
      <c r="WQD85" s="31"/>
      <c r="WQE85" s="31"/>
      <c r="WQF85" s="31"/>
      <c r="WQG85" s="31"/>
      <c r="WQH85" s="31"/>
      <c r="WQI85" s="31"/>
      <c r="WQJ85" s="31"/>
      <c r="WQK85" s="31"/>
      <c r="WQL85" s="31"/>
      <c r="WQM85" s="31"/>
      <c r="WQN85" s="31"/>
      <c r="WQO85" s="31"/>
      <c r="WQP85" s="31"/>
      <c r="WQQ85" s="31"/>
      <c r="WQR85" s="31"/>
      <c r="WQS85" s="31"/>
      <c r="WQT85" s="31"/>
      <c r="WQU85" s="31"/>
      <c r="WQV85" s="31"/>
      <c r="WQW85" s="31"/>
      <c r="WQX85" s="31"/>
      <c r="WQY85" s="31"/>
      <c r="WQZ85" s="31"/>
      <c r="WRA85" s="31"/>
      <c r="WRB85" s="31"/>
      <c r="WRC85" s="31"/>
      <c r="WRD85" s="31"/>
      <c r="WRE85" s="31"/>
      <c r="WRF85" s="31"/>
      <c r="WRG85" s="31"/>
      <c r="WRH85" s="31"/>
      <c r="WRI85" s="31"/>
      <c r="WRJ85" s="31"/>
      <c r="WRK85" s="31"/>
      <c r="WRL85" s="31"/>
      <c r="WRM85" s="31"/>
      <c r="WRN85" s="31"/>
      <c r="WRO85" s="31"/>
      <c r="WRP85" s="31"/>
      <c r="WRQ85" s="31"/>
      <c r="WRR85" s="31"/>
      <c r="WRS85" s="31"/>
      <c r="WRT85" s="31"/>
      <c r="WRU85" s="31"/>
      <c r="WRV85" s="31"/>
      <c r="WRW85" s="31"/>
      <c r="WRX85" s="31"/>
      <c r="WRY85" s="31"/>
      <c r="WRZ85" s="31"/>
      <c r="WSA85" s="31"/>
      <c r="WSB85" s="31"/>
      <c r="WSC85" s="31"/>
      <c r="WSD85" s="31"/>
      <c r="WSE85" s="31"/>
      <c r="WSF85" s="31"/>
      <c r="WSG85" s="31"/>
      <c r="WSH85" s="31"/>
      <c r="WSI85" s="31"/>
      <c r="WSJ85" s="31"/>
      <c r="WSK85" s="31"/>
      <c r="WSL85" s="31"/>
      <c r="WSM85" s="31"/>
      <c r="WSN85" s="31"/>
      <c r="WSO85" s="31"/>
      <c r="WSP85" s="31"/>
      <c r="WSQ85" s="31"/>
      <c r="WSR85" s="31"/>
      <c r="WSS85" s="31"/>
      <c r="WST85" s="31"/>
      <c r="WSU85" s="31"/>
      <c r="WSV85" s="31"/>
      <c r="WSW85" s="31"/>
      <c r="WSX85" s="31"/>
      <c r="WSY85" s="31"/>
      <c r="WSZ85" s="31"/>
      <c r="WTA85" s="31"/>
      <c r="WTB85" s="31"/>
      <c r="WTC85" s="31"/>
      <c r="WTD85" s="31"/>
      <c r="WTE85" s="31"/>
      <c r="WTF85" s="31"/>
      <c r="WTG85" s="31"/>
      <c r="WTH85" s="31"/>
      <c r="WTI85" s="31"/>
      <c r="WTJ85" s="31"/>
      <c r="WTK85" s="31"/>
      <c r="WTL85" s="31"/>
      <c r="WTM85" s="31"/>
      <c r="WTN85" s="31"/>
      <c r="WTO85" s="31"/>
      <c r="WTP85" s="31"/>
      <c r="WTQ85" s="31"/>
      <c r="WTR85" s="31"/>
      <c r="WTS85" s="31"/>
      <c r="WTT85" s="31"/>
      <c r="WTU85" s="31"/>
      <c r="WTV85" s="31"/>
      <c r="WTW85" s="31"/>
      <c r="WTX85" s="31"/>
      <c r="WTY85" s="31"/>
      <c r="WTZ85" s="31"/>
      <c r="WUA85" s="31"/>
      <c r="WUB85" s="31"/>
      <c r="WUC85" s="31"/>
      <c r="WUD85" s="31"/>
      <c r="WUE85" s="31"/>
      <c r="WUF85" s="31"/>
      <c r="WUG85" s="31"/>
      <c r="WUH85" s="31"/>
      <c r="WUI85" s="31"/>
      <c r="WUJ85" s="31"/>
      <c r="WUK85" s="31"/>
      <c r="WUL85" s="31"/>
      <c r="WUM85" s="31"/>
      <c r="WUN85" s="31"/>
      <c r="WUO85" s="31"/>
      <c r="WUP85" s="31"/>
      <c r="WUQ85" s="31"/>
      <c r="WUR85" s="31"/>
      <c r="WUS85" s="31"/>
      <c r="WUT85" s="31"/>
      <c r="WUU85" s="31"/>
      <c r="WUV85" s="31"/>
      <c r="WUW85" s="31"/>
      <c r="WUX85" s="31"/>
      <c r="WUY85" s="31"/>
      <c r="WUZ85" s="31"/>
      <c r="WVA85" s="31"/>
      <c r="WVB85" s="31"/>
      <c r="WVC85" s="31"/>
      <c r="WVD85" s="31"/>
      <c r="WVE85" s="31"/>
      <c r="WVF85" s="31"/>
      <c r="WVG85" s="31"/>
      <c r="WVH85" s="31"/>
      <c r="WVI85" s="31"/>
      <c r="WVJ85" s="31"/>
      <c r="WVK85" s="31"/>
      <c r="WVL85" s="31"/>
      <c r="WVM85" s="31"/>
      <c r="WVN85" s="31"/>
      <c r="WVO85" s="31"/>
      <c r="WVP85" s="31"/>
      <c r="WVQ85" s="31"/>
      <c r="WVR85" s="31"/>
      <c r="WVS85" s="31"/>
      <c r="WVT85" s="31"/>
      <c r="WVU85" s="31"/>
      <c r="WVV85" s="31"/>
      <c r="WVW85" s="31"/>
      <c r="WVX85" s="31"/>
      <c r="WVY85" s="31"/>
      <c r="WVZ85" s="31"/>
      <c r="WWA85" s="31"/>
      <c r="WWB85" s="31"/>
      <c r="WWC85" s="31"/>
      <c r="WWD85" s="31"/>
      <c r="WWE85" s="31"/>
      <c r="WWF85" s="31"/>
      <c r="WWG85" s="31"/>
      <c r="WWH85" s="31"/>
      <c r="WWI85" s="31"/>
      <c r="WWJ85" s="31"/>
      <c r="WWK85" s="31"/>
      <c r="WWL85" s="31"/>
      <c r="WWM85" s="31"/>
      <c r="WWN85" s="31"/>
      <c r="WWO85" s="31"/>
      <c r="WWP85" s="31"/>
      <c r="WWQ85" s="31"/>
      <c r="WWR85" s="31"/>
      <c r="WWS85" s="31"/>
      <c r="WWT85" s="31"/>
      <c r="WWU85" s="31"/>
      <c r="WWV85" s="31"/>
      <c r="WWW85" s="31"/>
      <c r="WWX85" s="31"/>
      <c r="WWY85" s="31"/>
      <c r="WWZ85" s="31"/>
      <c r="WXA85" s="31"/>
      <c r="WXB85" s="31"/>
      <c r="WXC85" s="31"/>
      <c r="WXD85" s="31"/>
      <c r="WXE85" s="31"/>
      <c r="WXF85" s="31"/>
      <c r="WXG85" s="31"/>
      <c r="WXH85" s="31"/>
      <c r="WXI85" s="31"/>
      <c r="WXJ85" s="31"/>
      <c r="WXK85" s="31"/>
      <c r="WXL85" s="31"/>
      <c r="WXM85" s="31"/>
      <c r="WXN85" s="31"/>
      <c r="WXO85" s="31"/>
      <c r="WXP85" s="31"/>
      <c r="WXQ85" s="31"/>
      <c r="WXR85" s="31"/>
      <c r="WXS85" s="31"/>
      <c r="WXT85" s="31"/>
      <c r="WXU85" s="31"/>
      <c r="WXV85" s="31"/>
      <c r="WXW85" s="31"/>
      <c r="WXX85" s="31"/>
      <c r="WXY85" s="31"/>
      <c r="WXZ85" s="31"/>
      <c r="WYA85" s="31"/>
      <c r="WYB85" s="31"/>
      <c r="WYC85" s="31"/>
      <c r="WYD85" s="31"/>
      <c r="WYE85" s="31"/>
      <c r="WYF85" s="31"/>
      <c r="WYG85" s="31"/>
      <c r="WYH85" s="31"/>
      <c r="WYI85" s="31"/>
      <c r="WYJ85" s="31"/>
      <c r="WYK85" s="31"/>
      <c r="WYL85" s="31"/>
      <c r="WYM85" s="31"/>
      <c r="WYN85" s="31"/>
      <c r="WYO85" s="31"/>
      <c r="WYP85" s="31"/>
      <c r="WYQ85" s="31"/>
      <c r="WYR85" s="31"/>
      <c r="WYS85" s="31"/>
      <c r="WYT85" s="31"/>
      <c r="WYU85" s="31"/>
      <c r="WYV85" s="31"/>
      <c r="WYW85" s="31"/>
      <c r="WYX85" s="31"/>
      <c r="WYY85" s="31"/>
      <c r="WYZ85" s="31"/>
      <c r="WZA85" s="31"/>
      <c r="WZB85" s="31"/>
      <c r="WZC85" s="31"/>
      <c r="WZD85" s="31"/>
      <c r="WZE85" s="31"/>
      <c r="WZF85" s="31"/>
      <c r="WZG85" s="31"/>
      <c r="WZH85" s="31"/>
      <c r="WZI85" s="31"/>
      <c r="WZJ85" s="31"/>
      <c r="WZK85" s="31"/>
      <c r="WZL85" s="31"/>
      <c r="WZM85" s="31"/>
      <c r="WZN85" s="31"/>
      <c r="WZO85" s="31"/>
      <c r="WZP85" s="31"/>
      <c r="WZQ85" s="31"/>
      <c r="WZR85" s="31"/>
      <c r="WZS85" s="31"/>
      <c r="WZT85" s="31"/>
      <c r="WZU85" s="31"/>
      <c r="WZV85" s="31"/>
      <c r="WZW85" s="31"/>
      <c r="WZX85" s="31"/>
      <c r="WZY85" s="31"/>
      <c r="WZZ85" s="31"/>
      <c r="XAA85" s="31"/>
      <c r="XAB85" s="31"/>
      <c r="XAC85" s="31"/>
      <c r="XAD85" s="31"/>
      <c r="XAE85" s="31"/>
      <c r="XAF85" s="31"/>
      <c r="XAG85" s="31"/>
      <c r="XAH85" s="31"/>
      <c r="XAI85" s="31"/>
      <c r="XAJ85" s="31"/>
      <c r="XAK85" s="31"/>
      <c r="XAL85" s="31"/>
      <c r="XAM85" s="31"/>
      <c r="XAN85" s="31"/>
      <c r="XAO85" s="31"/>
      <c r="XAP85" s="31"/>
      <c r="XAQ85" s="31"/>
      <c r="XAR85" s="31"/>
      <c r="XAS85" s="31"/>
      <c r="XAT85" s="31"/>
      <c r="XAU85" s="31"/>
      <c r="XAV85" s="31"/>
      <c r="XAW85" s="31"/>
      <c r="XAX85" s="31"/>
      <c r="XAY85" s="31"/>
      <c r="XAZ85" s="31"/>
      <c r="XBA85" s="31"/>
      <c r="XBB85" s="31"/>
      <c r="XBC85" s="31"/>
      <c r="XBD85" s="31"/>
      <c r="XBE85" s="31"/>
      <c r="XBF85" s="31"/>
      <c r="XBG85" s="31"/>
      <c r="XBH85" s="31"/>
      <c r="XBI85" s="31"/>
      <c r="XBJ85" s="31"/>
      <c r="XBK85" s="31"/>
      <c r="XBL85" s="31"/>
      <c r="XBM85" s="31"/>
      <c r="XBN85" s="31"/>
      <c r="XBO85" s="31"/>
      <c r="XBP85" s="31"/>
      <c r="XBQ85" s="31"/>
      <c r="XBR85" s="31"/>
      <c r="XBS85" s="31"/>
      <c r="XBT85" s="31"/>
      <c r="XBU85" s="31"/>
      <c r="XBV85" s="31"/>
      <c r="XBW85" s="31"/>
      <c r="XBX85" s="31"/>
      <c r="XBY85" s="31"/>
      <c r="XBZ85" s="31"/>
      <c r="XCA85" s="31"/>
      <c r="XCB85" s="31"/>
      <c r="XCC85" s="31"/>
      <c r="XCD85" s="31"/>
      <c r="XCE85" s="31"/>
      <c r="XCF85" s="31"/>
      <c r="XCG85" s="31"/>
      <c r="XCH85" s="31"/>
      <c r="XCI85" s="31"/>
      <c r="XCJ85" s="31"/>
      <c r="XCK85" s="31"/>
      <c r="XCL85" s="31"/>
      <c r="XCM85" s="31"/>
      <c r="XCN85" s="31"/>
      <c r="XCO85" s="31"/>
      <c r="XCP85" s="31"/>
      <c r="XCQ85" s="31"/>
      <c r="XCR85" s="31"/>
      <c r="XCS85" s="31"/>
      <c r="XCT85" s="31"/>
      <c r="XCU85" s="31"/>
      <c r="XCV85" s="31"/>
      <c r="XCW85" s="31"/>
      <c r="XCX85" s="31"/>
      <c r="XCY85" s="31"/>
      <c r="XCZ85" s="31"/>
      <c r="XDA85" s="31"/>
      <c r="XDB85" s="31"/>
      <c r="XDC85" s="31"/>
      <c r="XDD85" s="31"/>
      <c r="XDE85" s="31"/>
      <c r="XDF85" s="31"/>
      <c r="XDG85" s="31"/>
      <c r="XDH85" s="31"/>
      <c r="XDI85" s="31"/>
      <c r="XDJ85" s="31"/>
      <c r="XDK85" s="31"/>
      <c r="XDL85" s="31"/>
      <c r="XDM85" s="31"/>
      <c r="XDN85" s="31"/>
      <c r="XDO85" s="31"/>
      <c r="XDP85" s="31"/>
      <c r="XDQ85" s="31"/>
      <c r="XDR85" s="31"/>
      <c r="XDS85" s="31"/>
      <c r="XDT85" s="31"/>
      <c r="XDU85" s="31"/>
      <c r="XDV85" s="31"/>
      <c r="XDW85" s="31"/>
      <c r="XDX85" s="31"/>
      <c r="XDY85" s="31"/>
      <c r="XDZ85" s="31"/>
      <c r="XEA85" s="31"/>
      <c r="XEB85" s="31"/>
      <c r="XEC85" s="31"/>
      <c r="XED85" s="31"/>
      <c r="XEE85" s="31"/>
      <c r="XEF85" s="31"/>
      <c r="XEG85" s="31"/>
      <c r="XEH85" s="31"/>
      <c r="XEI85" s="31"/>
      <c r="XEJ85" s="31"/>
      <c r="XEK85" s="31"/>
      <c r="XEL85" s="31"/>
      <c r="XEM85" s="31"/>
      <c r="XEN85" s="31"/>
      <c r="XEO85" s="31"/>
      <c r="XEP85" s="31"/>
      <c r="XEQ85" s="31"/>
      <c r="XER85" s="31"/>
      <c r="XES85" s="31"/>
      <c r="XET85" s="31"/>
      <c r="XEU85" s="31"/>
      <c r="XEV85" s="31"/>
      <c r="XEW85" s="31"/>
      <c r="XEX85" s="31"/>
      <c r="XEY85" s="31"/>
      <c r="XEZ85" s="31"/>
      <c r="XFA85" s="31"/>
      <c r="XFB85" s="31"/>
    </row>
    <row r="86" spans="1:16382" s="849" customFormat="1" ht="21" customHeight="1" thickBot="1" x14ac:dyDescent="0.25">
      <c r="A86" s="2446"/>
      <c r="B86" s="2437"/>
      <c r="C86" s="2438"/>
      <c r="D86" s="2438"/>
      <c r="E86" s="886" t="s">
        <v>2585</v>
      </c>
      <c r="F86" s="2266">
        <f>F85/12</f>
        <v>0.83333333333333337</v>
      </c>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31"/>
      <c r="CL86" s="31"/>
      <c r="CM86" s="31"/>
      <c r="CN86" s="31"/>
      <c r="CO86" s="31"/>
      <c r="CP86" s="31"/>
      <c r="CQ86" s="31"/>
      <c r="CR86" s="31"/>
      <c r="CS86" s="31"/>
      <c r="CT86" s="31"/>
      <c r="CU86" s="31"/>
      <c r="CV86" s="31"/>
      <c r="CW86" s="31"/>
      <c r="CX86" s="31"/>
      <c r="CY86" s="31"/>
      <c r="CZ86" s="31"/>
      <c r="DA86" s="31"/>
      <c r="DB86" s="31"/>
      <c r="DC86" s="31"/>
      <c r="DD86" s="31"/>
      <c r="DE86" s="31"/>
      <c r="DF86" s="31"/>
      <c r="DG86" s="31"/>
      <c r="DH86" s="31"/>
      <c r="DI86" s="31"/>
      <c r="DJ86" s="31"/>
      <c r="DK86" s="31"/>
      <c r="DL86" s="31"/>
      <c r="DM86" s="31"/>
      <c r="DN86" s="31"/>
      <c r="DO86" s="31"/>
      <c r="DP86" s="31"/>
      <c r="DQ86" s="31"/>
      <c r="DR86" s="31"/>
      <c r="DS86" s="31"/>
      <c r="DT86" s="31"/>
      <c r="DU86" s="31"/>
      <c r="DV86" s="31"/>
      <c r="DW86" s="31"/>
      <c r="DX86" s="31"/>
      <c r="DY86" s="31"/>
      <c r="DZ86" s="31"/>
      <c r="EA86" s="31"/>
      <c r="EB86" s="31"/>
      <c r="EC86" s="31"/>
      <c r="ED86" s="31"/>
      <c r="EE86" s="31"/>
      <c r="EF86" s="31"/>
      <c r="EG86" s="31"/>
      <c r="EH86" s="31"/>
      <c r="EI86" s="31"/>
      <c r="EJ86" s="31"/>
      <c r="EK86" s="31"/>
      <c r="EL86" s="31"/>
      <c r="EM86" s="31"/>
      <c r="EN86" s="31"/>
      <c r="EO86" s="31"/>
      <c r="EP86" s="31"/>
      <c r="EQ86" s="31"/>
      <c r="ER86" s="31"/>
      <c r="ES86" s="31"/>
      <c r="ET86" s="31"/>
      <c r="EU86" s="31"/>
      <c r="EV86" s="31"/>
      <c r="EW86" s="31"/>
      <c r="EX86" s="31"/>
      <c r="EY86" s="31"/>
      <c r="EZ86" s="31"/>
      <c r="FA86" s="31"/>
      <c r="FB86" s="31"/>
      <c r="FC86" s="31"/>
      <c r="FD86" s="31"/>
      <c r="FE86" s="31"/>
      <c r="FF86" s="31"/>
      <c r="FG86" s="31"/>
      <c r="FH86" s="31"/>
      <c r="FI86" s="31"/>
      <c r="FJ86" s="31"/>
      <c r="FK86" s="31"/>
      <c r="FL86" s="31"/>
      <c r="FM86" s="31"/>
      <c r="FN86" s="31"/>
      <c r="FO86" s="31"/>
      <c r="FP86" s="31"/>
      <c r="FQ86" s="31"/>
      <c r="FR86" s="31"/>
      <c r="FS86" s="31"/>
      <c r="FT86" s="31"/>
      <c r="FU86" s="31"/>
      <c r="FV86" s="31"/>
      <c r="FW86" s="31"/>
      <c r="FX86" s="31"/>
      <c r="FY86" s="31"/>
      <c r="FZ86" s="31"/>
      <c r="GA86" s="31"/>
      <c r="GB86" s="31"/>
      <c r="GC86" s="31"/>
      <c r="GD86" s="31"/>
      <c r="GE86" s="31"/>
      <c r="GF86" s="31"/>
      <c r="GG86" s="31"/>
      <c r="GH86" s="31"/>
      <c r="GI86" s="31"/>
      <c r="GJ86" s="31"/>
      <c r="GK86" s="31"/>
      <c r="GL86" s="31"/>
      <c r="GM86" s="31"/>
      <c r="GN86" s="31"/>
      <c r="GO86" s="31"/>
      <c r="GP86" s="31"/>
      <c r="GQ86" s="31"/>
      <c r="GR86" s="31"/>
      <c r="GS86" s="31"/>
      <c r="GT86" s="31"/>
      <c r="GU86" s="31"/>
      <c r="GV86" s="31"/>
      <c r="GW86" s="31"/>
      <c r="GX86" s="31"/>
      <c r="GY86" s="31"/>
      <c r="GZ86" s="31"/>
      <c r="HA86" s="31"/>
      <c r="HB86" s="31"/>
      <c r="HC86" s="31"/>
      <c r="HD86" s="31"/>
      <c r="HE86" s="31"/>
      <c r="HF86" s="31"/>
      <c r="HG86" s="31"/>
      <c r="HH86" s="31"/>
      <c r="HI86" s="31"/>
      <c r="HJ86" s="31"/>
      <c r="HK86" s="31"/>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31"/>
      <c r="IZ86" s="31"/>
      <c r="JA86" s="31"/>
      <c r="JB86" s="31"/>
      <c r="JC86" s="31"/>
      <c r="JD86" s="31"/>
      <c r="JE86" s="31"/>
      <c r="JF86" s="31"/>
      <c r="JG86" s="31"/>
      <c r="JH86" s="31"/>
      <c r="JI86" s="31"/>
      <c r="JJ86" s="31"/>
      <c r="JK86" s="31"/>
      <c r="JL86" s="31"/>
      <c r="JM86" s="31"/>
      <c r="JN86" s="31"/>
      <c r="JO86" s="31"/>
      <c r="JP86" s="31"/>
      <c r="JQ86" s="31"/>
      <c r="JR86" s="31"/>
      <c r="JS86" s="31"/>
      <c r="JT86" s="31"/>
      <c r="JU86" s="31"/>
      <c r="JV86" s="31"/>
      <c r="JW86" s="31"/>
      <c r="JX86" s="31"/>
      <c r="JY86" s="31"/>
      <c r="JZ86" s="31"/>
      <c r="KA86" s="31"/>
      <c r="KB86" s="31"/>
      <c r="KC86" s="31"/>
      <c r="KD86" s="31"/>
      <c r="KE86" s="31"/>
      <c r="KF86" s="31"/>
      <c r="KG86" s="31"/>
      <c r="KH86" s="31"/>
      <c r="KI86" s="31"/>
      <c r="KJ86" s="31"/>
      <c r="KK86" s="31"/>
      <c r="KL86" s="31"/>
      <c r="KM86" s="31"/>
      <c r="KN86" s="31"/>
      <c r="KO86" s="31"/>
      <c r="KP86" s="31"/>
      <c r="KQ86" s="31"/>
      <c r="KR86" s="31"/>
      <c r="KS86" s="31"/>
      <c r="KT86" s="31"/>
      <c r="KU86" s="31"/>
      <c r="KV86" s="31"/>
      <c r="KW86" s="31"/>
      <c r="KX86" s="31"/>
      <c r="KY86" s="31"/>
      <c r="KZ86" s="31"/>
      <c r="LA86" s="31"/>
      <c r="LB86" s="31"/>
      <c r="LC86" s="31"/>
      <c r="LD86" s="31"/>
      <c r="LE86" s="31"/>
      <c r="LF86" s="31"/>
      <c r="LG86" s="31"/>
      <c r="LH86" s="31"/>
      <c r="LI86" s="31"/>
      <c r="LJ86" s="31"/>
      <c r="LK86" s="31"/>
      <c r="LL86" s="31"/>
      <c r="LM86" s="31"/>
      <c r="LN86" s="31"/>
      <c r="LO86" s="31"/>
      <c r="LP86" s="31"/>
      <c r="LQ86" s="31"/>
      <c r="LR86" s="31"/>
      <c r="LS86" s="31"/>
      <c r="LT86" s="31"/>
      <c r="LU86" s="31"/>
      <c r="LV86" s="31"/>
      <c r="LW86" s="31"/>
      <c r="LX86" s="31"/>
      <c r="LY86" s="31"/>
      <c r="LZ86" s="31"/>
      <c r="MA86" s="31"/>
      <c r="MB86" s="31"/>
      <c r="MC86" s="31"/>
      <c r="MD86" s="31"/>
      <c r="ME86" s="31"/>
      <c r="MF86" s="31"/>
      <c r="MG86" s="31"/>
      <c r="MH86" s="31"/>
      <c r="MI86" s="31"/>
      <c r="MJ86" s="31"/>
      <c r="MK86" s="31"/>
      <c r="ML86" s="31"/>
      <c r="MM86" s="31"/>
      <c r="MN86" s="31"/>
      <c r="MO86" s="31"/>
      <c r="MP86" s="31"/>
      <c r="MQ86" s="31"/>
      <c r="MR86" s="31"/>
      <c r="MS86" s="31"/>
      <c r="MT86" s="31"/>
      <c r="MU86" s="31"/>
      <c r="MV86" s="31"/>
      <c r="MW86" s="31"/>
      <c r="MX86" s="31"/>
      <c r="MY86" s="31"/>
      <c r="MZ86" s="31"/>
      <c r="NA86" s="31"/>
      <c r="NB86" s="31"/>
      <c r="NC86" s="31"/>
      <c r="ND86" s="31"/>
      <c r="NE86" s="31"/>
      <c r="NF86" s="31"/>
      <c r="NG86" s="31"/>
      <c r="NH86" s="31"/>
      <c r="NI86" s="31"/>
      <c r="NJ86" s="31"/>
      <c r="NK86" s="31"/>
      <c r="NL86" s="31"/>
      <c r="NM86" s="31"/>
      <c r="NN86" s="31"/>
      <c r="NO86" s="31"/>
      <c r="NP86" s="31"/>
      <c r="NQ86" s="31"/>
      <c r="NR86" s="31"/>
      <c r="NS86" s="31"/>
      <c r="NT86" s="31"/>
      <c r="NU86" s="31"/>
      <c r="NV86" s="31"/>
      <c r="NW86" s="31"/>
      <c r="NX86" s="31"/>
      <c r="NY86" s="31"/>
      <c r="NZ86" s="31"/>
      <c r="OA86" s="31"/>
      <c r="OB86" s="31"/>
      <c r="OC86" s="31"/>
      <c r="OD86" s="31"/>
      <c r="OE86" s="31"/>
      <c r="OF86" s="31"/>
      <c r="OG86" s="31"/>
      <c r="OH86" s="31"/>
      <c r="OI86" s="31"/>
      <c r="OJ86" s="31"/>
      <c r="OK86" s="31"/>
      <c r="OL86" s="31"/>
      <c r="OM86" s="31"/>
      <c r="ON86" s="31"/>
      <c r="OO86" s="31"/>
      <c r="OP86" s="31"/>
      <c r="OQ86" s="31"/>
      <c r="OR86" s="31"/>
      <c r="OS86" s="31"/>
      <c r="OT86" s="31"/>
      <c r="OU86" s="31"/>
      <c r="OV86" s="31"/>
      <c r="OW86" s="31"/>
      <c r="OX86" s="31"/>
      <c r="OY86" s="31"/>
      <c r="OZ86" s="31"/>
      <c r="PA86" s="31"/>
      <c r="PB86" s="31"/>
      <c r="PC86" s="31"/>
      <c r="PD86" s="31"/>
      <c r="PE86" s="31"/>
      <c r="PF86" s="31"/>
      <c r="PG86" s="31"/>
      <c r="PH86" s="31"/>
      <c r="PI86" s="31"/>
      <c r="PJ86" s="31"/>
      <c r="PK86" s="31"/>
      <c r="PL86" s="31"/>
      <c r="PM86" s="31"/>
      <c r="PN86" s="31"/>
      <c r="PO86" s="31"/>
      <c r="PP86" s="31"/>
      <c r="PQ86" s="31"/>
      <c r="PR86" s="31"/>
      <c r="PS86" s="31"/>
      <c r="PT86" s="31"/>
      <c r="PU86" s="31"/>
      <c r="PV86" s="31"/>
      <c r="PW86" s="31"/>
      <c r="PX86" s="31"/>
      <c r="PY86" s="31"/>
      <c r="PZ86" s="31"/>
      <c r="QA86" s="31"/>
      <c r="QB86" s="31"/>
      <c r="QC86" s="31"/>
      <c r="QD86" s="31"/>
      <c r="QE86" s="31"/>
      <c r="QF86" s="31"/>
      <c r="QG86" s="31"/>
      <c r="QH86" s="31"/>
      <c r="QI86" s="31"/>
      <c r="QJ86" s="31"/>
      <c r="QK86" s="31"/>
      <c r="QL86" s="31"/>
      <c r="QM86" s="31"/>
      <c r="QN86" s="31"/>
      <c r="QO86" s="31"/>
      <c r="QP86" s="31"/>
      <c r="QQ86" s="31"/>
      <c r="QR86" s="31"/>
      <c r="QS86" s="31"/>
      <c r="QT86" s="31"/>
      <c r="QU86" s="31"/>
      <c r="QV86" s="31"/>
      <c r="QW86" s="31"/>
      <c r="QX86" s="31"/>
      <c r="QY86" s="31"/>
      <c r="QZ86" s="31"/>
      <c r="RA86" s="31"/>
      <c r="RB86" s="31"/>
      <c r="RC86" s="31"/>
      <c r="RD86" s="31"/>
      <c r="RE86" s="31"/>
      <c r="RF86" s="31"/>
      <c r="RG86" s="31"/>
      <c r="RH86" s="31"/>
      <c r="RI86" s="31"/>
      <c r="RJ86" s="31"/>
      <c r="RK86" s="31"/>
      <c r="RL86" s="31"/>
      <c r="RM86" s="31"/>
      <c r="RN86" s="31"/>
      <c r="RO86" s="31"/>
      <c r="RP86" s="31"/>
      <c r="RQ86" s="31"/>
      <c r="RR86" s="31"/>
      <c r="RS86" s="31"/>
      <c r="RT86" s="31"/>
      <c r="RU86" s="31"/>
      <c r="RV86" s="31"/>
      <c r="RW86" s="31"/>
      <c r="RX86" s="31"/>
      <c r="RY86" s="31"/>
      <c r="RZ86" s="31"/>
      <c r="SA86" s="31"/>
      <c r="SB86" s="31"/>
      <c r="SC86" s="31"/>
      <c r="SD86" s="31"/>
      <c r="SE86" s="31"/>
      <c r="SF86" s="31"/>
      <c r="SG86" s="31"/>
      <c r="SH86" s="31"/>
      <c r="SI86" s="31"/>
      <c r="SJ86" s="31"/>
      <c r="SK86" s="31"/>
      <c r="SL86" s="31"/>
      <c r="SM86" s="31"/>
      <c r="SN86" s="31"/>
      <c r="SO86" s="31"/>
      <c r="SP86" s="31"/>
      <c r="SQ86" s="31"/>
      <c r="SR86" s="31"/>
      <c r="SS86" s="31"/>
      <c r="ST86" s="31"/>
      <c r="SU86" s="31"/>
      <c r="SV86" s="31"/>
      <c r="SW86" s="31"/>
      <c r="SX86" s="31"/>
      <c r="SY86" s="31"/>
      <c r="SZ86" s="31"/>
      <c r="TA86" s="31"/>
      <c r="TB86" s="31"/>
      <c r="TC86" s="31"/>
      <c r="TD86" s="31"/>
      <c r="TE86" s="31"/>
      <c r="TF86" s="31"/>
      <c r="TG86" s="31"/>
      <c r="TH86" s="31"/>
      <c r="TI86" s="31"/>
      <c r="TJ86" s="31"/>
      <c r="TK86" s="31"/>
      <c r="TL86" s="31"/>
      <c r="TM86" s="31"/>
      <c r="TN86" s="31"/>
      <c r="TO86" s="31"/>
      <c r="TP86" s="31"/>
      <c r="TQ86" s="31"/>
      <c r="TR86" s="31"/>
      <c r="TS86" s="31"/>
      <c r="TT86" s="31"/>
      <c r="TU86" s="31"/>
      <c r="TV86" s="31"/>
      <c r="TW86" s="31"/>
      <c r="TX86" s="31"/>
      <c r="TY86" s="31"/>
      <c r="TZ86" s="31"/>
      <c r="UA86" s="31"/>
      <c r="UB86" s="31"/>
      <c r="UC86" s="31"/>
      <c r="UD86" s="31"/>
      <c r="UE86" s="31"/>
      <c r="UF86" s="31"/>
      <c r="UG86" s="31"/>
      <c r="UH86" s="31"/>
      <c r="UI86" s="31"/>
      <c r="UJ86" s="31"/>
      <c r="UK86" s="31"/>
      <c r="UL86" s="31"/>
      <c r="UM86" s="31"/>
      <c r="UN86" s="31"/>
      <c r="UO86" s="31"/>
      <c r="UP86" s="31"/>
      <c r="UQ86" s="31"/>
      <c r="UR86" s="31"/>
      <c r="US86" s="31"/>
      <c r="UT86" s="31"/>
      <c r="UU86" s="31"/>
      <c r="UV86" s="31"/>
      <c r="UW86" s="31"/>
      <c r="UX86" s="31"/>
      <c r="UY86" s="31"/>
      <c r="UZ86" s="31"/>
      <c r="VA86" s="31"/>
      <c r="VB86" s="31"/>
      <c r="VC86" s="31"/>
      <c r="VD86" s="31"/>
      <c r="VE86" s="31"/>
      <c r="VF86" s="31"/>
      <c r="VG86" s="31"/>
      <c r="VH86" s="31"/>
      <c r="VI86" s="31"/>
      <c r="VJ86" s="31"/>
      <c r="VK86" s="31"/>
      <c r="VL86" s="31"/>
      <c r="VM86" s="31"/>
      <c r="VN86" s="31"/>
      <c r="VO86" s="31"/>
      <c r="VP86" s="31"/>
      <c r="VQ86" s="31"/>
      <c r="VR86" s="31"/>
      <c r="VS86" s="31"/>
      <c r="VT86" s="31"/>
      <c r="VU86" s="31"/>
      <c r="VV86" s="31"/>
      <c r="VW86" s="31"/>
      <c r="VX86" s="31"/>
      <c r="VY86" s="31"/>
      <c r="VZ86" s="31"/>
      <c r="WA86" s="31"/>
      <c r="WB86" s="31"/>
      <c r="WC86" s="31"/>
      <c r="WD86" s="31"/>
      <c r="WE86" s="31"/>
      <c r="WF86" s="31"/>
      <c r="WG86" s="31"/>
      <c r="WH86" s="31"/>
      <c r="WI86" s="31"/>
      <c r="WJ86" s="31"/>
      <c r="WK86" s="31"/>
      <c r="WL86" s="31"/>
      <c r="WM86" s="31"/>
      <c r="WN86" s="31"/>
      <c r="WO86" s="31"/>
      <c r="WP86" s="31"/>
      <c r="WQ86" s="31"/>
      <c r="WR86" s="31"/>
      <c r="WS86" s="31"/>
      <c r="WT86" s="31"/>
      <c r="WU86" s="31"/>
      <c r="WV86" s="31"/>
      <c r="WW86" s="31"/>
      <c r="WX86" s="31"/>
      <c r="WY86" s="31"/>
      <c r="WZ86" s="31"/>
      <c r="XA86" s="31"/>
      <c r="XB86" s="31"/>
      <c r="XC86" s="31"/>
      <c r="XD86" s="31"/>
      <c r="XE86" s="31"/>
      <c r="XF86" s="31"/>
      <c r="XG86" s="31"/>
      <c r="XH86" s="31"/>
      <c r="XI86" s="31"/>
      <c r="XJ86" s="31"/>
      <c r="XK86" s="31"/>
      <c r="XL86" s="31"/>
      <c r="XM86" s="31"/>
      <c r="XN86" s="31"/>
      <c r="XO86" s="31"/>
      <c r="XP86" s="31"/>
      <c r="XQ86" s="31"/>
      <c r="XR86" s="31"/>
      <c r="XS86" s="31"/>
      <c r="XT86" s="31"/>
      <c r="XU86" s="31"/>
      <c r="XV86" s="31"/>
      <c r="XW86" s="31"/>
      <c r="XX86" s="31"/>
      <c r="XY86" s="31"/>
      <c r="XZ86" s="31"/>
      <c r="YA86" s="31"/>
      <c r="YB86" s="31"/>
      <c r="YC86" s="31"/>
      <c r="YD86" s="31"/>
      <c r="YE86" s="31"/>
      <c r="YF86" s="31"/>
      <c r="YG86" s="31"/>
      <c r="YH86" s="31"/>
      <c r="YI86" s="31"/>
      <c r="YJ86" s="31"/>
      <c r="YK86" s="31"/>
      <c r="YL86" s="31"/>
      <c r="YM86" s="31"/>
      <c r="YN86" s="31"/>
      <c r="YO86" s="31"/>
      <c r="YP86" s="31"/>
      <c r="YQ86" s="31"/>
      <c r="YR86" s="31"/>
      <c r="YS86" s="31"/>
      <c r="YT86" s="31"/>
      <c r="YU86" s="31"/>
      <c r="YV86" s="31"/>
      <c r="YW86" s="31"/>
      <c r="YX86" s="31"/>
      <c r="YY86" s="31"/>
      <c r="YZ86" s="31"/>
      <c r="ZA86" s="31"/>
      <c r="ZB86" s="31"/>
      <c r="ZC86" s="31"/>
      <c r="ZD86" s="31"/>
      <c r="ZE86" s="31"/>
      <c r="ZF86" s="31"/>
      <c r="ZG86" s="31"/>
      <c r="ZH86" s="31"/>
      <c r="ZI86" s="31"/>
      <c r="ZJ86" s="31"/>
      <c r="ZK86" s="31"/>
      <c r="ZL86" s="31"/>
      <c r="ZM86" s="31"/>
      <c r="ZN86" s="31"/>
      <c r="ZO86" s="31"/>
      <c r="ZP86" s="31"/>
      <c r="ZQ86" s="31"/>
      <c r="ZR86" s="31"/>
      <c r="ZS86" s="31"/>
      <c r="ZT86" s="31"/>
      <c r="ZU86" s="31"/>
      <c r="ZV86" s="31"/>
      <c r="ZW86" s="31"/>
      <c r="ZX86" s="31"/>
      <c r="ZY86" s="31"/>
      <c r="ZZ86" s="31"/>
      <c r="AAA86" s="31"/>
      <c r="AAB86" s="31"/>
      <c r="AAC86" s="31"/>
      <c r="AAD86" s="31"/>
      <c r="AAE86" s="31"/>
      <c r="AAF86" s="31"/>
      <c r="AAG86" s="31"/>
      <c r="AAH86" s="31"/>
      <c r="AAI86" s="31"/>
      <c r="AAJ86" s="31"/>
      <c r="AAK86" s="31"/>
      <c r="AAL86" s="31"/>
      <c r="AAM86" s="31"/>
      <c r="AAN86" s="31"/>
      <c r="AAO86" s="31"/>
      <c r="AAP86" s="31"/>
      <c r="AAQ86" s="31"/>
      <c r="AAR86" s="31"/>
      <c r="AAS86" s="31"/>
      <c r="AAT86" s="31"/>
      <c r="AAU86" s="31"/>
      <c r="AAV86" s="31"/>
      <c r="AAW86" s="31"/>
      <c r="AAX86" s="31"/>
      <c r="AAY86" s="31"/>
      <c r="AAZ86" s="31"/>
      <c r="ABA86" s="31"/>
      <c r="ABB86" s="31"/>
      <c r="ABC86" s="31"/>
      <c r="ABD86" s="31"/>
      <c r="ABE86" s="31"/>
      <c r="ABF86" s="31"/>
      <c r="ABG86" s="31"/>
      <c r="ABH86" s="31"/>
      <c r="ABI86" s="31"/>
      <c r="ABJ86" s="31"/>
      <c r="ABK86" s="31"/>
      <c r="ABL86" s="31"/>
      <c r="ABM86" s="31"/>
      <c r="ABN86" s="31"/>
      <c r="ABO86" s="31"/>
      <c r="ABP86" s="31"/>
      <c r="ABQ86" s="31"/>
      <c r="ABR86" s="31"/>
      <c r="ABS86" s="31"/>
      <c r="ABT86" s="31"/>
      <c r="ABU86" s="31"/>
      <c r="ABV86" s="31"/>
      <c r="ABW86" s="31"/>
      <c r="ABX86" s="31"/>
      <c r="ABY86" s="31"/>
      <c r="ABZ86" s="31"/>
      <c r="ACA86" s="31"/>
      <c r="ACB86" s="31"/>
      <c r="ACC86" s="31"/>
      <c r="ACD86" s="31"/>
      <c r="ACE86" s="31"/>
      <c r="ACF86" s="31"/>
      <c r="ACG86" s="31"/>
      <c r="ACH86" s="31"/>
      <c r="ACI86" s="31"/>
      <c r="ACJ86" s="31"/>
      <c r="ACK86" s="31"/>
      <c r="ACL86" s="31"/>
      <c r="ACM86" s="31"/>
      <c r="ACN86" s="31"/>
      <c r="ACO86" s="31"/>
      <c r="ACP86" s="31"/>
      <c r="ACQ86" s="31"/>
      <c r="ACR86" s="31"/>
      <c r="ACS86" s="31"/>
      <c r="ACT86" s="31"/>
      <c r="ACU86" s="31"/>
      <c r="ACV86" s="31"/>
      <c r="ACW86" s="31"/>
      <c r="ACX86" s="31"/>
      <c r="ACY86" s="31"/>
      <c r="ACZ86" s="31"/>
      <c r="ADA86" s="31"/>
      <c r="ADB86" s="31"/>
      <c r="ADC86" s="31"/>
      <c r="ADD86" s="31"/>
      <c r="ADE86" s="31"/>
      <c r="ADF86" s="31"/>
      <c r="ADG86" s="31"/>
      <c r="ADH86" s="31"/>
      <c r="ADI86" s="31"/>
      <c r="ADJ86" s="31"/>
      <c r="ADK86" s="31"/>
      <c r="ADL86" s="31"/>
      <c r="ADM86" s="31"/>
      <c r="ADN86" s="31"/>
      <c r="ADO86" s="31"/>
      <c r="ADP86" s="31"/>
      <c r="ADQ86" s="31"/>
      <c r="ADR86" s="31"/>
      <c r="ADS86" s="31"/>
      <c r="ADT86" s="31"/>
      <c r="ADU86" s="31"/>
      <c r="ADV86" s="31"/>
      <c r="ADW86" s="31"/>
      <c r="ADX86" s="31"/>
      <c r="ADY86" s="31"/>
      <c r="ADZ86" s="31"/>
      <c r="AEA86" s="31"/>
      <c r="AEB86" s="31"/>
      <c r="AEC86" s="31"/>
      <c r="AED86" s="31"/>
      <c r="AEE86" s="31"/>
      <c r="AEF86" s="31"/>
      <c r="AEG86" s="31"/>
      <c r="AEH86" s="31"/>
      <c r="AEI86" s="31"/>
      <c r="AEJ86" s="31"/>
      <c r="AEK86" s="31"/>
      <c r="AEL86" s="31"/>
      <c r="AEM86" s="31"/>
      <c r="AEN86" s="31"/>
      <c r="AEO86" s="31"/>
      <c r="AEP86" s="31"/>
      <c r="AEQ86" s="31"/>
      <c r="AER86" s="31"/>
      <c r="AES86" s="31"/>
      <c r="AET86" s="31"/>
      <c r="AEU86" s="31"/>
      <c r="AEV86" s="31"/>
      <c r="AEW86" s="31"/>
      <c r="AEX86" s="31"/>
      <c r="AEY86" s="31"/>
      <c r="AEZ86" s="31"/>
      <c r="AFA86" s="31"/>
      <c r="AFB86" s="31"/>
      <c r="AFC86" s="31"/>
      <c r="AFD86" s="31"/>
      <c r="AFE86" s="31"/>
      <c r="AFF86" s="31"/>
      <c r="AFG86" s="31"/>
      <c r="AFH86" s="31"/>
      <c r="AFI86" s="31"/>
      <c r="AFJ86" s="31"/>
      <c r="AFK86" s="31"/>
      <c r="AFL86" s="31"/>
      <c r="AFM86" s="31"/>
      <c r="AFN86" s="31"/>
      <c r="AFO86" s="31"/>
      <c r="AFP86" s="31"/>
      <c r="AFQ86" s="31"/>
      <c r="AFR86" s="31"/>
      <c r="AFS86" s="31"/>
      <c r="AFT86" s="31"/>
      <c r="AFU86" s="31"/>
      <c r="AFV86" s="31"/>
      <c r="AFW86" s="31"/>
      <c r="AFX86" s="31"/>
      <c r="AFY86" s="31"/>
      <c r="AFZ86" s="31"/>
      <c r="AGA86" s="31"/>
      <c r="AGB86" s="31"/>
      <c r="AGC86" s="31"/>
      <c r="AGD86" s="31"/>
      <c r="AGE86" s="31"/>
      <c r="AGF86" s="31"/>
      <c r="AGG86" s="31"/>
      <c r="AGH86" s="31"/>
      <c r="AGI86" s="31"/>
      <c r="AGJ86" s="31"/>
      <c r="AGK86" s="31"/>
      <c r="AGL86" s="31"/>
      <c r="AGM86" s="31"/>
      <c r="AGN86" s="31"/>
      <c r="AGO86" s="31"/>
      <c r="AGP86" s="31"/>
      <c r="AGQ86" s="31"/>
      <c r="AGR86" s="31"/>
      <c r="AGS86" s="31"/>
      <c r="AGT86" s="31"/>
      <c r="AGU86" s="31"/>
      <c r="AGV86" s="31"/>
      <c r="AGW86" s="31"/>
      <c r="AGX86" s="31"/>
      <c r="AGY86" s="31"/>
      <c r="AGZ86" s="31"/>
      <c r="AHA86" s="31"/>
      <c r="AHB86" s="31"/>
      <c r="AHC86" s="31"/>
      <c r="AHD86" s="31"/>
      <c r="AHE86" s="31"/>
      <c r="AHF86" s="31"/>
      <c r="AHG86" s="31"/>
      <c r="AHH86" s="31"/>
      <c r="AHI86" s="31"/>
      <c r="AHJ86" s="31"/>
      <c r="AHK86" s="31"/>
      <c r="AHL86" s="31"/>
      <c r="AHM86" s="31"/>
      <c r="AHN86" s="31"/>
      <c r="AHO86" s="31"/>
      <c r="AHP86" s="31"/>
      <c r="AHQ86" s="31"/>
      <c r="AHR86" s="31"/>
      <c r="AHS86" s="31"/>
      <c r="AHT86" s="31"/>
      <c r="AHU86" s="31"/>
      <c r="AHV86" s="31"/>
      <c r="AHW86" s="31"/>
      <c r="AHX86" s="31"/>
      <c r="AHY86" s="31"/>
      <c r="AHZ86" s="31"/>
      <c r="AIA86" s="31"/>
      <c r="AIB86" s="31"/>
      <c r="AIC86" s="31"/>
      <c r="AID86" s="31"/>
      <c r="AIE86" s="31"/>
      <c r="AIF86" s="31"/>
      <c r="AIG86" s="31"/>
      <c r="AIH86" s="31"/>
      <c r="AII86" s="31"/>
      <c r="AIJ86" s="31"/>
      <c r="AIK86" s="31"/>
      <c r="AIL86" s="31"/>
      <c r="AIM86" s="31"/>
      <c r="AIN86" s="31"/>
      <c r="AIO86" s="31"/>
      <c r="AIP86" s="31"/>
      <c r="AIQ86" s="31"/>
      <c r="AIR86" s="31"/>
      <c r="AIS86" s="31"/>
      <c r="AIT86" s="31"/>
      <c r="AIU86" s="31"/>
      <c r="AIV86" s="31"/>
      <c r="AIW86" s="31"/>
      <c r="AIX86" s="31"/>
      <c r="AIY86" s="31"/>
      <c r="AIZ86" s="31"/>
      <c r="AJA86" s="31"/>
      <c r="AJB86" s="31"/>
      <c r="AJC86" s="31"/>
      <c r="AJD86" s="31"/>
      <c r="AJE86" s="31"/>
      <c r="AJF86" s="31"/>
      <c r="AJG86" s="31"/>
      <c r="AJH86" s="31"/>
      <c r="AJI86" s="31"/>
      <c r="AJJ86" s="31"/>
      <c r="AJK86" s="31"/>
      <c r="AJL86" s="31"/>
      <c r="AJM86" s="31"/>
      <c r="AJN86" s="31"/>
      <c r="AJO86" s="31"/>
      <c r="AJP86" s="31"/>
      <c r="AJQ86" s="31"/>
      <c r="AJR86" s="31"/>
      <c r="AJS86" s="31"/>
      <c r="AJT86" s="31"/>
      <c r="AJU86" s="31"/>
      <c r="AJV86" s="31"/>
      <c r="AJW86" s="31"/>
      <c r="AJX86" s="31"/>
      <c r="AJY86" s="31"/>
      <c r="AJZ86" s="31"/>
      <c r="AKA86" s="31"/>
      <c r="AKB86" s="31"/>
      <c r="AKC86" s="31"/>
      <c r="AKD86" s="31"/>
      <c r="AKE86" s="31"/>
      <c r="AKF86" s="31"/>
      <c r="AKG86" s="31"/>
      <c r="AKH86" s="31"/>
      <c r="AKI86" s="31"/>
      <c r="AKJ86" s="31"/>
      <c r="AKK86" s="31"/>
      <c r="AKL86" s="31"/>
      <c r="AKM86" s="31"/>
      <c r="AKN86" s="31"/>
      <c r="AKO86" s="31"/>
      <c r="AKP86" s="31"/>
      <c r="AKQ86" s="31"/>
      <c r="AKR86" s="31"/>
      <c r="AKS86" s="31"/>
      <c r="AKT86" s="31"/>
      <c r="AKU86" s="31"/>
      <c r="AKV86" s="31"/>
      <c r="AKW86" s="31"/>
      <c r="AKX86" s="31"/>
      <c r="AKY86" s="31"/>
      <c r="AKZ86" s="31"/>
      <c r="ALA86" s="31"/>
      <c r="ALB86" s="31"/>
      <c r="ALC86" s="31"/>
      <c r="ALD86" s="31"/>
      <c r="ALE86" s="31"/>
      <c r="ALF86" s="31"/>
      <c r="ALG86" s="31"/>
      <c r="ALH86" s="31"/>
      <c r="ALI86" s="31"/>
      <c r="ALJ86" s="31"/>
      <c r="ALK86" s="31"/>
      <c r="ALL86" s="31"/>
      <c r="ALM86" s="31"/>
      <c r="ALN86" s="31"/>
      <c r="ALO86" s="31"/>
      <c r="ALP86" s="31"/>
      <c r="ALQ86" s="31"/>
      <c r="ALR86" s="31"/>
      <c r="ALS86" s="31"/>
      <c r="ALT86" s="31"/>
      <c r="ALU86" s="31"/>
      <c r="ALV86" s="31"/>
      <c r="ALW86" s="31"/>
      <c r="ALX86" s="31"/>
      <c r="ALY86" s="31"/>
      <c r="ALZ86" s="31"/>
      <c r="AMA86" s="31"/>
      <c r="AMB86" s="31"/>
      <c r="AMC86" s="31"/>
      <c r="AMD86" s="31"/>
      <c r="AME86" s="31"/>
      <c r="AMF86" s="31"/>
      <c r="AMG86" s="31"/>
      <c r="AMH86" s="31"/>
      <c r="AMI86" s="31"/>
      <c r="AMJ86" s="31"/>
      <c r="AMK86" s="31"/>
      <c r="AML86" s="31"/>
      <c r="AMM86" s="31"/>
      <c r="AMN86" s="31"/>
      <c r="AMO86" s="31"/>
      <c r="AMP86" s="31"/>
      <c r="AMQ86" s="31"/>
      <c r="AMR86" s="31"/>
      <c r="AMS86" s="31"/>
      <c r="AMT86" s="31"/>
      <c r="AMU86" s="31"/>
      <c r="AMV86" s="31"/>
      <c r="AMW86" s="31"/>
      <c r="AMX86" s="31"/>
      <c r="AMY86" s="31"/>
      <c r="AMZ86" s="31"/>
      <c r="ANA86" s="31"/>
      <c r="ANB86" s="31"/>
      <c r="ANC86" s="31"/>
      <c r="AND86" s="31"/>
      <c r="ANE86" s="31"/>
      <c r="ANF86" s="31"/>
      <c r="ANG86" s="31"/>
      <c r="ANH86" s="31"/>
      <c r="ANI86" s="31"/>
      <c r="ANJ86" s="31"/>
      <c r="ANK86" s="31"/>
      <c r="ANL86" s="31"/>
      <c r="ANM86" s="31"/>
      <c r="ANN86" s="31"/>
      <c r="ANO86" s="31"/>
      <c r="ANP86" s="31"/>
      <c r="ANQ86" s="31"/>
      <c r="ANR86" s="31"/>
      <c r="ANS86" s="31"/>
      <c r="ANT86" s="31"/>
      <c r="ANU86" s="31"/>
      <c r="ANV86" s="31"/>
      <c r="ANW86" s="31"/>
      <c r="ANX86" s="31"/>
      <c r="ANY86" s="31"/>
      <c r="ANZ86" s="31"/>
      <c r="AOA86" s="31"/>
      <c r="AOB86" s="31"/>
      <c r="AOC86" s="31"/>
      <c r="AOD86" s="31"/>
      <c r="AOE86" s="31"/>
      <c r="AOF86" s="31"/>
      <c r="AOG86" s="31"/>
      <c r="AOH86" s="31"/>
      <c r="AOI86" s="31"/>
      <c r="AOJ86" s="31"/>
      <c r="AOK86" s="31"/>
      <c r="AOL86" s="31"/>
      <c r="AOM86" s="31"/>
      <c r="AON86" s="31"/>
      <c r="AOO86" s="31"/>
      <c r="AOP86" s="31"/>
      <c r="AOQ86" s="31"/>
      <c r="AOR86" s="31"/>
      <c r="AOS86" s="31"/>
      <c r="AOT86" s="31"/>
      <c r="AOU86" s="31"/>
      <c r="AOV86" s="31"/>
      <c r="AOW86" s="31"/>
      <c r="AOX86" s="31"/>
      <c r="AOY86" s="31"/>
      <c r="AOZ86" s="31"/>
      <c r="APA86" s="31"/>
      <c r="APB86" s="31"/>
      <c r="APC86" s="31"/>
      <c r="APD86" s="31"/>
      <c r="APE86" s="31"/>
      <c r="APF86" s="31"/>
      <c r="APG86" s="31"/>
      <c r="APH86" s="31"/>
      <c r="API86" s="31"/>
      <c r="APJ86" s="31"/>
      <c r="APK86" s="31"/>
      <c r="APL86" s="31"/>
      <c r="APM86" s="31"/>
      <c r="APN86" s="31"/>
      <c r="APO86" s="31"/>
      <c r="APP86" s="31"/>
      <c r="APQ86" s="31"/>
      <c r="APR86" s="31"/>
      <c r="APS86" s="31"/>
      <c r="APT86" s="31"/>
      <c r="APU86" s="31"/>
      <c r="APV86" s="31"/>
      <c r="APW86" s="31"/>
      <c r="APX86" s="31"/>
      <c r="APY86" s="31"/>
      <c r="APZ86" s="31"/>
      <c r="AQA86" s="31"/>
      <c r="AQB86" s="31"/>
      <c r="AQC86" s="31"/>
      <c r="AQD86" s="31"/>
      <c r="AQE86" s="31"/>
      <c r="AQF86" s="31"/>
      <c r="AQG86" s="31"/>
      <c r="AQH86" s="31"/>
      <c r="AQI86" s="31"/>
      <c r="AQJ86" s="31"/>
      <c r="AQK86" s="31"/>
      <c r="AQL86" s="31"/>
      <c r="AQM86" s="31"/>
      <c r="AQN86" s="31"/>
      <c r="AQO86" s="31"/>
      <c r="AQP86" s="31"/>
      <c r="AQQ86" s="31"/>
      <c r="AQR86" s="31"/>
      <c r="AQS86" s="31"/>
      <c r="AQT86" s="31"/>
      <c r="AQU86" s="31"/>
      <c r="AQV86" s="31"/>
      <c r="AQW86" s="31"/>
      <c r="AQX86" s="31"/>
      <c r="AQY86" s="31"/>
      <c r="AQZ86" s="31"/>
      <c r="ARA86" s="31"/>
      <c r="ARB86" s="31"/>
      <c r="ARC86" s="31"/>
      <c r="ARD86" s="31"/>
      <c r="ARE86" s="31"/>
      <c r="ARF86" s="31"/>
      <c r="ARG86" s="31"/>
      <c r="ARH86" s="31"/>
      <c r="ARI86" s="31"/>
      <c r="ARJ86" s="31"/>
      <c r="ARK86" s="31"/>
      <c r="ARL86" s="31"/>
      <c r="ARM86" s="31"/>
      <c r="ARN86" s="31"/>
      <c r="ARO86" s="31"/>
      <c r="ARP86" s="31"/>
      <c r="ARQ86" s="31"/>
      <c r="ARR86" s="31"/>
      <c r="ARS86" s="31"/>
      <c r="ART86" s="31"/>
      <c r="ARU86" s="31"/>
      <c r="ARV86" s="31"/>
      <c r="ARW86" s="31"/>
      <c r="ARX86" s="31"/>
      <c r="ARY86" s="31"/>
      <c r="ARZ86" s="31"/>
      <c r="ASA86" s="31"/>
      <c r="ASB86" s="31"/>
      <c r="ASC86" s="31"/>
      <c r="ASD86" s="31"/>
      <c r="ASE86" s="31"/>
      <c r="ASF86" s="31"/>
      <c r="ASG86" s="31"/>
      <c r="ASH86" s="31"/>
      <c r="ASI86" s="31"/>
      <c r="ASJ86" s="31"/>
      <c r="ASK86" s="31"/>
      <c r="ASL86" s="31"/>
      <c r="ASM86" s="31"/>
      <c r="ASN86" s="31"/>
      <c r="ASO86" s="31"/>
      <c r="ASP86" s="31"/>
      <c r="ASQ86" s="31"/>
      <c r="ASR86" s="31"/>
      <c r="ASS86" s="31"/>
      <c r="AST86" s="31"/>
      <c r="ASU86" s="31"/>
      <c r="ASV86" s="31"/>
      <c r="ASW86" s="31"/>
      <c r="ASX86" s="31"/>
      <c r="ASY86" s="31"/>
      <c r="ASZ86" s="31"/>
      <c r="ATA86" s="31"/>
      <c r="ATB86" s="31"/>
      <c r="ATC86" s="31"/>
      <c r="ATD86" s="31"/>
      <c r="ATE86" s="31"/>
      <c r="ATF86" s="31"/>
      <c r="ATG86" s="31"/>
      <c r="ATH86" s="31"/>
      <c r="ATI86" s="31"/>
      <c r="ATJ86" s="31"/>
      <c r="ATK86" s="31"/>
      <c r="ATL86" s="31"/>
      <c r="ATM86" s="31"/>
      <c r="ATN86" s="31"/>
      <c r="ATO86" s="31"/>
      <c r="ATP86" s="31"/>
      <c r="ATQ86" s="31"/>
      <c r="ATR86" s="31"/>
      <c r="ATS86" s="31"/>
      <c r="ATT86" s="31"/>
      <c r="ATU86" s="31"/>
      <c r="ATV86" s="31"/>
      <c r="ATW86" s="31"/>
      <c r="ATX86" s="31"/>
      <c r="ATY86" s="31"/>
      <c r="ATZ86" s="31"/>
      <c r="AUA86" s="31"/>
      <c r="AUB86" s="31"/>
      <c r="AUC86" s="31"/>
      <c r="AUD86" s="31"/>
      <c r="AUE86" s="31"/>
      <c r="AUF86" s="31"/>
      <c r="AUG86" s="31"/>
      <c r="AUH86" s="31"/>
      <c r="AUI86" s="31"/>
      <c r="AUJ86" s="31"/>
      <c r="AUK86" s="31"/>
      <c r="AUL86" s="31"/>
      <c r="AUM86" s="31"/>
      <c r="AUN86" s="31"/>
      <c r="AUO86" s="31"/>
      <c r="AUP86" s="31"/>
      <c r="AUQ86" s="31"/>
      <c r="AUR86" s="31"/>
      <c r="AUS86" s="31"/>
      <c r="AUT86" s="31"/>
      <c r="AUU86" s="31"/>
      <c r="AUV86" s="31"/>
      <c r="AUW86" s="31"/>
      <c r="AUX86" s="31"/>
      <c r="AUY86" s="31"/>
      <c r="AUZ86" s="31"/>
      <c r="AVA86" s="31"/>
      <c r="AVB86" s="31"/>
      <c r="AVC86" s="31"/>
      <c r="AVD86" s="31"/>
      <c r="AVE86" s="31"/>
      <c r="AVF86" s="31"/>
      <c r="AVG86" s="31"/>
      <c r="AVH86" s="31"/>
      <c r="AVI86" s="31"/>
      <c r="AVJ86" s="31"/>
      <c r="AVK86" s="31"/>
      <c r="AVL86" s="31"/>
      <c r="AVM86" s="31"/>
      <c r="AVN86" s="31"/>
      <c r="AVO86" s="31"/>
      <c r="AVP86" s="31"/>
      <c r="AVQ86" s="31"/>
      <c r="AVR86" s="31"/>
      <c r="AVS86" s="31"/>
      <c r="AVT86" s="31"/>
      <c r="AVU86" s="31"/>
      <c r="AVV86" s="31"/>
      <c r="AVW86" s="31"/>
      <c r="AVX86" s="31"/>
      <c r="AVY86" s="31"/>
      <c r="AVZ86" s="31"/>
      <c r="AWA86" s="31"/>
      <c r="AWB86" s="31"/>
      <c r="AWC86" s="31"/>
      <c r="AWD86" s="31"/>
      <c r="AWE86" s="31"/>
      <c r="AWF86" s="31"/>
      <c r="AWG86" s="31"/>
      <c r="AWH86" s="31"/>
      <c r="AWI86" s="31"/>
      <c r="AWJ86" s="31"/>
      <c r="AWK86" s="31"/>
      <c r="AWL86" s="31"/>
      <c r="AWM86" s="31"/>
      <c r="AWN86" s="31"/>
      <c r="AWO86" s="31"/>
      <c r="AWP86" s="31"/>
      <c r="AWQ86" s="31"/>
      <c r="AWR86" s="31"/>
      <c r="AWS86" s="31"/>
      <c r="AWT86" s="31"/>
      <c r="AWU86" s="31"/>
      <c r="AWV86" s="31"/>
      <c r="AWW86" s="31"/>
      <c r="AWX86" s="31"/>
      <c r="AWY86" s="31"/>
      <c r="AWZ86" s="31"/>
      <c r="AXA86" s="31"/>
      <c r="AXB86" s="31"/>
      <c r="AXC86" s="31"/>
      <c r="AXD86" s="31"/>
      <c r="AXE86" s="31"/>
      <c r="AXF86" s="31"/>
      <c r="AXG86" s="31"/>
      <c r="AXH86" s="31"/>
      <c r="AXI86" s="31"/>
      <c r="AXJ86" s="31"/>
      <c r="AXK86" s="31"/>
      <c r="AXL86" s="31"/>
      <c r="AXM86" s="31"/>
      <c r="AXN86" s="31"/>
      <c r="AXO86" s="31"/>
      <c r="AXP86" s="31"/>
      <c r="AXQ86" s="31"/>
      <c r="AXR86" s="31"/>
      <c r="AXS86" s="31"/>
      <c r="AXT86" s="31"/>
      <c r="AXU86" s="31"/>
      <c r="AXV86" s="31"/>
      <c r="AXW86" s="31"/>
      <c r="AXX86" s="31"/>
      <c r="AXY86" s="31"/>
      <c r="AXZ86" s="31"/>
      <c r="AYA86" s="31"/>
      <c r="AYB86" s="31"/>
      <c r="AYC86" s="31"/>
      <c r="AYD86" s="31"/>
      <c r="AYE86" s="31"/>
      <c r="AYF86" s="31"/>
      <c r="AYG86" s="31"/>
      <c r="AYH86" s="31"/>
      <c r="AYI86" s="31"/>
      <c r="AYJ86" s="31"/>
      <c r="AYK86" s="31"/>
      <c r="AYL86" s="31"/>
      <c r="AYM86" s="31"/>
      <c r="AYN86" s="31"/>
      <c r="AYO86" s="31"/>
      <c r="AYP86" s="31"/>
      <c r="AYQ86" s="31"/>
      <c r="AYR86" s="31"/>
      <c r="AYS86" s="31"/>
      <c r="AYT86" s="31"/>
      <c r="AYU86" s="31"/>
      <c r="AYV86" s="31"/>
      <c r="AYW86" s="31"/>
      <c r="AYX86" s="31"/>
      <c r="AYY86" s="31"/>
      <c r="AYZ86" s="31"/>
      <c r="AZA86" s="31"/>
      <c r="AZB86" s="31"/>
      <c r="AZC86" s="31"/>
      <c r="AZD86" s="31"/>
      <c r="AZE86" s="31"/>
      <c r="AZF86" s="31"/>
      <c r="AZG86" s="31"/>
      <c r="AZH86" s="31"/>
      <c r="AZI86" s="31"/>
      <c r="AZJ86" s="31"/>
      <c r="AZK86" s="31"/>
      <c r="AZL86" s="31"/>
      <c r="AZM86" s="31"/>
      <c r="AZN86" s="31"/>
      <c r="AZO86" s="31"/>
      <c r="AZP86" s="31"/>
      <c r="AZQ86" s="31"/>
      <c r="AZR86" s="31"/>
      <c r="AZS86" s="31"/>
      <c r="AZT86" s="31"/>
      <c r="AZU86" s="31"/>
      <c r="AZV86" s="31"/>
      <c r="AZW86" s="31"/>
      <c r="AZX86" s="31"/>
      <c r="AZY86" s="31"/>
      <c r="AZZ86" s="31"/>
      <c r="BAA86" s="31"/>
      <c r="BAB86" s="31"/>
      <c r="BAC86" s="31"/>
      <c r="BAD86" s="31"/>
      <c r="BAE86" s="31"/>
      <c r="BAF86" s="31"/>
      <c r="BAG86" s="31"/>
      <c r="BAH86" s="31"/>
      <c r="BAI86" s="31"/>
      <c r="BAJ86" s="31"/>
      <c r="BAK86" s="31"/>
      <c r="BAL86" s="31"/>
      <c r="BAM86" s="31"/>
      <c r="BAN86" s="31"/>
      <c r="BAO86" s="31"/>
      <c r="BAP86" s="31"/>
      <c r="BAQ86" s="31"/>
      <c r="BAR86" s="31"/>
      <c r="BAS86" s="31"/>
      <c r="BAT86" s="31"/>
      <c r="BAU86" s="31"/>
      <c r="BAV86" s="31"/>
      <c r="BAW86" s="31"/>
      <c r="BAX86" s="31"/>
      <c r="BAY86" s="31"/>
      <c r="BAZ86" s="31"/>
      <c r="BBA86" s="31"/>
      <c r="BBB86" s="31"/>
      <c r="BBC86" s="31"/>
      <c r="BBD86" s="31"/>
      <c r="BBE86" s="31"/>
      <c r="BBF86" s="31"/>
      <c r="BBG86" s="31"/>
      <c r="BBH86" s="31"/>
      <c r="BBI86" s="31"/>
      <c r="BBJ86" s="31"/>
      <c r="BBK86" s="31"/>
      <c r="BBL86" s="31"/>
      <c r="BBM86" s="31"/>
      <c r="BBN86" s="31"/>
      <c r="BBO86" s="31"/>
      <c r="BBP86" s="31"/>
      <c r="BBQ86" s="31"/>
      <c r="BBR86" s="31"/>
      <c r="BBS86" s="31"/>
      <c r="BBT86" s="31"/>
      <c r="BBU86" s="31"/>
      <c r="BBV86" s="31"/>
      <c r="BBW86" s="31"/>
      <c r="BBX86" s="31"/>
      <c r="BBY86" s="31"/>
      <c r="BBZ86" s="31"/>
      <c r="BCA86" s="31"/>
      <c r="BCB86" s="31"/>
      <c r="BCC86" s="31"/>
      <c r="BCD86" s="31"/>
      <c r="BCE86" s="31"/>
      <c r="BCF86" s="31"/>
      <c r="BCG86" s="31"/>
      <c r="BCH86" s="31"/>
      <c r="BCI86" s="31"/>
      <c r="BCJ86" s="31"/>
      <c r="BCK86" s="31"/>
      <c r="BCL86" s="31"/>
      <c r="BCM86" s="31"/>
      <c r="BCN86" s="31"/>
      <c r="BCO86" s="31"/>
      <c r="BCP86" s="31"/>
      <c r="BCQ86" s="31"/>
      <c r="BCR86" s="31"/>
      <c r="BCS86" s="31"/>
      <c r="BCT86" s="31"/>
      <c r="BCU86" s="31"/>
      <c r="BCV86" s="31"/>
      <c r="BCW86" s="31"/>
      <c r="BCX86" s="31"/>
      <c r="BCY86" s="31"/>
      <c r="BCZ86" s="31"/>
      <c r="BDA86" s="31"/>
      <c r="BDB86" s="31"/>
      <c r="BDC86" s="31"/>
      <c r="BDD86" s="31"/>
      <c r="BDE86" s="31"/>
      <c r="BDF86" s="31"/>
      <c r="BDG86" s="31"/>
      <c r="BDH86" s="31"/>
      <c r="BDI86" s="31"/>
      <c r="BDJ86" s="31"/>
      <c r="BDK86" s="31"/>
      <c r="BDL86" s="31"/>
      <c r="BDM86" s="31"/>
      <c r="BDN86" s="31"/>
      <c r="BDO86" s="31"/>
      <c r="BDP86" s="31"/>
      <c r="BDQ86" s="31"/>
      <c r="BDR86" s="31"/>
      <c r="BDS86" s="31"/>
      <c r="BDT86" s="31"/>
      <c r="BDU86" s="31"/>
      <c r="BDV86" s="31"/>
      <c r="BDW86" s="31"/>
      <c r="BDX86" s="31"/>
      <c r="BDY86" s="31"/>
      <c r="BDZ86" s="31"/>
      <c r="BEA86" s="31"/>
      <c r="BEB86" s="31"/>
      <c r="BEC86" s="31"/>
      <c r="BED86" s="31"/>
      <c r="BEE86" s="31"/>
      <c r="BEF86" s="31"/>
      <c r="BEG86" s="31"/>
      <c r="BEH86" s="31"/>
      <c r="BEI86" s="31"/>
      <c r="BEJ86" s="31"/>
      <c r="BEK86" s="31"/>
      <c r="BEL86" s="31"/>
      <c r="BEM86" s="31"/>
      <c r="BEN86" s="31"/>
      <c r="BEO86" s="31"/>
      <c r="BEP86" s="31"/>
      <c r="BEQ86" s="31"/>
      <c r="BER86" s="31"/>
      <c r="BES86" s="31"/>
      <c r="BET86" s="31"/>
      <c r="BEU86" s="31"/>
      <c r="BEV86" s="31"/>
      <c r="BEW86" s="31"/>
      <c r="BEX86" s="31"/>
      <c r="BEY86" s="31"/>
      <c r="BEZ86" s="31"/>
      <c r="BFA86" s="31"/>
      <c r="BFB86" s="31"/>
      <c r="BFC86" s="31"/>
      <c r="BFD86" s="31"/>
      <c r="BFE86" s="31"/>
      <c r="BFF86" s="31"/>
      <c r="BFG86" s="31"/>
      <c r="BFH86" s="31"/>
      <c r="BFI86" s="31"/>
      <c r="BFJ86" s="31"/>
      <c r="BFK86" s="31"/>
      <c r="BFL86" s="31"/>
      <c r="BFM86" s="31"/>
      <c r="BFN86" s="31"/>
      <c r="BFO86" s="31"/>
      <c r="BFP86" s="31"/>
      <c r="BFQ86" s="31"/>
      <c r="BFR86" s="31"/>
      <c r="BFS86" s="31"/>
      <c r="BFT86" s="31"/>
      <c r="BFU86" s="31"/>
      <c r="BFV86" s="31"/>
      <c r="BFW86" s="31"/>
      <c r="BFX86" s="31"/>
      <c r="BFY86" s="31"/>
      <c r="BFZ86" s="31"/>
      <c r="BGA86" s="31"/>
      <c r="BGB86" s="31"/>
      <c r="BGC86" s="31"/>
      <c r="BGD86" s="31"/>
      <c r="BGE86" s="31"/>
      <c r="BGF86" s="31"/>
      <c r="BGG86" s="31"/>
      <c r="BGH86" s="31"/>
      <c r="BGI86" s="31"/>
      <c r="BGJ86" s="31"/>
      <c r="BGK86" s="31"/>
      <c r="BGL86" s="31"/>
      <c r="BGM86" s="31"/>
      <c r="BGN86" s="31"/>
      <c r="BGO86" s="31"/>
      <c r="BGP86" s="31"/>
      <c r="BGQ86" s="31"/>
      <c r="BGR86" s="31"/>
      <c r="BGS86" s="31"/>
      <c r="BGT86" s="31"/>
      <c r="BGU86" s="31"/>
      <c r="BGV86" s="31"/>
      <c r="BGW86" s="31"/>
      <c r="BGX86" s="31"/>
      <c r="BGY86" s="31"/>
      <c r="BGZ86" s="31"/>
      <c r="BHA86" s="31"/>
      <c r="BHB86" s="31"/>
      <c r="BHC86" s="31"/>
      <c r="BHD86" s="31"/>
      <c r="BHE86" s="31"/>
      <c r="BHF86" s="31"/>
      <c r="BHG86" s="31"/>
      <c r="BHH86" s="31"/>
      <c r="BHI86" s="31"/>
      <c r="BHJ86" s="31"/>
      <c r="BHK86" s="31"/>
      <c r="BHL86" s="31"/>
      <c r="BHM86" s="31"/>
      <c r="BHN86" s="31"/>
      <c r="BHO86" s="31"/>
      <c r="BHP86" s="31"/>
      <c r="BHQ86" s="31"/>
      <c r="BHR86" s="31"/>
      <c r="BHS86" s="31"/>
      <c r="BHT86" s="31"/>
      <c r="BHU86" s="31"/>
      <c r="BHV86" s="31"/>
      <c r="BHW86" s="31"/>
      <c r="BHX86" s="31"/>
      <c r="BHY86" s="31"/>
      <c r="BHZ86" s="31"/>
      <c r="BIA86" s="31"/>
      <c r="BIB86" s="31"/>
      <c r="BIC86" s="31"/>
      <c r="BID86" s="31"/>
      <c r="BIE86" s="31"/>
      <c r="BIF86" s="31"/>
      <c r="BIG86" s="31"/>
      <c r="BIH86" s="31"/>
      <c r="BII86" s="31"/>
      <c r="BIJ86" s="31"/>
      <c r="BIK86" s="31"/>
      <c r="BIL86" s="31"/>
      <c r="BIM86" s="31"/>
      <c r="BIN86" s="31"/>
      <c r="BIO86" s="31"/>
      <c r="BIP86" s="31"/>
      <c r="BIQ86" s="31"/>
      <c r="BIR86" s="31"/>
      <c r="BIS86" s="31"/>
      <c r="BIT86" s="31"/>
      <c r="BIU86" s="31"/>
      <c r="BIV86" s="31"/>
      <c r="BIW86" s="31"/>
      <c r="BIX86" s="31"/>
      <c r="BIY86" s="31"/>
      <c r="BIZ86" s="31"/>
      <c r="BJA86" s="31"/>
      <c r="BJB86" s="31"/>
      <c r="BJC86" s="31"/>
      <c r="BJD86" s="31"/>
      <c r="BJE86" s="31"/>
      <c r="BJF86" s="31"/>
      <c r="BJG86" s="31"/>
      <c r="BJH86" s="31"/>
      <c r="BJI86" s="31"/>
      <c r="BJJ86" s="31"/>
      <c r="BJK86" s="31"/>
      <c r="BJL86" s="31"/>
      <c r="BJM86" s="31"/>
      <c r="BJN86" s="31"/>
      <c r="BJO86" s="31"/>
      <c r="BJP86" s="31"/>
      <c r="BJQ86" s="31"/>
      <c r="BJR86" s="31"/>
      <c r="BJS86" s="31"/>
      <c r="BJT86" s="31"/>
      <c r="BJU86" s="31"/>
      <c r="BJV86" s="31"/>
      <c r="BJW86" s="31"/>
      <c r="BJX86" s="31"/>
      <c r="BJY86" s="31"/>
      <c r="BJZ86" s="31"/>
      <c r="BKA86" s="31"/>
      <c r="BKB86" s="31"/>
      <c r="BKC86" s="31"/>
      <c r="BKD86" s="31"/>
      <c r="BKE86" s="31"/>
      <c r="BKF86" s="31"/>
      <c r="BKG86" s="31"/>
      <c r="BKH86" s="31"/>
      <c r="BKI86" s="31"/>
      <c r="BKJ86" s="31"/>
      <c r="BKK86" s="31"/>
      <c r="BKL86" s="31"/>
      <c r="BKM86" s="31"/>
      <c r="BKN86" s="31"/>
      <c r="BKO86" s="31"/>
      <c r="BKP86" s="31"/>
      <c r="BKQ86" s="31"/>
      <c r="BKR86" s="31"/>
      <c r="BKS86" s="31"/>
      <c r="BKT86" s="31"/>
      <c r="BKU86" s="31"/>
      <c r="BKV86" s="31"/>
      <c r="BKW86" s="31"/>
      <c r="BKX86" s="31"/>
      <c r="BKY86" s="31"/>
      <c r="BKZ86" s="31"/>
      <c r="BLA86" s="31"/>
      <c r="BLB86" s="31"/>
      <c r="BLC86" s="31"/>
      <c r="BLD86" s="31"/>
      <c r="BLE86" s="31"/>
      <c r="BLF86" s="31"/>
      <c r="BLG86" s="31"/>
      <c r="BLH86" s="31"/>
      <c r="BLI86" s="31"/>
      <c r="BLJ86" s="31"/>
      <c r="BLK86" s="31"/>
      <c r="BLL86" s="31"/>
      <c r="BLM86" s="31"/>
      <c r="BLN86" s="31"/>
      <c r="BLO86" s="31"/>
      <c r="BLP86" s="31"/>
      <c r="BLQ86" s="31"/>
      <c r="BLR86" s="31"/>
      <c r="BLS86" s="31"/>
      <c r="BLT86" s="31"/>
      <c r="BLU86" s="31"/>
      <c r="BLV86" s="31"/>
      <c r="BLW86" s="31"/>
      <c r="BLX86" s="31"/>
      <c r="BLY86" s="31"/>
      <c r="BLZ86" s="31"/>
      <c r="BMA86" s="31"/>
      <c r="BMB86" s="31"/>
      <c r="BMC86" s="31"/>
      <c r="BMD86" s="31"/>
      <c r="BME86" s="31"/>
      <c r="BMF86" s="31"/>
      <c r="BMG86" s="31"/>
      <c r="BMH86" s="31"/>
      <c r="BMI86" s="31"/>
      <c r="BMJ86" s="31"/>
      <c r="BMK86" s="31"/>
      <c r="BML86" s="31"/>
      <c r="BMM86" s="31"/>
      <c r="BMN86" s="31"/>
      <c r="BMO86" s="31"/>
      <c r="BMP86" s="31"/>
      <c r="BMQ86" s="31"/>
      <c r="BMR86" s="31"/>
      <c r="BMS86" s="31"/>
      <c r="BMT86" s="31"/>
      <c r="BMU86" s="31"/>
      <c r="BMV86" s="31"/>
      <c r="BMW86" s="31"/>
      <c r="BMX86" s="31"/>
      <c r="BMY86" s="31"/>
      <c r="BMZ86" s="31"/>
      <c r="BNA86" s="31"/>
      <c r="BNB86" s="31"/>
      <c r="BNC86" s="31"/>
      <c r="BND86" s="31"/>
      <c r="BNE86" s="31"/>
      <c r="BNF86" s="31"/>
      <c r="BNG86" s="31"/>
      <c r="BNH86" s="31"/>
      <c r="BNI86" s="31"/>
      <c r="BNJ86" s="31"/>
      <c r="BNK86" s="31"/>
      <c r="BNL86" s="31"/>
      <c r="BNM86" s="31"/>
      <c r="BNN86" s="31"/>
      <c r="BNO86" s="31"/>
      <c r="BNP86" s="31"/>
      <c r="BNQ86" s="31"/>
      <c r="BNR86" s="31"/>
      <c r="BNS86" s="31"/>
      <c r="BNT86" s="31"/>
      <c r="BNU86" s="31"/>
      <c r="BNV86" s="31"/>
      <c r="BNW86" s="31"/>
      <c r="BNX86" s="31"/>
      <c r="BNY86" s="31"/>
      <c r="BNZ86" s="31"/>
      <c r="BOA86" s="31"/>
      <c r="BOB86" s="31"/>
      <c r="BOC86" s="31"/>
      <c r="BOD86" s="31"/>
      <c r="BOE86" s="31"/>
      <c r="BOF86" s="31"/>
      <c r="BOG86" s="31"/>
      <c r="BOH86" s="31"/>
      <c r="BOI86" s="31"/>
      <c r="BOJ86" s="31"/>
      <c r="BOK86" s="31"/>
      <c r="BOL86" s="31"/>
      <c r="BOM86" s="31"/>
      <c r="BON86" s="31"/>
      <c r="BOO86" s="31"/>
      <c r="BOP86" s="31"/>
      <c r="BOQ86" s="31"/>
      <c r="BOR86" s="31"/>
      <c r="BOS86" s="31"/>
      <c r="BOT86" s="31"/>
      <c r="BOU86" s="31"/>
      <c r="BOV86" s="31"/>
      <c r="BOW86" s="31"/>
      <c r="BOX86" s="31"/>
      <c r="BOY86" s="31"/>
      <c r="BOZ86" s="31"/>
      <c r="BPA86" s="31"/>
      <c r="BPB86" s="31"/>
      <c r="BPC86" s="31"/>
      <c r="BPD86" s="31"/>
      <c r="BPE86" s="31"/>
      <c r="BPF86" s="31"/>
      <c r="BPG86" s="31"/>
      <c r="BPH86" s="31"/>
      <c r="BPI86" s="31"/>
      <c r="BPJ86" s="31"/>
      <c r="BPK86" s="31"/>
      <c r="BPL86" s="31"/>
      <c r="BPM86" s="31"/>
      <c r="BPN86" s="31"/>
      <c r="BPO86" s="31"/>
      <c r="BPP86" s="31"/>
      <c r="BPQ86" s="31"/>
      <c r="BPR86" s="31"/>
      <c r="BPS86" s="31"/>
      <c r="BPT86" s="31"/>
      <c r="BPU86" s="31"/>
      <c r="BPV86" s="31"/>
      <c r="BPW86" s="31"/>
      <c r="BPX86" s="31"/>
      <c r="BPY86" s="31"/>
      <c r="BPZ86" s="31"/>
      <c r="BQA86" s="31"/>
      <c r="BQB86" s="31"/>
      <c r="BQC86" s="31"/>
      <c r="BQD86" s="31"/>
      <c r="BQE86" s="31"/>
      <c r="BQF86" s="31"/>
      <c r="BQG86" s="31"/>
      <c r="BQH86" s="31"/>
      <c r="BQI86" s="31"/>
      <c r="BQJ86" s="31"/>
      <c r="BQK86" s="31"/>
      <c r="BQL86" s="31"/>
      <c r="BQM86" s="31"/>
      <c r="BQN86" s="31"/>
      <c r="BQO86" s="31"/>
      <c r="BQP86" s="31"/>
      <c r="BQQ86" s="31"/>
      <c r="BQR86" s="31"/>
      <c r="BQS86" s="31"/>
      <c r="BQT86" s="31"/>
      <c r="BQU86" s="31"/>
      <c r="BQV86" s="31"/>
      <c r="BQW86" s="31"/>
      <c r="BQX86" s="31"/>
      <c r="BQY86" s="31"/>
      <c r="BQZ86" s="31"/>
      <c r="BRA86" s="31"/>
      <c r="BRB86" s="31"/>
      <c r="BRC86" s="31"/>
      <c r="BRD86" s="31"/>
      <c r="BRE86" s="31"/>
      <c r="BRF86" s="31"/>
      <c r="BRG86" s="31"/>
      <c r="BRH86" s="31"/>
      <c r="BRI86" s="31"/>
      <c r="BRJ86" s="31"/>
      <c r="BRK86" s="31"/>
      <c r="BRL86" s="31"/>
      <c r="BRM86" s="31"/>
      <c r="BRN86" s="31"/>
      <c r="BRO86" s="31"/>
      <c r="BRP86" s="31"/>
      <c r="BRQ86" s="31"/>
      <c r="BRR86" s="31"/>
      <c r="BRS86" s="31"/>
      <c r="BRT86" s="31"/>
      <c r="BRU86" s="31"/>
      <c r="BRV86" s="31"/>
      <c r="BRW86" s="31"/>
      <c r="BRX86" s="31"/>
      <c r="BRY86" s="31"/>
      <c r="BRZ86" s="31"/>
      <c r="BSA86" s="31"/>
      <c r="BSB86" s="31"/>
      <c r="BSC86" s="31"/>
      <c r="BSD86" s="31"/>
      <c r="BSE86" s="31"/>
      <c r="BSF86" s="31"/>
      <c r="BSG86" s="31"/>
      <c r="BSH86" s="31"/>
      <c r="BSI86" s="31"/>
      <c r="BSJ86" s="31"/>
      <c r="BSK86" s="31"/>
      <c r="BSL86" s="31"/>
      <c r="BSM86" s="31"/>
      <c r="BSN86" s="31"/>
      <c r="BSO86" s="31"/>
      <c r="BSP86" s="31"/>
      <c r="BSQ86" s="31"/>
      <c r="BSR86" s="31"/>
      <c r="BSS86" s="31"/>
      <c r="BST86" s="31"/>
      <c r="BSU86" s="31"/>
      <c r="BSV86" s="31"/>
      <c r="BSW86" s="31"/>
      <c r="BSX86" s="31"/>
      <c r="BSY86" s="31"/>
      <c r="BSZ86" s="31"/>
      <c r="BTA86" s="31"/>
      <c r="BTB86" s="31"/>
      <c r="BTC86" s="31"/>
      <c r="BTD86" s="31"/>
      <c r="BTE86" s="31"/>
      <c r="BTF86" s="31"/>
      <c r="BTG86" s="31"/>
      <c r="BTH86" s="31"/>
      <c r="BTI86" s="31"/>
      <c r="BTJ86" s="31"/>
      <c r="BTK86" s="31"/>
      <c r="BTL86" s="31"/>
      <c r="BTM86" s="31"/>
      <c r="BTN86" s="31"/>
      <c r="BTO86" s="31"/>
      <c r="BTP86" s="31"/>
      <c r="BTQ86" s="31"/>
      <c r="BTR86" s="31"/>
      <c r="BTS86" s="31"/>
      <c r="BTT86" s="31"/>
      <c r="BTU86" s="31"/>
      <c r="BTV86" s="31"/>
      <c r="BTW86" s="31"/>
      <c r="BTX86" s="31"/>
      <c r="BTY86" s="31"/>
      <c r="BTZ86" s="31"/>
      <c r="BUA86" s="31"/>
      <c r="BUB86" s="31"/>
      <c r="BUC86" s="31"/>
      <c r="BUD86" s="31"/>
      <c r="BUE86" s="31"/>
      <c r="BUF86" s="31"/>
      <c r="BUG86" s="31"/>
      <c r="BUH86" s="31"/>
      <c r="BUI86" s="31"/>
      <c r="BUJ86" s="31"/>
      <c r="BUK86" s="31"/>
      <c r="BUL86" s="31"/>
      <c r="BUM86" s="31"/>
      <c r="BUN86" s="31"/>
      <c r="BUO86" s="31"/>
      <c r="BUP86" s="31"/>
      <c r="BUQ86" s="31"/>
      <c r="BUR86" s="31"/>
      <c r="BUS86" s="31"/>
      <c r="BUT86" s="31"/>
      <c r="BUU86" s="31"/>
      <c r="BUV86" s="31"/>
      <c r="BUW86" s="31"/>
      <c r="BUX86" s="31"/>
      <c r="BUY86" s="31"/>
      <c r="BUZ86" s="31"/>
      <c r="BVA86" s="31"/>
      <c r="BVB86" s="31"/>
      <c r="BVC86" s="31"/>
      <c r="BVD86" s="31"/>
      <c r="BVE86" s="31"/>
      <c r="BVF86" s="31"/>
      <c r="BVG86" s="31"/>
      <c r="BVH86" s="31"/>
      <c r="BVI86" s="31"/>
      <c r="BVJ86" s="31"/>
      <c r="BVK86" s="31"/>
      <c r="BVL86" s="31"/>
      <c r="BVM86" s="31"/>
      <c r="BVN86" s="31"/>
      <c r="BVO86" s="31"/>
      <c r="BVP86" s="31"/>
      <c r="BVQ86" s="31"/>
      <c r="BVR86" s="31"/>
      <c r="BVS86" s="31"/>
      <c r="BVT86" s="31"/>
      <c r="BVU86" s="31"/>
      <c r="BVV86" s="31"/>
      <c r="BVW86" s="31"/>
      <c r="BVX86" s="31"/>
      <c r="BVY86" s="31"/>
      <c r="BVZ86" s="31"/>
      <c r="BWA86" s="31"/>
      <c r="BWB86" s="31"/>
      <c r="BWC86" s="31"/>
      <c r="BWD86" s="31"/>
      <c r="BWE86" s="31"/>
      <c r="BWF86" s="31"/>
      <c r="BWG86" s="31"/>
      <c r="BWH86" s="31"/>
      <c r="BWI86" s="31"/>
      <c r="BWJ86" s="31"/>
      <c r="BWK86" s="31"/>
      <c r="BWL86" s="31"/>
      <c r="BWM86" s="31"/>
      <c r="BWN86" s="31"/>
      <c r="BWO86" s="31"/>
      <c r="BWP86" s="31"/>
      <c r="BWQ86" s="31"/>
      <c r="BWR86" s="31"/>
      <c r="BWS86" s="31"/>
      <c r="BWT86" s="31"/>
      <c r="BWU86" s="31"/>
      <c r="BWV86" s="31"/>
      <c r="BWW86" s="31"/>
      <c r="BWX86" s="31"/>
      <c r="BWY86" s="31"/>
      <c r="BWZ86" s="31"/>
      <c r="BXA86" s="31"/>
      <c r="BXB86" s="31"/>
      <c r="BXC86" s="31"/>
      <c r="BXD86" s="31"/>
      <c r="BXE86" s="31"/>
      <c r="BXF86" s="31"/>
      <c r="BXG86" s="31"/>
      <c r="BXH86" s="31"/>
      <c r="BXI86" s="31"/>
      <c r="BXJ86" s="31"/>
      <c r="BXK86" s="31"/>
      <c r="BXL86" s="31"/>
      <c r="BXM86" s="31"/>
      <c r="BXN86" s="31"/>
      <c r="BXO86" s="31"/>
      <c r="BXP86" s="31"/>
      <c r="BXQ86" s="31"/>
      <c r="BXR86" s="31"/>
      <c r="BXS86" s="31"/>
      <c r="BXT86" s="31"/>
      <c r="BXU86" s="31"/>
      <c r="BXV86" s="31"/>
      <c r="BXW86" s="31"/>
      <c r="BXX86" s="31"/>
      <c r="BXY86" s="31"/>
      <c r="BXZ86" s="31"/>
      <c r="BYA86" s="31"/>
      <c r="BYB86" s="31"/>
      <c r="BYC86" s="31"/>
      <c r="BYD86" s="31"/>
      <c r="BYE86" s="31"/>
      <c r="BYF86" s="31"/>
      <c r="BYG86" s="31"/>
      <c r="BYH86" s="31"/>
      <c r="BYI86" s="31"/>
      <c r="BYJ86" s="31"/>
      <c r="BYK86" s="31"/>
      <c r="BYL86" s="31"/>
      <c r="BYM86" s="31"/>
      <c r="BYN86" s="31"/>
      <c r="BYO86" s="31"/>
      <c r="BYP86" s="31"/>
      <c r="BYQ86" s="31"/>
      <c r="BYR86" s="31"/>
      <c r="BYS86" s="31"/>
      <c r="BYT86" s="31"/>
      <c r="BYU86" s="31"/>
      <c r="BYV86" s="31"/>
      <c r="BYW86" s="31"/>
      <c r="BYX86" s="31"/>
      <c r="BYY86" s="31"/>
      <c r="BYZ86" s="31"/>
      <c r="BZA86" s="31"/>
      <c r="BZB86" s="31"/>
      <c r="BZC86" s="31"/>
      <c r="BZD86" s="31"/>
      <c r="BZE86" s="31"/>
      <c r="BZF86" s="31"/>
      <c r="BZG86" s="31"/>
      <c r="BZH86" s="31"/>
      <c r="BZI86" s="31"/>
      <c r="BZJ86" s="31"/>
      <c r="BZK86" s="31"/>
      <c r="BZL86" s="31"/>
      <c r="BZM86" s="31"/>
      <c r="BZN86" s="31"/>
      <c r="BZO86" s="31"/>
      <c r="BZP86" s="31"/>
      <c r="BZQ86" s="31"/>
      <c r="BZR86" s="31"/>
      <c r="BZS86" s="31"/>
      <c r="BZT86" s="31"/>
      <c r="BZU86" s="31"/>
      <c r="BZV86" s="31"/>
      <c r="BZW86" s="31"/>
      <c r="BZX86" s="31"/>
      <c r="BZY86" s="31"/>
      <c r="BZZ86" s="31"/>
      <c r="CAA86" s="31"/>
      <c r="CAB86" s="31"/>
      <c r="CAC86" s="31"/>
      <c r="CAD86" s="31"/>
      <c r="CAE86" s="31"/>
      <c r="CAF86" s="31"/>
      <c r="CAG86" s="31"/>
      <c r="CAH86" s="31"/>
      <c r="CAI86" s="31"/>
      <c r="CAJ86" s="31"/>
      <c r="CAK86" s="31"/>
      <c r="CAL86" s="31"/>
      <c r="CAM86" s="31"/>
      <c r="CAN86" s="31"/>
      <c r="CAO86" s="31"/>
      <c r="CAP86" s="31"/>
      <c r="CAQ86" s="31"/>
      <c r="CAR86" s="31"/>
      <c r="CAS86" s="31"/>
      <c r="CAT86" s="31"/>
      <c r="CAU86" s="31"/>
      <c r="CAV86" s="31"/>
      <c r="CAW86" s="31"/>
      <c r="CAX86" s="31"/>
      <c r="CAY86" s="31"/>
      <c r="CAZ86" s="31"/>
      <c r="CBA86" s="31"/>
      <c r="CBB86" s="31"/>
      <c r="CBC86" s="31"/>
      <c r="CBD86" s="31"/>
      <c r="CBE86" s="31"/>
      <c r="CBF86" s="31"/>
      <c r="CBG86" s="31"/>
      <c r="CBH86" s="31"/>
      <c r="CBI86" s="31"/>
      <c r="CBJ86" s="31"/>
      <c r="CBK86" s="31"/>
      <c r="CBL86" s="31"/>
      <c r="CBM86" s="31"/>
      <c r="CBN86" s="31"/>
      <c r="CBO86" s="31"/>
      <c r="CBP86" s="31"/>
      <c r="CBQ86" s="31"/>
      <c r="CBR86" s="31"/>
      <c r="CBS86" s="31"/>
      <c r="CBT86" s="31"/>
      <c r="CBU86" s="31"/>
      <c r="CBV86" s="31"/>
      <c r="CBW86" s="31"/>
      <c r="CBX86" s="31"/>
      <c r="CBY86" s="31"/>
      <c r="CBZ86" s="31"/>
      <c r="CCA86" s="31"/>
      <c r="CCB86" s="31"/>
      <c r="CCC86" s="31"/>
      <c r="CCD86" s="31"/>
      <c r="CCE86" s="31"/>
      <c r="CCF86" s="31"/>
      <c r="CCG86" s="31"/>
      <c r="CCH86" s="31"/>
      <c r="CCI86" s="31"/>
      <c r="CCJ86" s="31"/>
      <c r="CCK86" s="31"/>
      <c r="CCL86" s="31"/>
      <c r="CCM86" s="31"/>
      <c r="CCN86" s="31"/>
      <c r="CCO86" s="31"/>
      <c r="CCP86" s="31"/>
      <c r="CCQ86" s="31"/>
      <c r="CCR86" s="31"/>
      <c r="CCS86" s="31"/>
      <c r="CCT86" s="31"/>
      <c r="CCU86" s="31"/>
      <c r="CCV86" s="31"/>
      <c r="CCW86" s="31"/>
      <c r="CCX86" s="31"/>
      <c r="CCY86" s="31"/>
      <c r="CCZ86" s="31"/>
      <c r="CDA86" s="31"/>
      <c r="CDB86" s="31"/>
      <c r="CDC86" s="31"/>
      <c r="CDD86" s="31"/>
      <c r="CDE86" s="31"/>
      <c r="CDF86" s="31"/>
      <c r="CDG86" s="31"/>
      <c r="CDH86" s="31"/>
      <c r="CDI86" s="31"/>
      <c r="CDJ86" s="31"/>
      <c r="CDK86" s="31"/>
      <c r="CDL86" s="31"/>
      <c r="CDM86" s="31"/>
      <c r="CDN86" s="31"/>
      <c r="CDO86" s="31"/>
      <c r="CDP86" s="31"/>
      <c r="CDQ86" s="31"/>
      <c r="CDR86" s="31"/>
      <c r="CDS86" s="31"/>
      <c r="CDT86" s="31"/>
      <c r="CDU86" s="31"/>
      <c r="CDV86" s="31"/>
      <c r="CDW86" s="31"/>
      <c r="CDX86" s="31"/>
      <c r="CDY86" s="31"/>
      <c r="CDZ86" s="31"/>
      <c r="CEA86" s="31"/>
      <c r="CEB86" s="31"/>
      <c r="CEC86" s="31"/>
      <c r="CED86" s="31"/>
      <c r="CEE86" s="31"/>
      <c r="CEF86" s="31"/>
      <c r="CEG86" s="31"/>
      <c r="CEH86" s="31"/>
      <c r="CEI86" s="31"/>
      <c r="CEJ86" s="31"/>
      <c r="CEK86" s="31"/>
      <c r="CEL86" s="31"/>
      <c r="CEM86" s="31"/>
      <c r="CEN86" s="31"/>
      <c r="CEO86" s="31"/>
      <c r="CEP86" s="31"/>
      <c r="CEQ86" s="31"/>
      <c r="CER86" s="31"/>
      <c r="CES86" s="31"/>
      <c r="CET86" s="31"/>
      <c r="CEU86" s="31"/>
      <c r="CEV86" s="31"/>
      <c r="CEW86" s="31"/>
      <c r="CEX86" s="31"/>
      <c r="CEY86" s="31"/>
      <c r="CEZ86" s="31"/>
      <c r="CFA86" s="31"/>
      <c r="CFB86" s="31"/>
      <c r="CFC86" s="31"/>
      <c r="CFD86" s="31"/>
      <c r="CFE86" s="31"/>
      <c r="CFF86" s="31"/>
      <c r="CFG86" s="31"/>
      <c r="CFH86" s="31"/>
      <c r="CFI86" s="31"/>
      <c r="CFJ86" s="31"/>
      <c r="CFK86" s="31"/>
      <c r="CFL86" s="31"/>
      <c r="CFM86" s="31"/>
      <c r="CFN86" s="31"/>
      <c r="CFO86" s="31"/>
      <c r="CFP86" s="31"/>
      <c r="CFQ86" s="31"/>
      <c r="CFR86" s="31"/>
      <c r="CFS86" s="31"/>
      <c r="CFT86" s="31"/>
      <c r="CFU86" s="31"/>
      <c r="CFV86" s="31"/>
      <c r="CFW86" s="31"/>
      <c r="CFX86" s="31"/>
      <c r="CFY86" s="31"/>
      <c r="CFZ86" s="31"/>
      <c r="CGA86" s="31"/>
      <c r="CGB86" s="31"/>
      <c r="CGC86" s="31"/>
      <c r="CGD86" s="31"/>
      <c r="CGE86" s="31"/>
      <c r="CGF86" s="31"/>
      <c r="CGG86" s="31"/>
      <c r="CGH86" s="31"/>
      <c r="CGI86" s="31"/>
      <c r="CGJ86" s="31"/>
      <c r="CGK86" s="31"/>
      <c r="CGL86" s="31"/>
      <c r="CGM86" s="31"/>
      <c r="CGN86" s="31"/>
      <c r="CGO86" s="31"/>
      <c r="CGP86" s="31"/>
      <c r="CGQ86" s="31"/>
      <c r="CGR86" s="31"/>
      <c r="CGS86" s="31"/>
      <c r="CGT86" s="31"/>
      <c r="CGU86" s="31"/>
      <c r="CGV86" s="31"/>
      <c r="CGW86" s="31"/>
      <c r="CGX86" s="31"/>
      <c r="CGY86" s="31"/>
      <c r="CGZ86" s="31"/>
      <c r="CHA86" s="31"/>
      <c r="CHB86" s="31"/>
      <c r="CHC86" s="31"/>
      <c r="CHD86" s="31"/>
      <c r="CHE86" s="31"/>
      <c r="CHF86" s="31"/>
      <c r="CHG86" s="31"/>
      <c r="CHH86" s="31"/>
      <c r="CHI86" s="31"/>
      <c r="CHJ86" s="31"/>
      <c r="CHK86" s="31"/>
      <c r="CHL86" s="31"/>
      <c r="CHM86" s="31"/>
      <c r="CHN86" s="31"/>
      <c r="CHO86" s="31"/>
      <c r="CHP86" s="31"/>
      <c r="CHQ86" s="31"/>
      <c r="CHR86" s="31"/>
      <c r="CHS86" s="31"/>
      <c r="CHT86" s="31"/>
      <c r="CHU86" s="31"/>
      <c r="CHV86" s="31"/>
      <c r="CHW86" s="31"/>
      <c r="CHX86" s="31"/>
      <c r="CHY86" s="31"/>
      <c r="CHZ86" s="31"/>
      <c r="CIA86" s="31"/>
      <c r="CIB86" s="31"/>
      <c r="CIC86" s="31"/>
      <c r="CID86" s="31"/>
      <c r="CIE86" s="31"/>
      <c r="CIF86" s="31"/>
      <c r="CIG86" s="31"/>
      <c r="CIH86" s="31"/>
      <c r="CII86" s="31"/>
      <c r="CIJ86" s="31"/>
      <c r="CIK86" s="31"/>
      <c r="CIL86" s="31"/>
      <c r="CIM86" s="31"/>
      <c r="CIN86" s="31"/>
      <c r="CIO86" s="31"/>
      <c r="CIP86" s="31"/>
      <c r="CIQ86" s="31"/>
      <c r="CIR86" s="31"/>
      <c r="CIS86" s="31"/>
      <c r="CIT86" s="31"/>
      <c r="CIU86" s="31"/>
      <c r="CIV86" s="31"/>
      <c r="CIW86" s="31"/>
      <c r="CIX86" s="31"/>
      <c r="CIY86" s="31"/>
      <c r="CIZ86" s="31"/>
      <c r="CJA86" s="31"/>
      <c r="CJB86" s="31"/>
      <c r="CJC86" s="31"/>
      <c r="CJD86" s="31"/>
      <c r="CJE86" s="31"/>
      <c r="CJF86" s="31"/>
      <c r="CJG86" s="31"/>
      <c r="CJH86" s="31"/>
      <c r="CJI86" s="31"/>
      <c r="CJJ86" s="31"/>
      <c r="CJK86" s="31"/>
      <c r="CJL86" s="31"/>
      <c r="CJM86" s="31"/>
      <c r="CJN86" s="31"/>
      <c r="CJO86" s="31"/>
      <c r="CJP86" s="31"/>
      <c r="CJQ86" s="31"/>
      <c r="CJR86" s="31"/>
      <c r="CJS86" s="31"/>
      <c r="CJT86" s="31"/>
      <c r="CJU86" s="31"/>
      <c r="CJV86" s="31"/>
      <c r="CJW86" s="31"/>
      <c r="CJX86" s="31"/>
      <c r="CJY86" s="31"/>
      <c r="CJZ86" s="31"/>
      <c r="CKA86" s="31"/>
      <c r="CKB86" s="31"/>
      <c r="CKC86" s="31"/>
      <c r="CKD86" s="31"/>
      <c r="CKE86" s="31"/>
      <c r="CKF86" s="31"/>
      <c r="CKG86" s="31"/>
      <c r="CKH86" s="31"/>
      <c r="CKI86" s="31"/>
      <c r="CKJ86" s="31"/>
      <c r="CKK86" s="31"/>
      <c r="CKL86" s="31"/>
      <c r="CKM86" s="31"/>
      <c r="CKN86" s="31"/>
      <c r="CKO86" s="31"/>
      <c r="CKP86" s="31"/>
      <c r="CKQ86" s="31"/>
      <c r="CKR86" s="31"/>
      <c r="CKS86" s="31"/>
      <c r="CKT86" s="31"/>
      <c r="CKU86" s="31"/>
      <c r="CKV86" s="31"/>
      <c r="CKW86" s="31"/>
      <c r="CKX86" s="31"/>
      <c r="CKY86" s="31"/>
      <c r="CKZ86" s="31"/>
      <c r="CLA86" s="31"/>
      <c r="CLB86" s="31"/>
      <c r="CLC86" s="31"/>
      <c r="CLD86" s="31"/>
      <c r="CLE86" s="31"/>
      <c r="CLF86" s="31"/>
      <c r="CLG86" s="31"/>
      <c r="CLH86" s="31"/>
      <c r="CLI86" s="31"/>
      <c r="CLJ86" s="31"/>
      <c r="CLK86" s="31"/>
      <c r="CLL86" s="31"/>
      <c r="CLM86" s="31"/>
      <c r="CLN86" s="31"/>
      <c r="CLO86" s="31"/>
      <c r="CLP86" s="31"/>
      <c r="CLQ86" s="31"/>
      <c r="CLR86" s="31"/>
      <c r="CLS86" s="31"/>
      <c r="CLT86" s="31"/>
      <c r="CLU86" s="31"/>
      <c r="CLV86" s="31"/>
      <c r="CLW86" s="31"/>
      <c r="CLX86" s="31"/>
      <c r="CLY86" s="31"/>
      <c r="CLZ86" s="31"/>
      <c r="CMA86" s="31"/>
      <c r="CMB86" s="31"/>
      <c r="CMC86" s="31"/>
      <c r="CMD86" s="31"/>
      <c r="CME86" s="31"/>
      <c r="CMF86" s="31"/>
      <c r="CMG86" s="31"/>
      <c r="CMH86" s="31"/>
      <c r="CMI86" s="31"/>
      <c r="CMJ86" s="31"/>
      <c r="CMK86" s="31"/>
      <c r="CML86" s="31"/>
      <c r="CMM86" s="31"/>
      <c r="CMN86" s="31"/>
      <c r="CMO86" s="31"/>
      <c r="CMP86" s="31"/>
      <c r="CMQ86" s="31"/>
      <c r="CMR86" s="31"/>
      <c r="CMS86" s="31"/>
      <c r="CMT86" s="31"/>
      <c r="CMU86" s="31"/>
      <c r="CMV86" s="31"/>
      <c r="CMW86" s="31"/>
      <c r="CMX86" s="31"/>
      <c r="CMY86" s="31"/>
      <c r="CMZ86" s="31"/>
      <c r="CNA86" s="31"/>
      <c r="CNB86" s="31"/>
      <c r="CNC86" s="31"/>
      <c r="CND86" s="31"/>
      <c r="CNE86" s="31"/>
      <c r="CNF86" s="31"/>
      <c r="CNG86" s="31"/>
      <c r="CNH86" s="31"/>
      <c r="CNI86" s="31"/>
      <c r="CNJ86" s="31"/>
      <c r="CNK86" s="31"/>
      <c r="CNL86" s="31"/>
      <c r="CNM86" s="31"/>
      <c r="CNN86" s="31"/>
      <c r="CNO86" s="31"/>
      <c r="CNP86" s="31"/>
      <c r="CNQ86" s="31"/>
      <c r="CNR86" s="31"/>
      <c r="CNS86" s="31"/>
      <c r="CNT86" s="31"/>
      <c r="CNU86" s="31"/>
      <c r="CNV86" s="31"/>
      <c r="CNW86" s="31"/>
      <c r="CNX86" s="31"/>
      <c r="CNY86" s="31"/>
      <c r="CNZ86" s="31"/>
      <c r="COA86" s="31"/>
      <c r="COB86" s="31"/>
      <c r="COC86" s="31"/>
      <c r="COD86" s="31"/>
      <c r="COE86" s="31"/>
      <c r="COF86" s="31"/>
      <c r="COG86" s="31"/>
      <c r="COH86" s="31"/>
      <c r="COI86" s="31"/>
      <c r="COJ86" s="31"/>
      <c r="COK86" s="31"/>
      <c r="COL86" s="31"/>
      <c r="COM86" s="31"/>
      <c r="CON86" s="31"/>
      <c r="COO86" s="31"/>
      <c r="COP86" s="31"/>
      <c r="COQ86" s="31"/>
      <c r="COR86" s="31"/>
      <c r="COS86" s="31"/>
      <c r="COT86" s="31"/>
      <c r="COU86" s="31"/>
      <c r="COV86" s="31"/>
      <c r="COW86" s="31"/>
      <c r="COX86" s="31"/>
      <c r="COY86" s="31"/>
      <c r="COZ86" s="31"/>
      <c r="CPA86" s="31"/>
      <c r="CPB86" s="31"/>
      <c r="CPC86" s="31"/>
      <c r="CPD86" s="31"/>
      <c r="CPE86" s="31"/>
      <c r="CPF86" s="31"/>
      <c r="CPG86" s="31"/>
      <c r="CPH86" s="31"/>
      <c r="CPI86" s="31"/>
      <c r="CPJ86" s="31"/>
      <c r="CPK86" s="31"/>
      <c r="CPL86" s="31"/>
      <c r="CPM86" s="31"/>
      <c r="CPN86" s="31"/>
      <c r="CPO86" s="31"/>
      <c r="CPP86" s="31"/>
      <c r="CPQ86" s="31"/>
      <c r="CPR86" s="31"/>
      <c r="CPS86" s="31"/>
      <c r="CPT86" s="31"/>
      <c r="CPU86" s="31"/>
      <c r="CPV86" s="31"/>
      <c r="CPW86" s="31"/>
      <c r="CPX86" s="31"/>
      <c r="CPY86" s="31"/>
      <c r="CPZ86" s="31"/>
      <c r="CQA86" s="31"/>
      <c r="CQB86" s="31"/>
      <c r="CQC86" s="31"/>
      <c r="CQD86" s="31"/>
      <c r="CQE86" s="31"/>
      <c r="CQF86" s="31"/>
      <c r="CQG86" s="31"/>
      <c r="CQH86" s="31"/>
      <c r="CQI86" s="31"/>
      <c r="CQJ86" s="31"/>
      <c r="CQK86" s="31"/>
      <c r="CQL86" s="31"/>
      <c r="CQM86" s="31"/>
      <c r="CQN86" s="31"/>
      <c r="CQO86" s="31"/>
      <c r="CQP86" s="31"/>
      <c r="CQQ86" s="31"/>
      <c r="CQR86" s="31"/>
      <c r="CQS86" s="31"/>
      <c r="CQT86" s="31"/>
      <c r="CQU86" s="31"/>
      <c r="CQV86" s="31"/>
      <c r="CQW86" s="31"/>
      <c r="CQX86" s="31"/>
      <c r="CQY86" s="31"/>
      <c r="CQZ86" s="31"/>
      <c r="CRA86" s="31"/>
      <c r="CRB86" s="31"/>
      <c r="CRC86" s="31"/>
      <c r="CRD86" s="31"/>
      <c r="CRE86" s="31"/>
      <c r="CRF86" s="31"/>
      <c r="CRG86" s="31"/>
      <c r="CRH86" s="31"/>
      <c r="CRI86" s="31"/>
      <c r="CRJ86" s="31"/>
      <c r="CRK86" s="31"/>
      <c r="CRL86" s="31"/>
      <c r="CRM86" s="31"/>
      <c r="CRN86" s="31"/>
      <c r="CRO86" s="31"/>
      <c r="CRP86" s="31"/>
      <c r="CRQ86" s="31"/>
      <c r="CRR86" s="31"/>
      <c r="CRS86" s="31"/>
      <c r="CRT86" s="31"/>
      <c r="CRU86" s="31"/>
      <c r="CRV86" s="31"/>
      <c r="CRW86" s="31"/>
      <c r="CRX86" s="31"/>
      <c r="CRY86" s="31"/>
      <c r="CRZ86" s="31"/>
      <c r="CSA86" s="31"/>
      <c r="CSB86" s="31"/>
      <c r="CSC86" s="31"/>
      <c r="CSD86" s="31"/>
      <c r="CSE86" s="31"/>
      <c r="CSF86" s="31"/>
      <c r="CSG86" s="31"/>
      <c r="CSH86" s="31"/>
      <c r="CSI86" s="31"/>
      <c r="CSJ86" s="31"/>
      <c r="CSK86" s="31"/>
      <c r="CSL86" s="31"/>
      <c r="CSM86" s="31"/>
      <c r="CSN86" s="31"/>
      <c r="CSO86" s="31"/>
      <c r="CSP86" s="31"/>
      <c r="CSQ86" s="31"/>
      <c r="CSR86" s="31"/>
      <c r="CSS86" s="31"/>
      <c r="CST86" s="31"/>
      <c r="CSU86" s="31"/>
      <c r="CSV86" s="31"/>
      <c r="CSW86" s="31"/>
      <c r="CSX86" s="31"/>
      <c r="CSY86" s="31"/>
      <c r="CSZ86" s="31"/>
      <c r="CTA86" s="31"/>
      <c r="CTB86" s="31"/>
      <c r="CTC86" s="31"/>
      <c r="CTD86" s="31"/>
      <c r="CTE86" s="31"/>
      <c r="CTF86" s="31"/>
      <c r="CTG86" s="31"/>
      <c r="CTH86" s="31"/>
      <c r="CTI86" s="31"/>
      <c r="CTJ86" s="31"/>
      <c r="CTK86" s="31"/>
      <c r="CTL86" s="31"/>
      <c r="CTM86" s="31"/>
      <c r="CTN86" s="31"/>
      <c r="CTO86" s="31"/>
      <c r="CTP86" s="31"/>
      <c r="CTQ86" s="31"/>
      <c r="CTR86" s="31"/>
      <c r="CTS86" s="31"/>
      <c r="CTT86" s="31"/>
      <c r="CTU86" s="31"/>
      <c r="CTV86" s="31"/>
      <c r="CTW86" s="31"/>
      <c r="CTX86" s="31"/>
      <c r="CTY86" s="31"/>
      <c r="CTZ86" s="31"/>
      <c r="CUA86" s="31"/>
      <c r="CUB86" s="31"/>
      <c r="CUC86" s="31"/>
      <c r="CUD86" s="31"/>
      <c r="CUE86" s="31"/>
      <c r="CUF86" s="31"/>
      <c r="CUG86" s="31"/>
      <c r="CUH86" s="31"/>
      <c r="CUI86" s="31"/>
      <c r="CUJ86" s="31"/>
      <c r="CUK86" s="31"/>
      <c r="CUL86" s="31"/>
      <c r="CUM86" s="31"/>
      <c r="CUN86" s="31"/>
      <c r="CUO86" s="31"/>
      <c r="CUP86" s="31"/>
      <c r="CUQ86" s="31"/>
      <c r="CUR86" s="31"/>
      <c r="CUS86" s="31"/>
      <c r="CUT86" s="31"/>
      <c r="CUU86" s="31"/>
      <c r="CUV86" s="31"/>
      <c r="CUW86" s="31"/>
      <c r="CUX86" s="31"/>
      <c r="CUY86" s="31"/>
      <c r="CUZ86" s="31"/>
      <c r="CVA86" s="31"/>
      <c r="CVB86" s="31"/>
      <c r="CVC86" s="31"/>
      <c r="CVD86" s="31"/>
      <c r="CVE86" s="31"/>
      <c r="CVF86" s="31"/>
      <c r="CVG86" s="31"/>
      <c r="CVH86" s="31"/>
      <c r="CVI86" s="31"/>
      <c r="CVJ86" s="31"/>
      <c r="CVK86" s="31"/>
      <c r="CVL86" s="31"/>
      <c r="CVM86" s="31"/>
      <c r="CVN86" s="31"/>
      <c r="CVO86" s="31"/>
      <c r="CVP86" s="31"/>
      <c r="CVQ86" s="31"/>
      <c r="CVR86" s="31"/>
      <c r="CVS86" s="31"/>
      <c r="CVT86" s="31"/>
      <c r="CVU86" s="31"/>
      <c r="CVV86" s="31"/>
      <c r="CVW86" s="31"/>
      <c r="CVX86" s="31"/>
      <c r="CVY86" s="31"/>
      <c r="CVZ86" s="31"/>
      <c r="CWA86" s="31"/>
      <c r="CWB86" s="31"/>
      <c r="CWC86" s="31"/>
      <c r="CWD86" s="31"/>
      <c r="CWE86" s="31"/>
      <c r="CWF86" s="31"/>
      <c r="CWG86" s="31"/>
      <c r="CWH86" s="31"/>
      <c r="CWI86" s="31"/>
      <c r="CWJ86" s="31"/>
      <c r="CWK86" s="31"/>
      <c r="CWL86" s="31"/>
      <c r="CWM86" s="31"/>
      <c r="CWN86" s="31"/>
      <c r="CWO86" s="31"/>
      <c r="CWP86" s="31"/>
      <c r="CWQ86" s="31"/>
      <c r="CWR86" s="31"/>
      <c r="CWS86" s="31"/>
      <c r="CWT86" s="31"/>
      <c r="CWU86" s="31"/>
      <c r="CWV86" s="31"/>
      <c r="CWW86" s="31"/>
      <c r="CWX86" s="31"/>
      <c r="CWY86" s="31"/>
      <c r="CWZ86" s="31"/>
      <c r="CXA86" s="31"/>
      <c r="CXB86" s="31"/>
      <c r="CXC86" s="31"/>
      <c r="CXD86" s="31"/>
      <c r="CXE86" s="31"/>
      <c r="CXF86" s="31"/>
      <c r="CXG86" s="31"/>
      <c r="CXH86" s="31"/>
      <c r="CXI86" s="31"/>
      <c r="CXJ86" s="31"/>
      <c r="CXK86" s="31"/>
      <c r="CXL86" s="31"/>
      <c r="CXM86" s="31"/>
      <c r="CXN86" s="31"/>
      <c r="CXO86" s="31"/>
      <c r="CXP86" s="31"/>
      <c r="CXQ86" s="31"/>
      <c r="CXR86" s="31"/>
      <c r="CXS86" s="31"/>
      <c r="CXT86" s="31"/>
      <c r="CXU86" s="31"/>
      <c r="CXV86" s="31"/>
      <c r="CXW86" s="31"/>
      <c r="CXX86" s="31"/>
      <c r="CXY86" s="31"/>
      <c r="CXZ86" s="31"/>
      <c r="CYA86" s="31"/>
      <c r="CYB86" s="31"/>
      <c r="CYC86" s="31"/>
      <c r="CYD86" s="31"/>
      <c r="CYE86" s="31"/>
      <c r="CYF86" s="31"/>
      <c r="CYG86" s="31"/>
      <c r="CYH86" s="31"/>
      <c r="CYI86" s="31"/>
      <c r="CYJ86" s="31"/>
      <c r="CYK86" s="31"/>
      <c r="CYL86" s="31"/>
      <c r="CYM86" s="31"/>
      <c r="CYN86" s="31"/>
      <c r="CYO86" s="31"/>
      <c r="CYP86" s="31"/>
      <c r="CYQ86" s="31"/>
      <c r="CYR86" s="31"/>
      <c r="CYS86" s="31"/>
      <c r="CYT86" s="31"/>
      <c r="CYU86" s="31"/>
      <c r="CYV86" s="31"/>
      <c r="CYW86" s="31"/>
      <c r="CYX86" s="31"/>
      <c r="CYY86" s="31"/>
      <c r="CYZ86" s="31"/>
      <c r="CZA86" s="31"/>
      <c r="CZB86" s="31"/>
      <c r="CZC86" s="31"/>
      <c r="CZD86" s="31"/>
      <c r="CZE86" s="31"/>
      <c r="CZF86" s="31"/>
      <c r="CZG86" s="31"/>
      <c r="CZH86" s="31"/>
      <c r="CZI86" s="31"/>
      <c r="CZJ86" s="31"/>
      <c r="CZK86" s="31"/>
      <c r="CZL86" s="31"/>
      <c r="CZM86" s="31"/>
      <c r="CZN86" s="31"/>
      <c r="CZO86" s="31"/>
      <c r="CZP86" s="31"/>
      <c r="CZQ86" s="31"/>
      <c r="CZR86" s="31"/>
      <c r="CZS86" s="31"/>
      <c r="CZT86" s="31"/>
      <c r="CZU86" s="31"/>
      <c r="CZV86" s="31"/>
      <c r="CZW86" s="31"/>
      <c r="CZX86" s="31"/>
      <c r="CZY86" s="31"/>
      <c r="CZZ86" s="31"/>
      <c r="DAA86" s="31"/>
      <c r="DAB86" s="31"/>
      <c r="DAC86" s="31"/>
      <c r="DAD86" s="31"/>
      <c r="DAE86" s="31"/>
      <c r="DAF86" s="31"/>
      <c r="DAG86" s="31"/>
      <c r="DAH86" s="31"/>
      <c r="DAI86" s="31"/>
      <c r="DAJ86" s="31"/>
      <c r="DAK86" s="31"/>
      <c r="DAL86" s="31"/>
      <c r="DAM86" s="31"/>
      <c r="DAN86" s="31"/>
      <c r="DAO86" s="31"/>
      <c r="DAP86" s="31"/>
      <c r="DAQ86" s="31"/>
      <c r="DAR86" s="31"/>
      <c r="DAS86" s="31"/>
      <c r="DAT86" s="31"/>
      <c r="DAU86" s="31"/>
      <c r="DAV86" s="31"/>
      <c r="DAW86" s="31"/>
      <c r="DAX86" s="31"/>
      <c r="DAY86" s="31"/>
      <c r="DAZ86" s="31"/>
      <c r="DBA86" s="31"/>
      <c r="DBB86" s="31"/>
      <c r="DBC86" s="31"/>
      <c r="DBD86" s="31"/>
      <c r="DBE86" s="31"/>
      <c r="DBF86" s="31"/>
      <c r="DBG86" s="31"/>
      <c r="DBH86" s="31"/>
      <c r="DBI86" s="31"/>
      <c r="DBJ86" s="31"/>
      <c r="DBK86" s="31"/>
      <c r="DBL86" s="31"/>
      <c r="DBM86" s="31"/>
      <c r="DBN86" s="31"/>
      <c r="DBO86" s="31"/>
      <c r="DBP86" s="31"/>
      <c r="DBQ86" s="31"/>
      <c r="DBR86" s="31"/>
      <c r="DBS86" s="31"/>
      <c r="DBT86" s="31"/>
      <c r="DBU86" s="31"/>
      <c r="DBV86" s="31"/>
      <c r="DBW86" s="31"/>
      <c r="DBX86" s="31"/>
      <c r="DBY86" s="31"/>
      <c r="DBZ86" s="31"/>
      <c r="DCA86" s="31"/>
      <c r="DCB86" s="31"/>
      <c r="DCC86" s="31"/>
      <c r="DCD86" s="31"/>
      <c r="DCE86" s="31"/>
      <c r="DCF86" s="31"/>
      <c r="DCG86" s="31"/>
      <c r="DCH86" s="31"/>
      <c r="DCI86" s="31"/>
      <c r="DCJ86" s="31"/>
      <c r="DCK86" s="31"/>
      <c r="DCL86" s="31"/>
      <c r="DCM86" s="31"/>
      <c r="DCN86" s="31"/>
      <c r="DCO86" s="31"/>
      <c r="DCP86" s="31"/>
      <c r="DCQ86" s="31"/>
      <c r="DCR86" s="31"/>
      <c r="DCS86" s="31"/>
      <c r="DCT86" s="31"/>
      <c r="DCU86" s="31"/>
      <c r="DCV86" s="31"/>
      <c r="DCW86" s="31"/>
      <c r="DCX86" s="31"/>
      <c r="DCY86" s="31"/>
      <c r="DCZ86" s="31"/>
      <c r="DDA86" s="31"/>
      <c r="DDB86" s="31"/>
      <c r="DDC86" s="31"/>
      <c r="DDD86" s="31"/>
      <c r="DDE86" s="31"/>
      <c r="DDF86" s="31"/>
      <c r="DDG86" s="31"/>
      <c r="DDH86" s="31"/>
      <c r="DDI86" s="31"/>
      <c r="DDJ86" s="31"/>
      <c r="DDK86" s="31"/>
      <c r="DDL86" s="31"/>
      <c r="DDM86" s="31"/>
      <c r="DDN86" s="31"/>
      <c r="DDO86" s="31"/>
      <c r="DDP86" s="31"/>
      <c r="DDQ86" s="31"/>
      <c r="DDR86" s="31"/>
      <c r="DDS86" s="31"/>
      <c r="DDT86" s="31"/>
      <c r="DDU86" s="31"/>
      <c r="DDV86" s="31"/>
      <c r="DDW86" s="31"/>
      <c r="DDX86" s="31"/>
      <c r="DDY86" s="31"/>
      <c r="DDZ86" s="31"/>
      <c r="DEA86" s="31"/>
      <c r="DEB86" s="31"/>
      <c r="DEC86" s="31"/>
      <c r="DED86" s="31"/>
      <c r="DEE86" s="31"/>
      <c r="DEF86" s="31"/>
      <c r="DEG86" s="31"/>
      <c r="DEH86" s="31"/>
      <c r="DEI86" s="31"/>
      <c r="DEJ86" s="31"/>
      <c r="DEK86" s="31"/>
      <c r="DEL86" s="31"/>
      <c r="DEM86" s="31"/>
      <c r="DEN86" s="31"/>
      <c r="DEO86" s="31"/>
      <c r="DEP86" s="31"/>
      <c r="DEQ86" s="31"/>
      <c r="DER86" s="31"/>
      <c r="DES86" s="31"/>
      <c r="DET86" s="31"/>
      <c r="DEU86" s="31"/>
      <c r="DEV86" s="31"/>
      <c r="DEW86" s="31"/>
      <c r="DEX86" s="31"/>
      <c r="DEY86" s="31"/>
      <c r="DEZ86" s="31"/>
      <c r="DFA86" s="31"/>
      <c r="DFB86" s="31"/>
      <c r="DFC86" s="31"/>
      <c r="DFD86" s="31"/>
      <c r="DFE86" s="31"/>
      <c r="DFF86" s="31"/>
      <c r="DFG86" s="31"/>
      <c r="DFH86" s="31"/>
      <c r="DFI86" s="31"/>
      <c r="DFJ86" s="31"/>
      <c r="DFK86" s="31"/>
      <c r="DFL86" s="31"/>
      <c r="DFM86" s="31"/>
      <c r="DFN86" s="31"/>
      <c r="DFO86" s="31"/>
      <c r="DFP86" s="31"/>
      <c r="DFQ86" s="31"/>
      <c r="DFR86" s="31"/>
      <c r="DFS86" s="31"/>
      <c r="DFT86" s="31"/>
      <c r="DFU86" s="31"/>
      <c r="DFV86" s="31"/>
      <c r="DFW86" s="31"/>
      <c r="DFX86" s="31"/>
      <c r="DFY86" s="31"/>
      <c r="DFZ86" s="31"/>
      <c r="DGA86" s="31"/>
      <c r="DGB86" s="31"/>
      <c r="DGC86" s="31"/>
      <c r="DGD86" s="31"/>
      <c r="DGE86" s="31"/>
      <c r="DGF86" s="31"/>
      <c r="DGG86" s="31"/>
      <c r="DGH86" s="31"/>
      <c r="DGI86" s="31"/>
      <c r="DGJ86" s="31"/>
      <c r="DGK86" s="31"/>
      <c r="DGL86" s="31"/>
      <c r="DGM86" s="31"/>
      <c r="DGN86" s="31"/>
      <c r="DGO86" s="31"/>
      <c r="DGP86" s="31"/>
      <c r="DGQ86" s="31"/>
      <c r="DGR86" s="31"/>
      <c r="DGS86" s="31"/>
      <c r="DGT86" s="31"/>
      <c r="DGU86" s="31"/>
      <c r="DGV86" s="31"/>
      <c r="DGW86" s="31"/>
      <c r="DGX86" s="31"/>
      <c r="DGY86" s="31"/>
      <c r="DGZ86" s="31"/>
      <c r="DHA86" s="31"/>
      <c r="DHB86" s="31"/>
      <c r="DHC86" s="31"/>
      <c r="DHD86" s="31"/>
      <c r="DHE86" s="31"/>
      <c r="DHF86" s="31"/>
      <c r="DHG86" s="31"/>
      <c r="DHH86" s="31"/>
      <c r="DHI86" s="31"/>
      <c r="DHJ86" s="31"/>
      <c r="DHK86" s="31"/>
      <c r="DHL86" s="31"/>
      <c r="DHM86" s="31"/>
      <c r="DHN86" s="31"/>
      <c r="DHO86" s="31"/>
      <c r="DHP86" s="31"/>
      <c r="DHQ86" s="31"/>
      <c r="DHR86" s="31"/>
      <c r="DHS86" s="31"/>
      <c r="DHT86" s="31"/>
      <c r="DHU86" s="31"/>
      <c r="DHV86" s="31"/>
      <c r="DHW86" s="31"/>
      <c r="DHX86" s="31"/>
      <c r="DHY86" s="31"/>
      <c r="DHZ86" s="31"/>
      <c r="DIA86" s="31"/>
      <c r="DIB86" s="31"/>
      <c r="DIC86" s="31"/>
      <c r="DID86" s="31"/>
      <c r="DIE86" s="31"/>
      <c r="DIF86" s="31"/>
      <c r="DIG86" s="31"/>
      <c r="DIH86" s="31"/>
      <c r="DII86" s="31"/>
      <c r="DIJ86" s="31"/>
      <c r="DIK86" s="31"/>
      <c r="DIL86" s="31"/>
      <c r="DIM86" s="31"/>
      <c r="DIN86" s="31"/>
      <c r="DIO86" s="31"/>
      <c r="DIP86" s="31"/>
      <c r="DIQ86" s="31"/>
      <c r="DIR86" s="31"/>
      <c r="DIS86" s="31"/>
      <c r="DIT86" s="31"/>
      <c r="DIU86" s="31"/>
      <c r="DIV86" s="31"/>
      <c r="DIW86" s="31"/>
      <c r="DIX86" s="31"/>
      <c r="DIY86" s="31"/>
      <c r="DIZ86" s="31"/>
      <c r="DJA86" s="31"/>
      <c r="DJB86" s="31"/>
      <c r="DJC86" s="31"/>
      <c r="DJD86" s="31"/>
      <c r="DJE86" s="31"/>
      <c r="DJF86" s="31"/>
      <c r="DJG86" s="31"/>
      <c r="DJH86" s="31"/>
      <c r="DJI86" s="31"/>
      <c r="DJJ86" s="31"/>
      <c r="DJK86" s="31"/>
      <c r="DJL86" s="31"/>
      <c r="DJM86" s="31"/>
      <c r="DJN86" s="31"/>
      <c r="DJO86" s="31"/>
      <c r="DJP86" s="31"/>
      <c r="DJQ86" s="31"/>
      <c r="DJR86" s="31"/>
      <c r="DJS86" s="31"/>
      <c r="DJT86" s="31"/>
      <c r="DJU86" s="31"/>
      <c r="DJV86" s="31"/>
      <c r="DJW86" s="31"/>
      <c r="DJX86" s="31"/>
      <c r="DJY86" s="31"/>
      <c r="DJZ86" s="31"/>
      <c r="DKA86" s="31"/>
      <c r="DKB86" s="31"/>
      <c r="DKC86" s="31"/>
      <c r="DKD86" s="31"/>
      <c r="DKE86" s="31"/>
      <c r="DKF86" s="31"/>
      <c r="DKG86" s="31"/>
      <c r="DKH86" s="31"/>
      <c r="DKI86" s="31"/>
      <c r="DKJ86" s="31"/>
      <c r="DKK86" s="31"/>
      <c r="DKL86" s="31"/>
      <c r="DKM86" s="31"/>
      <c r="DKN86" s="31"/>
      <c r="DKO86" s="31"/>
      <c r="DKP86" s="31"/>
      <c r="DKQ86" s="31"/>
      <c r="DKR86" s="31"/>
      <c r="DKS86" s="31"/>
      <c r="DKT86" s="31"/>
      <c r="DKU86" s="31"/>
      <c r="DKV86" s="31"/>
      <c r="DKW86" s="31"/>
      <c r="DKX86" s="31"/>
      <c r="DKY86" s="31"/>
      <c r="DKZ86" s="31"/>
      <c r="DLA86" s="31"/>
      <c r="DLB86" s="31"/>
      <c r="DLC86" s="31"/>
      <c r="DLD86" s="31"/>
      <c r="DLE86" s="31"/>
      <c r="DLF86" s="31"/>
      <c r="DLG86" s="31"/>
      <c r="DLH86" s="31"/>
      <c r="DLI86" s="31"/>
      <c r="DLJ86" s="31"/>
      <c r="DLK86" s="31"/>
      <c r="DLL86" s="31"/>
      <c r="DLM86" s="31"/>
      <c r="DLN86" s="31"/>
      <c r="DLO86" s="31"/>
      <c r="DLP86" s="31"/>
      <c r="DLQ86" s="31"/>
      <c r="DLR86" s="31"/>
      <c r="DLS86" s="31"/>
      <c r="DLT86" s="31"/>
      <c r="DLU86" s="31"/>
      <c r="DLV86" s="31"/>
      <c r="DLW86" s="31"/>
      <c r="DLX86" s="31"/>
      <c r="DLY86" s="31"/>
      <c r="DLZ86" s="31"/>
      <c r="DMA86" s="31"/>
      <c r="DMB86" s="31"/>
      <c r="DMC86" s="31"/>
      <c r="DMD86" s="31"/>
      <c r="DME86" s="31"/>
      <c r="DMF86" s="31"/>
      <c r="DMG86" s="31"/>
      <c r="DMH86" s="31"/>
      <c r="DMI86" s="31"/>
      <c r="DMJ86" s="31"/>
      <c r="DMK86" s="31"/>
      <c r="DML86" s="31"/>
      <c r="DMM86" s="31"/>
      <c r="DMN86" s="31"/>
      <c r="DMO86" s="31"/>
      <c r="DMP86" s="31"/>
      <c r="DMQ86" s="31"/>
      <c r="DMR86" s="31"/>
      <c r="DMS86" s="31"/>
      <c r="DMT86" s="31"/>
      <c r="DMU86" s="31"/>
      <c r="DMV86" s="31"/>
      <c r="DMW86" s="31"/>
      <c r="DMX86" s="31"/>
      <c r="DMY86" s="31"/>
      <c r="DMZ86" s="31"/>
      <c r="DNA86" s="31"/>
      <c r="DNB86" s="31"/>
      <c r="DNC86" s="31"/>
      <c r="DND86" s="31"/>
      <c r="DNE86" s="31"/>
      <c r="DNF86" s="31"/>
      <c r="DNG86" s="31"/>
      <c r="DNH86" s="31"/>
      <c r="DNI86" s="31"/>
      <c r="DNJ86" s="31"/>
      <c r="DNK86" s="31"/>
      <c r="DNL86" s="31"/>
      <c r="DNM86" s="31"/>
      <c r="DNN86" s="31"/>
      <c r="DNO86" s="31"/>
      <c r="DNP86" s="31"/>
      <c r="DNQ86" s="31"/>
      <c r="DNR86" s="31"/>
      <c r="DNS86" s="31"/>
      <c r="DNT86" s="31"/>
      <c r="DNU86" s="31"/>
      <c r="DNV86" s="31"/>
      <c r="DNW86" s="31"/>
      <c r="DNX86" s="31"/>
      <c r="DNY86" s="31"/>
      <c r="DNZ86" s="31"/>
      <c r="DOA86" s="31"/>
      <c r="DOB86" s="31"/>
      <c r="DOC86" s="31"/>
      <c r="DOD86" s="31"/>
      <c r="DOE86" s="31"/>
      <c r="DOF86" s="31"/>
      <c r="DOG86" s="31"/>
      <c r="DOH86" s="31"/>
      <c r="DOI86" s="31"/>
      <c r="DOJ86" s="31"/>
      <c r="DOK86" s="31"/>
      <c r="DOL86" s="31"/>
      <c r="DOM86" s="31"/>
      <c r="DON86" s="31"/>
      <c r="DOO86" s="31"/>
      <c r="DOP86" s="31"/>
      <c r="DOQ86" s="31"/>
      <c r="DOR86" s="31"/>
      <c r="DOS86" s="31"/>
      <c r="DOT86" s="31"/>
      <c r="DOU86" s="31"/>
      <c r="DOV86" s="31"/>
      <c r="DOW86" s="31"/>
      <c r="DOX86" s="31"/>
      <c r="DOY86" s="31"/>
      <c r="DOZ86" s="31"/>
      <c r="DPA86" s="31"/>
      <c r="DPB86" s="31"/>
      <c r="DPC86" s="31"/>
      <c r="DPD86" s="31"/>
      <c r="DPE86" s="31"/>
      <c r="DPF86" s="31"/>
      <c r="DPG86" s="31"/>
      <c r="DPH86" s="31"/>
      <c r="DPI86" s="31"/>
      <c r="DPJ86" s="31"/>
      <c r="DPK86" s="31"/>
      <c r="DPL86" s="31"/>
      <c r="DPM86" s="31"/>
      <c r="DPN86" s="31"/>
      <c r="DPO86" s="31"/>
      <c r="DPP86" s="31"/>
      <c r="DPQ86" s="31"/>
      <c r="DPR86" s="31"/>
      <c r="DPS86" s="31"/>
      <c r="DPT86" s="31"/>
      <c r="DPU86" s="31"/>
      <c r="DPV86" s="31"/>
      <c r="DPW86" s="31"/>
      <c r="DPX86" s="31"/>
      <c r="DPY86" s="31"/>
      <c r="DPZ86" s="31"/>
      <c r="DQA86" s="31"/>
      <c r="DQB86" s="31"/>
      <c r="DQC86" s="31"/>
      <c r="DQD86" s="31"/>
      <c r="DQE86" s="31"/>
      <c r="DQF86" s="31"/>
      <c r="DQG86" s="31"/>
      <c r="DQH86" s="31"/>
      <c r="DQI86" s="31"/>
      <c r="DQJ86" s="31"/>
      <c r="DQK86" s="31"/>
      <c r="DQL86" s="31"/>
      <c r="DQM86" s="31"/>
      <c r="DQN86" s="31"/>
      <c r="DQO86" s="31"/>
      <c r="DQP86" s="31"/>
      <c r="DQQ86" s="31"/>
      <c r="DQR86" s="31"/>
      <c r="DQS86" s="31"/>
      <c r="DQT86" s="31"/>
      <c r="DQU86" s="31"/>
      <c r="DQV86" s="31"/>
      <c r="DQW86" s="31"/>
      <c r="DQX86" s="31"/>
      <c r="DQY86" s="31"/>
      <c r="DQZ86" s="31"/>
      <c r="DRA86" s="31"/>
      <c r="DRB86" s="31"/>
      <c r="DRC86" s="31"/>
      <c r="DRD86" s="31"/>
      <c r="DRE86" s="31"/>
      <c r="DRF86" s="31"/>
      <c r="DRG86" s="31"/>
      <c r="DRH86" s="31"/>
      <c r="DRI86" s="31"/>
      <c r="DRJ86" s="31"/>
      <c r="DRK86" s="31"/>
      <c r="DRL86" s="31"/>
      <c r="DRM86" s="31"/>
      <c r="DRN86" s="31"/>
      <c r="DRO86" s="31"/>
      <c r="DRP86" s="31"/>
      <c r="DRQ86" s="31"/>
      <c r="DRR86" s="31"/>
      <c r="DRS86" s="31"/>
      <c r="DRT86" s="31"/>
      <c r="DRU86" s="31"/>
      <c r="DRV86" s="31"/>
      <c r="DRW86" s="31"/>
      <c r="DRX86" s="31"/>
      <c r="DRY86" s="31"/>
      <c r="DRZ86" s="31"/>
      <c r="DSA86" s="31"/>
      <c r="DSB86" s="31"/>
      <c r="DSC86" s="31"/>
      <c r="DSD86" s="31"/>
      <c r="DSE86" s="31"/>
      <c r="DSF86" s="31"/>
      <c r="DSG86" s="31"/>
      <c r="DSH86" s="31"/>
      <c r="DSI86" s="31"/>
      <c r="DSJ86" s="31"/>
      <c r="DSK86" s="31"/>
      <c r="DSL86" s="31"/>
      <c r="DSM86" s="31"/>
      <c r="DSN86" s="31"/>
      <c r="DSO86" s="31"/>
      <c r="DSP86" s="31"/>
      <c r="DSQ86" s="31"/>
      <c r="DSR86" s="31"/>
      <c r="DSS86" s="31"/>
      <c r="DST86" s="31"/>
      <c r="DSU86" s="31"/>
      <c r="DSV86" s="31"/>
      <c r="DSW86" s="31"/>
      <c r="DSX86" s="31"/>
      <c r="DSY86" s="31"/>
      <c r="DSZ86" s="31"/>
      <c r="DTA86" s="31"/>
      <c r="DTB86" s="31"/>
      <c r="DTC86" s="31"/>
      <c r="DTD86" s="31"/>
      <c r="DTE86" s="31"/>
      <c r="DTF86" s="31"/>
      <c r="DTG86" s="31"/>
      <c r="DTH86" s="31"/>
      <c r="DTI86" s="31"/>
      <c r="DTJ86" s="31"/>
      <c r="DTK86" s="31"/>
      <c r="DTL86" s="31"/>
      <c r="DTM86" s="31"/>
      <c r="DTN86" s="31"/>
      <c r="DTO86" s="31"/>
      <c r="DTP86" s="31"/>
      <c r="DTQ86" s="31"/>
      <c r="DTR86" s="31"/>
      <c r="DTS86" s="31"/>
      <c r="DTT86" s="31"/>
      <c r="DTU86" s="31"/>
      <c r="DTV86" s="31"/>
      <c r="DTW86" s="31"/>
      <c r="DTX86" s="31"/>
      <c r="DTY86" s="31"/>
      <c r="DTZ86" s="31"/>
      <c r="DUA86" s="31"/>
      <c r="DUB86" s="31"/>
      <c r="DUC86" s="31"/>
      <c r="DUD86" s="31"/>
      <c r="DUE86" s="31"/>
      <c r="DUF86" s="31"/>
      <c r="DUG86" s="31"/>
      <c r="DUH86" s="31"/>
      <c r="DUI86" s="31"/>
      <c r="DUJ86" s="31"/>
      <c r="DUK86" s="31"/>
      <c r="DUL86" s="31"/>
      <c r="DUM86" s="31"/>
      <c r="DUN86" s="31"/>
      <c r="DUO86" s="31"/>
      <c r="DUP86" s="31"/>
      <c r="DUQ86" s="31"/>
      <c r="DUR86" s="31"/>
      <c r="DUS86" s="31"/>
      <c r="DUT86" s="31"/>
      <c r="DUU86" s="31"/>
      <c r="DUV86" s="31"/>
      <c r="DUW86" s="31"/>
      <c r="DUX86" s="31"/>
      <c r="DUY86" s="31"/>
      <c r="DUZ86" s="31"/>
      <c r="DVA86" s="31"/>
      <c r="DVB86" s="31"/>
      <c r="DVC86" s="31"/>
      <c r="DVD86" s="31"/>
      <c r="DVE86" s="31"/>
      <c r="DVF86" s="31"/>
      <c r="DVG86" s="31"/>
      <c r="DVH86" s="31"/>
      <c r="DVI86" s="31"/>
      <c r="DVJ86" s="31"/>
      <c r="DVK86" s="31"/>
      <c r="DVL86" s="31"/>
      <c r="DVM86" s="31"/>
      <c r="DVN86" s="31"/>
      <c r="DVO86" s="31"/>
      <c r="DVP86" s="31"/>
      <c r="DVQ86" s="31"/>
      <c r="DVR86" s="31"/>
      <c r="DVS86" s="31"/>
      <c r="DVT86" s="31"/>
      <c r="DVU86" s="31"/>
      <c r="DVV86" s="31"/>
      <c r="DVW86" s="31"/>
      <c r="DVX86" s="31"/>
      <c r="DVY86" s="31"/>
      <c r="DVZ86" s="31"/>
      <c r="DWA86" s="31"/>
      <c r="DWB86" s="31"/>
      <c r="DWC86" s="31"/>
      <c r="DWD86" s="31"/>
      <c r="DWE86" s="31"/>
      <c r="DWF86" s="31"/>
      <c r="DWG86" s="31"/>
      <c r="DWH86" s="31"/>
      <c r="DWI86" s="31"/>
      <c r="DWJ86" s="31"/>
      <c r="DWK86" s="31"/>
      <c r="DWL86" s="31"/>
      <c r="DWM86" s="31"/>
      <c r="DWN86" s="31"/>
      <c r="DWO86" s="31"/>
      <c r="DWP86" s="31"/>
      <c r="DWQ86" s="31"/>
      <c r="DWR86" s="31"/>
      <c r="DWS86" s="31"/>
      <c r="DWT86" s="31"/>
      <c r="DWU86" s="31"/>
      <c r="DWV86" s="31"/>
      <c r="DWW86" s="31"/>
      <c r="DWX86" s="31"/>
      <c r="DWY86" s="31"/>
      <c r="DWZ86" s="31"/>
      <c r="DXA86" s="31"/>
      <c r="DXB86" s="31"/>
      <c r="DXC86" s="31"/>
      <c r="DXD86" s="31"/>
      <c r="DXE86" s="31"/>
      <c r="DXF86" s="31"/>
      <c r="DXG86" s="31"/>
      <c r="DXH86" s="31"/>
      <c r="DXI86" s="31"/>
      <c r="DXJ86" s="31"/>
      <c r="DXK86" s="31"/>
      <c r="DXL86" s="31"/>
      <c r="DXM86" s="31"/>
      <c r="DXN86" s="31"/>
      <c r="DXO86" s="31"/>
      <c r="DXP86" s="31"/>
      <c r="DXQ86" s="31"/>
      <c r="DXR86" s="31"/>
      <c r="DXS86" s="31"/>
      <c r="DXT86" s="31"/>
      <c r="DXU86" s="31"/>
      <c r="DXV86" s="31"/>
      <c r="DXW86" s="31"/>
      <c r="DXX86" s="31"/>
      <c r="DXY86" s="31"/>
      <c r="DXZ86" s="31"/>
      <c r="DYA86" s="31"/>
      <c r="DYB86" s="31"/>
      <c r="DYC86" s="31"/>
      <c r="DYD86" s="31"/>
      <c r="DYE86" s="31"/>
      <c r="DYF86" s="31"/>
      <c r="DYG86" s="31"/>
      <c r="DYH86" s="31"/>
      <c r="DYI86" s="31"/>
      <c r="DYJ86" s="31"/>
      <c r="DYK86" s="31"/>
      <c r="DYL86" s="31"/>
      <c r="DYM86" s="31"/>
      <c r="DYN86" s="31"/>
      <c r="DYO86" s="31"/>
      <c r="DYP86" s="31"/>
      <c r="DYQ86" s="31"/>
      <c r="DYR86" s="31"/>
      <c r="DYS86" s="31"/>
      <c r="DYT86" s="31"/>
      <c r="DYU86" s="31"/>
      <c r="DYV86" s="31"/>
      <c r="DYW86" s="31"/>
      <c r="DYX86" s="31"/>
      <c r="DYY86" s="31"/>
      <c r="DYZ86" s="31"/>
      <c r="DZA86" s="31"/>
      <c r="DZB86" s="31"/>
      <c r="DZC86" s="31"/>
      <c r="DZD86" s="31"/>
      <c r="DZE86" s="31"/>
      <c r="DZF86" s="31"/>
      <c r="DZG86" s="31"/>
      <c r="DZH86" s="31"/>
      <c r="DZI86" s="31"/>
      <c r="DZJ86" s="31"/>
      <c r="DZK86" s="31"/>
      <c r="DZL86" s="31"/>
      <c r="DZM86" s="31"/>
      <c r="DZN86" s="31"/>
      <c r="DZO86" s="31"/>
      <c r="DZP86" s="31"/>
      <c r="DZQ86" s="31"/>
      <c r="DZR86" s="31"/>
      <c r="DZS86" s="31"/>
      <c r="DZT86" s="31"/>
      <c r="DZU86" s="31"/>
      <c r="DZV86" s="31"/>
      <c r="DZW86" s="31"/>
      <c r="DZX86" s="31"/>
      <c r="DZY86" s="31"/>
      <c r="DZZ86" s="31"/>
      <c r="EAA86" s="31"/>
      <c r="EAB86" s="31"/>
      <c r="EAC86" s="31"/>
      <c r="EAD86" s="31"/>
      <c r="EAE86" s="31"/>
      <c r="EAF86" s="31"/>
      <c r="EAG86" s="31"/>
      <c r="EAH86" s="31"/>
      <c r="EAI86" s="31"/>
      <c r="EAJ86" s="31"/>
      <c r="EAK86" s="31"/>
      <c r="EAL86" s="31"/>
      <c r="EAM86" s="31"/>
      <c r="EAN86" s="31"/>
      <c r="EAO86" s="31"/>
      <c r="EAP86" s="31"/>
      <c r="EAQ86" s="31"/>
      <c r="EAR86" s="31"/>
      <c r="EAS86" s="31"/>
      <c r="EAT86" s="31"/>
      <c r="EAU86" s="31"/>
      <c r="EAV86" s="31"/>
      <c r="EAW86" s="31"/>
      <c r="EAX86" s="31"/>
      <c r="EAY86" s="31"/>
      <c r="EAZ86" s="31"/>
      <c r="EBA86" s="31"/>
      <c r="EBB86" s="31"/>
      <c r="EBC86" s="31"/>
      <c r="EBD86" s="31"/>
      <c r="EBE86" s="31"/>
      <c r="EBF86" s="31"/>
      <c r="EBG86" s="31"/>
      <c r="EBH86" s="31"/>
      <c r="EBI86" s="31"/>
      <c r="EBJ86" s="31"/>
      <c r="EBK86" s="31"/>
      <c r="EBL86" s="31"/>
      <c r="EBM86" s="31"/>
      <c r="EBN86" s="31"/>
      <c r="EBO86" s="31"/>
      <c r="EBP86" s="31"/>
      <c r="EBQ86" s="31"/>
      <c r="EBR86" s="31"/>
      <c r="EBS86" s="31"/>
      <c r="EBT86" s="31"/>
      <c r="EBU86" s="31"/>
      <c r="EBV86" s="31"/>
      <c r="EBW86" s="31"/>
      <c r="EBX86" s="31"/>
      <c r="EBY86" s="31"/>
      <c r="EBZ86" s="31"/>
      <c r="ECA86" s="31"/>
      <c r="ECB86" s="31"/>
      <c r="ECC86" s="31"/>
      <c r="ECD86" s="31"/>
      <c r="ECE86" s="31"/>
      <c r="ECF86" s="31"/>
      <c r="ECG86" s="31"/>
      <c r="ECH86" s="31"/>
      <c r="ECI86" s="31"/>
      <c r="ECJ86" s="31"/>
      <c r="ECK86" s="31"/>
      <c r="ECL86" s="31"/>
      <c r="ECM86" s="31"/>
      <c r="ECN86" s="31"/>
      <c r="ECO86" s="31"/>
      <c r="ECP86" s="31"/>
      <c r="ECQ86" s="31"/>
      <c r="ECR86" s="31"/>
      <c r="ECS86" s="31"/>
      <c r="ECT86" s="31"/>
      <c r="ECU86" s="31"/>
      <c r="ECV86" s="31"/>
      <c r="ECW86" s="31"/>
      <c r="ECX86" s="31"/>
      <c r="ECY86" s="31"/>
      <c r="ECZ86" s="31"/>
      <c r="EDA86" s="31"/>
      <c r="EDB86" s="31"/>
      <c r="EDC86" s="31"/>
      <c r="EDD86" s="31"/>
      <c r="EDE86" s="31"/>
      <c r="EDF86" s="31"/>
      <c r="EDG86" s="31"/>
      <c r="EDH86" s="31"/>
      <c r="EDI86" s="31"/>
      <c r="EDJ86" s="31"/>
      <c r="EDK86" s="31"/>
      <c r="EDL86" s="31"/>
      <c r="EDM86" s="31"/>
      <c r="EDN86" s="31"/>
      <c r="EDO86" s="31"/>
      <c r="EDP86" s="31"/>
      <c r="EDQ86" s="31"/>
      <c r="EDR86" s="31"/>
      <c r="EDS86" s="31"/>
      <c r="EDT86" s="31"/>
      <c r="EDU86" s="31"/>
      <c r="EDV86" s="31"/>
      <c r="EDW86" s="31"/>
      <c r="EDX86" s="31"/>
      <c r="EDY86" s="31"/>
      <c r="EDZ86" s="31"/>
      <c r="EEA86" s="31"/>
      <c r="EEB86" s="31"/>
      <c r="EEC86" s="31"/>
      <c r="EED86" s="31"/>
      <c r="EEE86" s="31"/>
      <c r="EEF86" s="31"/>
      <c r="EEG86" s="31"/>
      <c r="EEH86" s="31"/>
      <c r="EEI86" s="31"/>
      <c r="EEJ86" s="31"/>
      <c r="EEK86" s="31"/>
      <c r="EEL86" s="31"/>
      <c r="EEM86" s="31"/>
      <c r="EEN86" s="31"/>
      <c r="EEO86" s="31"/>
      <c r="EEP86" s="31"/>
      <c r="EEQ86" s="31"/>
      <c r="EER86" s="31"/>
      <c r="EES86" s="31"/>
      <c r="EET86" s="31"/>
      <c r="EEU86" s="31"/>
      <c r="EEV86" s="31"/>
      <c r="EEW86" s="31"/>
      <c r="EEX86" s="31"/>
      <c r="EEY86" s="31"/>
      <c r="EEZ86" s="31"/>
      <c r="EFA86" s="31"/>
      <c r="EFB86" s="31"/>
      <c r="EFC86" s="31"/>
      <c r="EFD86" s="31"/>
      <c r="EFE86" s="31"/>
      <c r="EFF86" s="31"/>
      <c r="EFG86" s="31"/>
      <c r="EFH86" s="31"/>
      <c r="EFI86" s="31"/>
      <c r="EFJ86" s="31"/>
      <c r="EFK86" s="31"/>
      <c r="EFL86" s="31"/>
      <c r="EFM86" s="31"/>
      <c r="EFN86" s="31"/>
      <c r="EFO86" s="31"/>
      <c r="EFP86" s="31"/>
      <c r="EFQ86" s="31"/>
      <c r="EFR86" s="31"/>
      <c r="EFS86" s="31"/>
      <c r="EFT86" s="31"/>
      <c r="EFU86" s="31"/>
      <c r="EFV86" s="31"/>
      <c r="EFW86" s="31"/>
      <c r="EFX86" s="31"/>
      <c r="EFY86" s="31"/>
      <c r="EFZ86" s="31"/>
      <c r="EGA86" s="31"/>
      <c r="EGB86" s="31"/>
      <c r="EGC86" s="31"/>
      <c r="EGD86" s="31"/>
      <c r="EGE86" s="31"/>
      <c r="EGF86" s="31"/>
      <c r="EGG86" s="31"/>
      <c r="EGH86" s="31"/>
      <c r="EGI86" s="31"/>
      <c r="EGJ86" s="31"/>
      <c r="EGK86" s="31"/>
      <c r="EGL86" s="31"/>
      <c r="EGM86" s="31"/>
      <c r="EGN86" s="31"/>
      <c r="EGO86" s="31"/>
      <c r="EGP86" s="31"/>
      <c r="EGQ86" s="31"/>
      <c r="EGR86" s="31"/>
      <c r="EGS86" s="31"/>
      <c r="EGT86" s="31"/>
      <c r="EGU86" s="31"/>
      <c r="EGV86" s="31"/>
      <c r="EGW86" s="31"/>
      <c r="EGX86" s="31"/>
      <c r="EGY86" s="31"/>
      <c r="EGZ86" s="31"/>
      <c r="EHA86" s="31"/>
      <c r="EHB86" s="31"/>
      <c r="EHC86" s="31"/>
      <c r="EHD86" s="31"/>
      <c r="EHE86" s="31"/>
      <c r="EHF86" s="31"/>
      <c r="EHG86" s="31"/>
      <c r="EHH86" s="31"/>
      <c r="EHI86" s="31"/>
      <c r="EHJ86" s="31"/>
      <c r="EHK86" s="31"/>
      <c r="EHL86" s="31"/>
      <c r="EHM86" s="31"/>
      <c r="EHN86" s="31"/>
      <c r="EHO86" s="31"/>
      <c r="EHP86" s="31"/>
      <c r="EHQ86" s="31"/>
      <c r="EHR86" s="31"/>
      <c r="EHS86" s="31"/>
      <c r="EHT86" s="31"/>
      <c r="EHU86" s="31"/>
      <c r="EHV86" s="31"/>
      <c r="EHW86" s="31"/>
      <c r="EHX86" s="31"/>
      <c r="EHY86" s="31"/>
      <c r="EHZ86" s="31"/>
      <c r="EIA86" s="31"/>
      <c r="EIB86" s="31"/>
      <c r="EIC86" s="31"/>
      <c r="EID86" s="31"/>
      <c r="EIE86" s="31"/>
      <c r="EIF86" s="31"/>
      <c r="EIG86" s="31"/>
      <c r="EIH86" s="31"/>
      <c r="EII86" s="31"/>
      <c r="EIJ86" s="31"/>
      <c r="EIK86" s="31"/>
      <c r="EIL86" s="31"/>
      <c r="EIM86" s="31"/>
      <c r="EIN86" s="31"/>
      <c r="EIO86" s="31"/>
      <c r="EIP86" s="31"/>
      <c r="EIQ86" s="31"/>
      <c r="EIR86" s="31"/>
      <c r="EIS86" s="31"/>
      <c r="EIT86" s="31"/>
      <c r="EIU86" s="31"/>
      <c r="EIV86" s="31"/>
      <c r="EIW86" s="31"/>
      <c r="EIX86" s="31"/>
      <c r="EIY86" s="31"/>
      <c r="EIZ86" s="31"/>
      <c r="EJA86" s="31"/>
      <c r="EJB86" s="31"/>
      <c r="EJC86" s="31"/>
      <c r="EJD86" s="31"/>
      <c r="EJE86" s="31"/>
      <c r="EJF86" s="31"/>
      <c r="EJG86" s="31"/>
      <c r="EJH86" s="31"/>
      <c r="EJI86" s="31"/>
      <c r="EJJ86" s="31"/>
      <c r="EJK86" s="31"/>
      <c r="EJL86" s="31"/>
      <c r="EJM86" s="31"/>
      <c r="EJN86" s="31"/>
      <c r="EJO86" s="31"/>
      <c r="EJP86" s="31"/>
      <c r="EJQ86" s="31"/>
      <c r="EJR86" s="31"/>
      <c r="EJS86" s="31"/>
      <c r="EJT86" s="31"/>
      <c r="EJU86" s="31"/>
      <c r="EJV86" s="31"/>
      <c r="EJW86" s="31"/>
      <c r="EJX86" s="31"/>
      <c r="EJY86" s="31"/>
      <c r="EJZ86" s="31"/>
      <c r="EKA86" s="31"/>
      <c r="EKB86" s="31"/>
      <c r="EKC86" s="31"/>
      <c r="EKD86" s="31"/>
      <c r="EKE86" s="31"/>
      <c r="EKF86" s="31"/>
      <c r="EKG86" s="31"/>
      <c r="EKH86" s="31"/>
      <c r="EKI86" s="31"/>
      <c r="EKJ86" s="31"/>
      <c r="EKK86" s="31"/>
      <c r="EKL86" s="31"/>
      <c r="EKM86" s="31"/>
      <c r="EKN86" s="31"/>
      <c r="EKO86" s="31"/>
      <c r="EKP86" s="31"/>
      <c r="EKQ86" s="31"/>
      <c r="EKR86" s="31"/>
      <c r="EKS86" s="31"/>
      <c r="EKT86" s="31"/>
      <c r="EKU86" s="31"/>
      <c r="EKV86" s="31"/>
      <c r="EKW86" s="31"/>
      <c r="EKX86" s="31"/>
      <c r="EKY86" s="31"/>
      <c r="EKZ86" s="31"/>
      <c r="ELA86" s="31"/>
      <c r="ELB86" s="31"/>
      <c r="ELC86" s="31"/>
      <c r="ELD86" s="31"/>
      <c r="ELE86" s="31"/>
      <c r="ELF86" s="31"/>
      <c r="ELG86" s="31"/>
      <c r="ELH86" s="31"/>
      <c r="ELI86" s="31"/>
      <c r="ELJ86" s="31"/>
      <c r="ELK86" s="31"/>
      <c r="ELL86" s="31"/>
      <c r="ELM86" s="31"/>
      <c r="ELN86" s="31"/>
      <c r="ELO86" s="31"/>
      <c r="ELP86" s="31"/>
      <c r="ELQ86" s="31"/>
      <c r="ELR86" s="31"/>
      <c r="ELS86" s="31"/>
      <c r="ELT86" s="31"/>
      <c r="ELU86" s="31"/>
      <c r="ELV86" s="31"/>
      <c r="ELW86" s="31"/>
      <c r="ELX86" s="31"/>
      <c r="ELY86" s="31"/>
      <c r="ELZ86" s="31"/>
      <c r="EMA86" s="31"/>
      <c r="EMB86" s="31"/>
      <c r="EMC86" s="31"/>
      <c r="EMD86" s="31"/>
      <c r="EME86" s="31"/>
      <c r="EMF86" s="31"/>
      <c r="EMG86" s="31"/>
      <c r="EMH86" s="31"/>
      <c r="EMI86" s="31"/>
      <c r="EMJ86" s="31"/>
      <c r="EMK86" s="31"/>
      <c r="EML86" s="31"/>
      <c r="EMM86" s="31"/>
      <c r="EMN86" s="31"/>
      <c r="EMO86" s="31"/>
      <c r="EMP86" s="31"/>
      <c r="EMQ86" s="31"/>
      <c r="EMR86" s="31"/>
      <c r="EMS86" s="31"/>
      <c r="EMT86" s="31"/>
      <c r="EMU86" s="31"/>
      <c r="EMV86" s="31"/>
      <c r="EMW86" s="31"/>
      <c r="EMX86" s="31"/>
      <c r="EMY86" s="31"/>
      <c r="EMZ86" s="31"/>
      <c r="ENA86" s="31"/>
      <c r="ENB86" s="31"/>
      <c r="ENC86" s="31"/>
      <c r="END86" s="31"/>
      <c r="ENE86" s="31"/>
      <c r="ENF86" s="31"/>
      <c r="ENG86" s="31"/>
      <c r="ENH86" s="31"/>
      <c r="ENI86" s="31"/>
      <c r="ENJ86" s="31"/>
      <c r="ENK86" s="31"/>
      <c r="ENL86" s="31"/>
      <c r="ENM86" s="31"/>
      <c r="ENN86" s="31"/>
      <c r="ENO86" s="31"/>
      <c r="ENP86" s="31"/>
      <c r="ENQ86" s="31"/>
      <c r="ENR86" s="31"/>
      <c r="ENS86" s="31"/>
      <c r="ENT86" s="31"/>
      <c r="ENU86" s="31"/>
      <c r="ENV86" s="31"/>
      <c r="ENW86" s="31"/>
      <c r="ENX86" s="31"/>
      <c r="ENY86" s="31"/>
      <c r="ENZ86" s="31"/>
      <c r="EOA86" s="31"/>
      <c r="EOB86" s="31"/>
      <c r="EOC86" s="31"/>
      <c r="EOD86" s="31"/>
      <c r="EOE86" s="31"/>
      <c r="EOF86" s="31"/>
      <c r="EOG86" s="31"/>
      <c r="EOH86" s="31"/>
      <c r="EOI86" s="31"/>
      <c r="EOJ86" s="31"/>
      <c r="EOK86" s="31"/>
      <c r="EOL86" s="31"/>
      <c r="EOM86" s="31"/>
      <c r="EON86" s="31"/>
      <c r="EOO86" s="31"/>
      <c r="EOP86" s="31"/>
      <c r="EOQ86" s="31"/>
      <c r="EOR86" s="31"/>
      <c r="EOS86" s="31"/>
      <c r="EOT86" s="31"/>
      <c r="EOU86" s="31"/>
      <c r="EOV86" s="31"/>
      <c r="EOW86" s="31"/>
      <c r="EOX86" s="31"/>
      <c r="EOY86" s="31"/>
      <c r="EOZ86" s="31"/>
      <c r="EPA86" s="31"/>
      <c r="EPB86" s="31"/>
      <c r="EPC86" s="31"/>
      <c r="EPD86" s="31"/>
      <c r="EPE86" s="31"/>
      <c r="EPF86" s="31"/>
      <c r="EPG86" s="31"/>
      <c r="EPH86" s="31"/>
      <c r="EPI86" s="31"/>
      <c r="EPJ86" s="31"/>
      <c r="EPK86" s="31"/>
      <c r="EPL86" s="31"/>
      <c r="EPM86" s="31"/>
      <c r="EPN86" s="31"/>
      <c r="EPO86" s="31"/>
      <c r="EPP86" s="31"/>
      <c r="EPQ86" s="31"/>
      <c r="EPR86" s="31"/>
      <c r="EPS86" s="31"/>
      <c r="EPT86" s="31"/>
      <c r="EPU86" s="31"/>
      <c r="EPV86" s="31"/>
      <c r="EPW86" s="31"/>
      <c r="EPX86" s="31"/>
      <c r="EPY86" s="31"/>
      <c r="EPZ86" s="31"/>
      <c r="EQA86" s="31"/>
      <c r="EQB86" s="31"/>
      <c r="EQC86" s="31"/>
      <c r="EQD86" s="31"/>
      <c r="EQE86" s="31"/>
      <c r="EQF86" s="31"/>
      <c r="EQG86" s="31"/>
      <c r="EQH86" s="31"/>
      <c r="EQI86" s="31"/>
      <c r="EQJ86" s="31"/>
      <c r="EQK86" s="31"/>
      <c r="EQL86" s="31"/>
      <c r="EQM86" s="31"/>
      <c r="EQN86" s="31"/>
      <c r="EQO86" s="31"/>
      <c r="EQP86" s="31"/>
      <c r="EQQ86" s="31"/>
      <c r="EQR86" s="31"/>
      <c r="EQS86" s="31"/>
      <c r="EQT86" s="31"/>
      <c r="EQU86" s="31"/>
      <c r="EQV86" s="31"/>
      <c r="EQW86" s="31"/>
      <c r="EQX86" s="31"/>
      <c r="EQY86" s="31"/>
      <c r="EQZ86" s="31"/>
      <c r="ERA86" s="31"/>
      <c r="ERB86" s="31"/>
      <c r="ERC86" s="31"/>
      <c r="ERD86" s="31"/>
      <c r="ERE86" s="31"/>
      <c r="ERF86" s="31"/>
      <c r="ERG86" s="31"/>
      <c r="ERH86" s="31"/>
      <c r="ERI86" s="31"/>
      <c r="ERJ86" s="31"/>
      <c r="ERK86" s="31"/>
      <c r="ERL86" s="31"/>
      <c r="ERM86" s="31"/>
      <c r="ERN86" s="31"/>
      <c r="ERO86" s="31"/>
      <c r="ERP86" s="31"/>
      <c r="ERQ86" s="31"/>
      <c r="ERR86" s="31"/>
      <c r="ERS86" s="31"/>
      <c r="ERT86" s="31"/>
      <c r="ERU86" s="31"/>
      <c r="ERV86" s="31"/>
      <c r="ERW86" s="31"/>
      <c r="ERX86" s="31"/>
      <c r="ERY86" s="31"/>
      <c r="ERZ86" s="31"/>
      <c r="ESA86" s="31"/>
      <c r="ESB86" s="31"/>
      <c r="ESC86" s="31"/>
      <c r="ESD86" s="31"/>
      <c r="ESE86" s="31"/>
      <c r="ESF86" s="31"/>
      <c r="ESG86" s="31"/>
      <c r="ESH86" s="31"/>
      <c r="ESI86" s="31"/>
      <c r="ESJ86" s="31"/>
      <c r="ESK86" s="31"/>
      <c r="ESL86" s="31"/>
      <c r="ESM86" s="31"/>
      <c r="ESN86" s="31"/>
      <c r="ESO86" s="31"/>
      <c r="ESP86" s="31"/>
      <c r="ESQ86" s="31"/>
      <c r="ESR86" s="31"/>
      <c r="ESS86" s="31"/>
      <c r="EST86" s="31"/>
      <c r="ESU86" s="31"/>
      <c r="ESV86" s="31"/>
      <c r="ESW86" s="31"/>
      <c r="ESX86" s="31"/>
      <c r="ESY86" s="31"/>
      <c r="ESZ86" s="31"/>
      <c r="ETA86" s="31"/>
      <c r="ETB86" s="31"/>
      <c r="ETC86" s="31"/>
      <c r="ETD86" s="31"/>
      <c r="ETE86" s="31"/>
      <c r="ETF86" s="31"/>
      <c r="ETG86" s="31"/>
      <c r="ETH86" s="31"/>
      <c r="ETI86" s="31"/>
      <c r="ETJ86" s="31"/>
      <c r="ETK86" s="31"/>
      <c r="ETL86" s="31"/>
      <c r="ETM86" s="31"/>
      <c r="ETN86" s="31"/>
      <c r="ETO86" s="31"/>
      <c r="ETP86" s="31"/>
      <c r="ETQ86" s="31"/>
      <c r="ETR86" s="31"/>
      <c r="ETS86" s="31"/>
      <c r="ETT86" s="31"/>
      <c r="ETU86" s="31"/>
      <c r="ETV86" s="31"/>
      <c r="ETW86" s="31"/>
      <c r="ETX86" s="31"/>
      <c r="ETY86" s="31"/>
      <c r="ETZ86" s="31"/>
      <c r="EUA86" s="31"/>
      <c r="EUB86" s="31"/>
      <c r="EUC86" s="31"/>
      <c r="EUD86" s="31"/>
      <c r="EUE86" s="31"/>
      <c r="EUF86" s="31"/>
      <c r="EUG86" s="31"/>
      <c r="EUH86" s="31"/>
      <c r="EUI86" s="31"/>
      <c r="EUJ86" s="31"/>
      <c r="EUK86" s="31"/>
      <c r="EUL86" s="31"/>
      <c r="EUM86" s="31"/>
      <c r="EUN86" s="31"/>
      <c r="EUO86" s="31"/>
      <c r="EUP86" s="31"/>
      <c r="EUQ86" s="31"/>
      <c r="EUR86" s="31"/>
      <c r="EUS86" s="31"/>
      <c r="EUT86" s="31"/>
      <c r="EUU86" s="31"/>
      <c r="EUV86" s="31"/>
      <c r="EUW86" s="31"/>
      <c r="EUX86" s="31"/>
      <c r="EUY86" s="31"/>
      <c r="EUZ86" s="31"/>
      <c r="EVA86" s="31"/>
      <c r="EVB86" s="31"/>
      <c r="EVC86" s="31"/>
      <c r="EVD86" s="31"/>
      <c r="EVE86" s="31"/>
      <c r="EVF86" s="31"/>
      <c r="EVG86" s="31"/>
      <c r="EVH86" s="31"/>
      <c r="EVI86" s="31"/>
      <c r="EVJ86" s="31"/>
      <c r="EVK86" s="31"/>
      <c r="EVL86" s="31"/>
      <c r="EVM86" s="31"/>
      <c r="EVN86" s="31"/>
      <c r="EVO86" s="31"/>
      <c r="EVP86" s="31"/>
      <c r="EVQ86" s="31"/>
      <c r="EVR86" s="31"/>
      <c r="EVS86" s="31"/>
      <c r="EVT86" s="31"/>
      <c r="EVU86" s="31"/>
      <c r="EVV86" s="31"/>
      <c r="EVW86" s="31"/>
      <c r="EVX86" s="31"/>
      <c r="EVY86" s="31"/>
      <c r="EVZ86" s="31"/>
      <c r="EWA86" s="31"/>
      <c r="EWB86" s="31"/>
      <c r="EWC86" s="31"/>
      <c r="EWD86" s="31"/>
      <c r="EWE86" s="31"/>
      <c r="EWF86" s="31"/>
      <c r="EWG86" s="31"/>
      <c r="EWH86" s="31"/>
      <c r="EWI86" s="31"/>
      <c r="EWJ86" s="31"/>
      <c r="EWK86" s="31"/>
      <c r="EWL86" s="31"/>
      <c r="EWM86" s="31"/>
      <c r="EWN86" s="31"/>
      <c r="EWO86" s="31"/>
      <c r="EWP86" s="31"/>
      <c r="EWQ86" s="31"/>
      <c r="EWR86" s="31"/>
      <c r="EWS86" s="31"/>
      <c r="EWT86" s="31"/>
      <c r="EWU86" s="31"/>
      <c r="EWV86" s="31"/>
      <c r="EWW86" s="31"/>
      <c r="EWX86" s="31"/>
      <c r="EWY86" s="31"/>
      <c r="EWZ86" s="31"/>
      <c r="EXA86" s="31"/>
      <c r="EXB86" s="31"/>
      <c r="EXC86" s="31"/>
      <c r="EXD86" s="31"/>
      <c r="EXE86" s="31"/>
      <c r="EXF86" s="31"/>
      <c r="EXG86" s="31"/>
      <c r="EXH86" s="31"/>
      <c r="EXI86" s="31"/>
      <c r="EXJ86" s="31"/>
      <c r="EXK86" s="31"/>
      <c r="EXL86" s="31"/>
      <c r="EXM86" s="31"/>
      <c r="EXN86" s="31"/>
      <c r="EXO86" s="31"/>
      <c r="EXP86" s="31"/>
      <c r="EXQ86" s="31"/>
      <c r="EXR86" s="31"/>
      <c r="EXS86" s="31"/>
      <c r="EXT86" s="31"/>
      <c r="EXU86" s="31"/>
      <c r="EXV86" s="31"/>
      <c r="EXW86" s="31"/>
      <c r="EXX86" s="31"/>
      <c r="EXY86" s="31"/>
      <c r="EXZ86" s="31"/>
      <c r="EYA86" s="31"/>
      <c r="EYB86" s="31"/>
      <c r="EYC86" s="31"/>
      <c r="EYD86" s="31"/>
      <c r="EYE86" s="31"/>
      <c r="EYF86" s="31"/>
      <c r="EYG86" s="31"/>
      <c r="EYH86" s="31"/>
      <c r="EYI86" s="31"/>
      <c r="EYJ86" s="31"/>
      <c r="EYK86" s="31"/>
      <c r="EYL86" s="31"/>
      <c r="EYM86" s="31"/>
      <c r="EYN86" s="31"/>
      <c r="EYO86" s="31"/>
      <c r="EYP86" s="31"/>
      <c r="EYQ86" s="31"/>
      <c r="EYR86" s="31"/>
      <c r="EYS86" s="31"/>
      <c r="EYT86" s="31"/>
      <c r="EYU86" s="31"/>
      <c r="EYV86" s="31"/>
      <c r="EYW86" s="31"/>
      <c r="EYX86" s="31"/>
      <c r="EYY86" s="31"/>
      <c r="EYZ86" s="31"/>
      <c r="EZA86" s="31"/>
      <c r="EZB86" s="31"/>
      <c r="EZC86" s="31"/>
      <c r="EZD86" s="31"/>
      <c r="EZE86" s="31"/>
      <c r="EZF86" s="31"/>
      <c r="EZG86" s="31"/>
      <c r="EZH86" s="31"/>
      <c r="EZI86" s="31"/>
      <c r="EZJ86" s="31"/>
      <c r="EZK86" s="31"/>
      <c r="EZL86" s="31"/>
      <c r="EZM86" s="31"/>
      <c r="EZN86" s="31"/>
      <c r="EZO86" s="31"/>
      <c r="EZP86" s="31"/>
      <c r="EZQ86" s="31"/>
      <c r="EZR86" s="31"/>
      <c r="EZS86" s="31"/>
      <c r="EZT86" s="31"/>
      <c r="EZU86" s="31"/>
      <c r="EZV86" s="31"/>
      <c r="EZW86" s="31"/>
      <c r="EZX86" s="31"/>
      <c r="EZY86" s="31"/>
      <c r="EZZ86" s="31"/>
      <c r="FAA86" s="31"/>
      <c r="FAB86" s="31"/>
      <c r="FAC86" s="31"/>
      <c r="FAD86" s="31"/>
      <c r="FAE86" s="31"/>
      <c r="FAF86" s="31"/>
      <c r="FAG86" s="31"/>
      <c r="FAH86" s="31"/>
      <c r="FAI86" s="31"/>
      <c r="FAJ86" s="31"/>
      <c r="FAK86" s="31"/>
      <c r="FAL86" s="31"/>
      <c r="FAM86" s="31"/>
      <c r="FAN86" s="31"/>
      <c r="FAO86" s="31"/>
      <c r="FAP86" s="31"/>
      <c r="FAQ86" s="31"/>
      <c r="FAR86" s="31"/>
      <c r="FAS86" s="31"/>
      <c r="FAT86" s="31"/>
      <c r="FAU86" s="31"/>
      <c r="FAV86" s="31"/>
      <c r="FAW86" s="31"/>
      <c r="FAX86" s="31"/>
      <c r="FAY86" s="31"/>
      <c r="FAZ86" s="31"/>
      <c r="FBA86" s="31"/>
      <c r="FBB86" s="31"/>
      <c r="FBC86" s="31"/>
      <c r="FBD86" s="31"/>
      <c r="FBE86" s="31"/>
      <c r="FBF86" s="31"/>
      <c r="FBG86" s="31"/>
      <c r="FBH86" s="31"/>
      <c r="FBI86" s="31"/>
      <c r="FBJ86" s="31"/>
      <c r="FBK86" s="31"/>
      <c r="FBL86" s="31"/>
      <c r="FBM86" s="31"/>
      <c r="FBN86" s="31"/>
      <c r="FBO86" s="31"/>
      <c r="FBP86" s="31"/>
      <c r="FBQ86" s="31"/>
      <c r="FBR86" s="31"/>
      <c r="FBS86" s="31"/>
      <c r="FBT86" s="31"/>
      <c r="FBU86" s="31"/>
      <c r="FBV86" s="31"/>
      <c r="FBW86" s="31"/>
      <c r="FBX86" s="31"/>
      <c r="FBY86" s="31"/>
      <c r="FBZ86" s="31"/>
      <c r="FCA86" s="31"/>
      <c r="FCB86" s="31"/>
      <c r="FCC86" s="31"/>
      <c r="FCD86" s="31"/>
      <c r="FCE86" s="31"/>
      <c r="FCF86" s="31"/>
      <c r="FCG86" s="31"/>
      <c r="FCH86" s="31"/>
      <c r="FCI86" s="31"/>
      <c r="FCJ86" s="31"/>
      <c r="FCK86" s="31"/>
      <c r="FCL86" s="31"/>
      <c r="FCM86" s="31"/>
      <c r="FCN86" s="31"/>
      <c r="FCO86" s="31"/>
      <c r="FCP86" s="31"/>
      <c r="FCQ86" s="31"/>
      <c r="FCR86" s="31"/>
      <c r="FCS86" s="31"/>
      <c r="FCT86" s="31"/>
      <c r="FCU86" s="31"/>
      <c r="FCV86" s="31"/>
      <c r="FCW86" s="31"/>
      <c r="FCX86" s="31"/>
      <c r="FCY86" s="31"/>
      <c r="FCZ86" s="31"/>
      <c r="FDA86" s="31"/>
      <c r="FDB86" s="31"/>
      <c r="FDC86" s="31"/>
      <c r="FDD86" s="31"/>
      <c r="FDE86" s="31"/>
      <c r="FDF86" s="31"/>
      <c r="FDG86" s="31"/>
      <c r="FDH86" s="31"/>
      <c r="FDI86" s="31"/>
      <c r="FDJ86" s="31"/>
      <c r="FDK86" s="31"/>
      <c r="FDL86" s="31"/>
      <c r="FDM86" s="31"/>
      <c r="FDN86" s="31"/>
      <c r="FDO86" s="31"/>
      <c r="FDP86" s="31"/>
      <c r="FDQ86" s="31"/>
      <c r="FDR86" s="31"/>
      <c r="FDS86" s="31"/>
      <c r="FDT86" s="31"/>
      <c r="FDU86" s="31"/>
      <c r="FDV86" s="31"/>
      <c r="FDW86" s="31"/>
      <c r="FDX86" s="31"/>
      <c r="FDY86" s="31"/>
      <c r="FDZ86" s="31"/>
      <c r="FEA86" s="31"/>
      <c r="FEB86" s="31"/>
      <c r="FEC86" s="31"/>
      <c r="FED86" s="31"/>
      <c r="FEE86" s="31"/>
      <c r="FEF86" s="31"/>
      <c r="FEG86" s="31"/>
      <c r="FEH86" s="31"/>
      <c r="FEI86" s="31"/>
      <c r="FEJ86" s="31"/>
      <c r="FEK86" s="31"/>
      <c r="FEL86" s="31"/>
      <c r="FEM86" s="31"/>
      <c r="FEN86" s="31"/>
      <c r="FEO86" s="31"/>
      <c r="FEP86" s="31"/>
      <c r="FEQ86" s="31"/>
      <c r="FER86" s="31"/>
      <c r="FES86" s="31"/>
      <c r="FET86" s="31"/>
      <c r="FEU86" s="31"/>
      <c r="FEV86" s="31"/>
      <c r="FEW86" s="31"/>
      <c r="FEX86" s="31"/>
      <c r="FEY86" s="31"/>
      <c r="FEZ86" s="31"/>
      <c r="FFA86" s="31"/>
      <c r="FFB86" s="31"/>
      <c r="FFC86" s="31"/>
      <c r="FFD86" s="31"/>
      <c r="FFE86" s="31"/>
      <c r="FFF86" s="31"/>
      <c r="FFG86" s="31"/>
      <c r="FFH86" s="31"/>
      <c r="FFI86" s="31"/>
      <c r="FFJ86" s="31"/>
      <c r="FFK86" s="31"/>
      <c r="FFL86" s="31"/>
      <c r="FFM86" s="31"/>
      <c r="FFN86" s="31"/>
      <c r="FFO86" s="31"/>
      <c r="FFP86" s="31"/>
      <c r="FFQ86" s="31"/>
      <c r="FFR86" s="31"/>
      <c r="FFS86" s="31"/>
      <c r="FFT86" s="31"/>
      <c r="FFU86" s="31"/>
      <c r="FFV86" s="31"/>
      <c r="FFW86" s="31"/>
      <c r="FFX86" s="31"/>
      <c r="FFY86" s="31"/>
      <c r="FFZ86" s="31"/>
      <c r="FGA86" s="31"/>
      <c r="FGB86" s="31"/>
      <c r="FGC86" s="31"/>
      <c r="FGD86" s="31"/>
      <c r="FGE86" s="31"/>
      <c r="FGF86" s="31"/>
      <c r="FGG86" s="31"/>
      <c r="FGH86" s="31"/>
      <c r="FGI86" s="31"/>
      <c r="FGJ86" s="31"/>
      <c r="FGK86" s="31"/>
      <c r="FGL86" s="31"/>
      <c r="FGM86" s="31"/>
      <c r="FGN86" s="31"/>
      <c r="FGO86" s="31"/>
      <c r="FGP86" s="31"/>
      <c r="FGQ86" s="31"/>
      <c r="FGR86" s="31"/>
      <c r="FGS86" s="31"/>
      <c r="FGT86" s="31"/>
      <c r="FGU86" s="31"/>
      <c r="FGV86" s="31"/>
      <c r="FGW86" s="31"/>
      <c r="FGX86" s="31"/>
      <c r="FGY86" s="31"/>
      <c r="FGZ86" s="31"/>
      <c r="FHA86" s="31"/>
      <c r="FHB86" s="31"/>
      <c r="FHC86" s="31"/>
      <c r="FHD86" s="31"/>
      <c r="FHE86" s="31"/>
      <c r="FHF86" s="31"/>
      <c r="FHG86" s="31"/>
      <c r="FHH86" s="31"/>
      <c r="FHI86" s="31"/>
      <c r="FHJ86" s="31"/>
      <c r="FHK86" s="31"/>
      <c r="FHL86" s="31"/>
      <c r="FHM86" s="31"/>
      <c r="FHN86" s="31"/>
      <c r="FHO86" s="31"/>
      <c r="FHP86" s="31"/>
      <c r="FHQ86" s="31"/>
      <c r="FHR86" s="31"/>
      <c r="FHS86" s="31"/>
      <c r="FHT86" s="31"/>
      <c r="FHU86" s="31"/>
      <c r="FHV86" s="31"/>
      <c r="FHW86" s="31"/>
      <c r="FHX86" s="31"/>
      <c r="FHY86" s="31"/>
      <c r="FHZ86" s="31"/>
      <c r="FIA86" s="31"/>
      <c r="FIB86" s="31"/>
      <c r="FIC86" s="31"/>
      <c r="FID86" s="31"/>
      <c r="FIE86" s="31"/>
      <c r="FIF86" s="31"/>
      <c r="FIG86" s="31"/>
      <c r="FIH86" s="31"/>
      <c r="FII86" s="31"/>
      <c r="FIJ86" s="31"/>
      <c r="FIK86" s="31"/>
      <c r="FIL86" s="31"/>
      <c r="FIM86" s="31"/>
      <c r="FIN86" s="31"/>
      <c r="FIO86" s="31"/>
      <c r="FIP86" s="31"/>
      <c r="FIQ86" s="31"/>
      <c r="FIR86" s="31"/>
      <c r="FIS86" s="31"/>
      <c r="FIT86" s="31"/>
      <c r="FIU86" s="31"/>
      <c r="FIV86" s="31"/>
      <c r="FIW86" s="31"/>
      <c r="FIX86" s="31"/>
      <c r="FIY86" s="31"/>
      <c r="FIZ86" s="31"/>
      <c r="FJA86" s="31"/>
      <c r="FJB86" s="31"/>
      <c r="FJC86" s="31"/>
      <c r="FJD86" s="31"/>
      <c r="FJE86" s="31"/>
      <c r="FJF86" s="31"/>
      <c r="FJG86" s="31"/>
      <c r="FJH86" s="31"/>
      <c r="FJI86" s="31"/>
      <c r="FJJ86" s="31"/>
      <c r="FJK86" s="31"/>
      <c r="FJL86" s="31"/>
      <c r="FJM86" s="31"/>
      <c r="FJN86" s="31"/>
      <c r="FJO86" s="31"/>
      <c r="FJP86" s="31"/>
      <c r="FJQ86" s="31"/>
      <c r="FJR86" s="31"/>
      <c r="FJS86" s="31"/>
      <c r="FJT86" s="31"/>
      <c r="FJU86" s="31"/>
      <c r="FJV86" s="31"/>
      <c r="FJW86" s="31"/>
      <c r="FJX86" s="31"/>
      <c r="FJY86" s="31"/>
      <c r="FJZ86" s="31"/>
      <c r="FKA86" s="31"/>
      <c r="FKB86" s="31"/>
      <c r="FKC86" s="31"/>
      <c r="FKD86" s="31"/>
      <c r="FKE86" s="31"/>
      <c r="FKF86" s="31"/>
      <c r="FKG86" s="31"/>
      <c r="FKH86" s="31"/>
      <c r="FKI86" s="31"/>
      <c r="FKJ86" s="31"/>
      <c r="FKK86" s="31"/>
      <c r="FKL86" s="31"/>
      <c r="FKM86" s="31"/>
      <c r="FKN86" s="31"/>
      <c r="FKO86" s="31"/>
      <c r="FKP86" s="31"/>
      <c r="FKQ86" s="31"/>
      <c r="FKR86" s="31"/>
      <c r="FKS86" s="31"/>
      <c r="FKT86" s="31"/>
      <c r="FKU86" s="31"/>
      <c r="FKV86" s="31"/>
      <c r="FKW86" s="31"/>
      <c r="FKX86" s="31"/>
      <c r="FKY86" s="31"/>
      <c r="FKZ86" s="31"/>
      <c r="FLA86" s="31"/>
      <c r="FLB86" s="31"/>
      <c r="FLC86" s="31"/>
      <c r="FLD86" s="31"/>
      <c r="FLE86" s="31"/>
      <c r="FLF86" s="31"/>
      <c r="FLG86" s="31"/>
      <c r="FLH86" s="31"/>
      <c r="FLI86" s="31"/>
      <c r="FLJ86" s="31"/>
      <c r="FLK86" s="31"/>
      <c r="FLL86" s="31"/>
      <c r="FLM86" s="31"/>
      <c r="FLN86" s="31"/>
      <c r="FLO86" s="31"/>
      <c r="FLP86" s="31"/>
      <c r="FLQ86" s="31"/>
      <c r="FLR86" s="31"/>
      <c r="FLS86" s="31"/>
      <c r="FLT86" s="31"/>
      <c r="FLU86" s="31"/>
      <c r="FLV86" s="31"/>
      <c r="FLW86" s="31"/>
      <c r="FLX86" s="31"/>
      <c r="FLY86" s="31"/>
      <c r="FLZ86" s="31"/>
      <c r="FMA86" s="31"/>
      <c r="FMB86" s="31"/>
      <c r="FMC86" s="31"/>
      <c r="FMD86" s="31"/>
      <c r="FME86" s="31"/>
      <c r="FMF86" s="31"/>
      <c r="FMG86" s="31"/>
      <c r="FMH86" s="31"/>
      <c r="FMI86" s="31"/>
      <c r="FMJ86" s="31"/>
      <c r="FMK86" s="31"/>
      <c r="FML86" s="31"/>
      <c r="FMM86" s="31"/>
      <c r="FMN86" s="31"/>
      <c r="FMO86" s="31"/>
      <c r="FMP86" s="31"/>
      <c r="FMQ86" s="31"/>
      <c r="FMR86" s="31"/>
      <c r="FMS86" s="31"/>
      <c r="FMT86" s="31"/>
      <c r="FMU86" s="31"/>
      <c r="FMV86" s="31"/>
      <c r="FMW86" s="31"/>
      <c r="FMX86" s="31"/>
      <c r="FMY86" s="31"/>
      <c r="FMZ86" s="31"/>
      <c r="FNA86" s="31"/>
      <c r="FNB86" s="31"/>
      <c r="FNC86" s="31"/>
      <c r="FND86" s="31"/>
      <c r="FNE86" s="31"/>
      <c r="FNF86" s="31"/>
      <c r="FNG86" s="31"/>
      <c r="FNH86" s="31"/>
      <c r="FNI86" s="31"/>
      <c r="FNJ86" s="31"/>
      <c r="FNK86" s="31"/>
      <c r="FNL86" s="31"/>
      <c r="FNM86" s="31"/>
      <c r="FNN86" s="31"/>
      <c r="FNO86" s="31"/>
      <c r="FNP86" s="31"/>
      <c r="FNQ86" s="31"/>
      <c r="FNR86" s="31"/>
      <c r="FNS86" s="31"/>
      <c r="FNT86" s="31"/>
      <c r="FNU86" s="31"/>
      <c r="FNV86" s="31"/>
      <c r="FNW86" s="31"/>
      <c r="FNX86" s="31"/>
      <c r="FNY86" s="31"/>
      <c r="FNZ86" s="31"/>
      <c r="FOA86" s="31"/>
      <c r="FOB86" s="31"/>
      <c r="FOC86" s="31"/>
      <c r="FOD86" s="31"/>
      <c r="FOE86" s="31"/>
      <c r="FOF86" s="31"/>
      <c r="FOG86" s="31"/>
      <c r="FOH86" s="31"/>
      <c r="FOI86" s="31"/>
      <c r="FOJ86" s="31"/>
      <c r="FOK86" s="31"/>
      <c r="FOL86" s="31"/>
      <c r="FOM86" s="31"/>
      <c r="FON86" s="31"/>
      <c r="FOO86" s="31"/>
      <c r="FOP86" s="31"/>
      <c r="FOQ86" s="31"/>
      <c r="FOR86" s="31"/>
      <c r="FOS86" s="31"/>
      <c r="FOT86" s="31"/>
      <c r="FOU86" s="31"/>
      <c r="FOV86" s="31"/>
      <c r="FOW86" s="31"/>
      <c r="FOX86" s="31"/>
      <c r="FOY86" s="31"/>
      <c r="FOZ86" s="31"/>
      <c r="FPA86" s="31"/>
      <c r="FPB86" s="31"/>
      <c r="FPC86" s="31"/>
      <c r="FPD86" s="31"/>
      <c r="FPE86" s="31"/>
      <c r="FPF86" s="31"/>
      <c r="FPG86" s="31"/>
      <c r="FPH86" s="31"/>
      <c r="FPI86" s="31"/>
      <c r="FPJ86" s="31"/>
      <c r="FPK86" s="31"/>
      <c r="FPL86" s="31"/>
      <c r="FPM86" s="31"/>
      <c r="FPN86" s="31"/>
      <c r="FPO86" s="31"/>
      <c r="FPP86" s="31"/>
      <c r="FPQ86" s="31"/>
      <c r="FPR86" s="31"/>
      <c r="FPS86" s="31"/>
      <c r="FPT86" s="31"/>
      <c r="FPU86" s="31"/>
      <c r="FPV86" s="31"/>
      <c r="FPW86" s="31"/>
      <c r="FPX86" s="31"/>
      <c r="FPY86" s="31"/>
      <c r="FPZ86" s="31"/>
      <c r="FQA86" s="31"/>
      <c r="FQB86" s="31"/>
      <c r="FQC86" s="31"/>
      <c r="FQD86" s="31"/>
      <c r="FQE86" s="31"/>
      <c r="FQF86" s="31"/>
      <c r="FQG86" s="31"/>
      <c r="FQH86" s="31"/>
      <c r="FQI86" s="31"/>
      <c r="FQJ86" s="31"/>
      <c r="FQK86" s="31"/>
      <c r="FQL86" s="31"/>
      <c r="FQM86" s="31"/>
      <c r="FQN86" s="31"/>
      <c r="FQO86" s="31"/>
      <c r="FQP86" s="31"/>
      <c r="FQQ86" s="31"/>
      <c r="FQR86" s="31"/>
      <c r="FQS86" s="31"/>
      <c r="FQT86" s="31"/>
      <c r="FQU86" s="31"/>
      <c r="FQV86" s="31"/>
      <c r="FQW86" s="31"/>
      <c r="FQX86" s="31"/>
      <c r="FQY86" s="31"/>
      <c r="FQZ86" s="31"/>
      <c r="FRA86" s="31"/>
      <c r="FRB86" s="31"/>
      <c r="FRC86" s="31"/>
      <c r="FRD86" s="31"/>
      <c r="FRE86" s="31"/>
      <c r="FRF86" s="31"/>
      <c r="FRG86" s="31"/>
      <c r="FRH86" s="31"/>
      <c r="FRI86" s="31"/>
      <c r="FRJ86" s="31"/>
      <c r="FRK86" s="31"/>
      <c r="FRL86" s="31"/>
      <c r="FRM86" s="31"/>
      <c r="FRN86" s="31"/>
      <c r="FRO86" s="31"/>
      <c r="FRP86" s="31"/>
      <c r="FRQ86" s="31"/>
      <c r="FRR86" s="31"/>
      <c r="FRS86" s="31"/>
      <c r="FRT86" s="31"/>
      <c r="FRU86" s="31"/>
      <c r="FRV86" s="31"/>
      <c r="FRW86" s="31"/>
      <c r="FRX86" s="31"/>
      <c r="FRY86" s="31"/>
      <c r="FRZ86" s="31"/>
      <c r="FSA86" s="31"/>
      <c r="FSB86" s="31"/>
      <c r="FSC86" s="31"/>
      <c r="FSD86" s="31"/>
      <c r="FSE86" s="31"/>
      <c r="FSF86" s="31"/>
      <c r="FSG86" s="31"/>
      <c r="FSH86" s="31"/>
      <c r="FSI86" s="31"/>
      <c r="FSJ86" s="31"/>
      <c r="FSK86" s="31"/>
      <c r="FSL86" s="31"/>
      <c r="FSM86" s="31"/>
      <c r="FSN86" s="31"/>
      <c r="FSO86" s="31"/>
      <c r="FSP86" s="31"/>
      <c r="FSQ86" s="31"/>
      <c r="FSR86" s="31"/>
      <c r="FSS86" s="31"/>
      <c r="FST86" s="31"/>
      <c r="FSU86" s="31"/>
      <c r="FSV86" s="31"/>
      <c r="FSW86" s="31"/>
      <c r="FSX86" s="31"/>
      <c r="FSY86" s="31"/>
      <c r="FSZ86" s="31"/>
      <c r="FTA86" s="31"/>
      <c r="FTB86" s="31"/>
      <c r="FTC86" s="31"/>
      <c r="FTD86" s="31"/>
      <c r="FTE86" s="31"/>
      <c r="FTF86" s="31"/>
      <c r="FTG86" s="31"/>
      <c r="FTH86" s="31"/>
      <c r="FTI86" s="31"/>
      <c r="FTJ86" s="31"/>
      <c r="FTK86" s="31"/>
      <c r="FTL86" s="31"/>
      <c r="FTM86" s="31"/>
      <c r="FTN86" s="31"/>
      <c r="FTO86" s="31"/>
      <c r="FTP86" s="31"/>
      <c r="FTQ86" s="31"/>
      <c r="FTR86" s="31"/>
      <c r="FTS86" s="31"/>
      <c r="FTT86" s="31"/>
      <c r="FTU86" s="31"/>
      <c r="FTV86" s="31"/>
      <c r="FTW86" s="31"/>
      <c r="FTX86" s="31"/>
      <c r="FTY86" s="31"/>
      <c r="FTZ86" s="31"/>
      <c r="FUA86" s="31"/>
      <c r="FUB86" s="31"/>
      <c r="FUC86" s="31"/>
      <c r="FUD86" s="31"/>
      <c r="FUE86" s="31"/>
      <c r="FUF86" s="31"/>
      <c r="FUG86" s="31"/>
      <c r="FUH86" s="31"/>
      <c r="FUI86" s="31"/>
      <c r="FUJ86" s="31"/>
      <c r="FUK86" s="31"/>
      <c r="FUL86" s="31"/>
      <c r="FUM86" s="31"/>
      <c r="FUN86" s="31"/>
      <c r="FUO86" s="31"/>
      <c r="FUP86" s="31"/>
      <c r="FUQ86" s="31"/>
      <c r="FUR86" s="31"/>
      <c r="FUS86" s="31"/>
      <c r="FUT86" s="31"/>
      <c r="FUU86" s="31"/>
      <c r="FUV86" s="31"/>
      <c r="FUW86" s="31"/>
      <c r="FUX86" s="31"/>
      <c r="FUY86" s="31"/>
      <c r="FUZ86" s="31"/>
      <c r="FVA86" s="31"/>
      <c r="FVB86" s="31"/>
      <c r="FVC86" s="31"/>
      <c r="FVD86" s="31"/>
      <c r="FVE86" s="31"/>
      <c r="FVF86" s="31"/>
      <c r="FVG86" s="31"/>
      <c r="FVH86" s="31"/>
      <c r="FVI86" s="31"/>
      <c r="FVJ86" s="31"/>
      <c r="FVK86" s="31"/>
      <c r="FVL86" s="31"/>
      <c r="FVM86" s="31"/>
      <c r="FVN86" s="31"/>
      <c r="FVO86" s="31"/>
      <c r="FVP86" s="31"/>
      <c r="FVQ86" s="31"/>
      <c r="FVR86" s="31"/>
      <c r="FVS86" s="31"/>
      <c r="FVT86" s="31"/>
      <c r="FVU86" s="31"/>
      <c r="FVV86" s="31"/>
      <c r="FVW86" s="31"/>
      <c r="FVX86" s="31"/>
      <c r="FVY86" s="31"/>
      <c r="FVZ86" s="31"/>
      <c r="FWA86" s="31"/>
      <c r="FWB86" s="31"/>
      <c r="FWC86" s="31"/>
      <c r="FWD86" s="31"/>
      <c r="FWE86" s="31"/>
      <c r="FWF86" s="31"/>
      <c r="FWG86" s="31"/>
      <c r="FWH86" s="31"/>
      <c r="FWI86" s="31"/>
      <c r="FWJ86" s="31"/>
      <c r="FWK86" s="31"/>
      <c r="FWL86" s="31"/>
      <c r="FWM86" s="31"/>
      <c r="FWN86" s="31"/>
      <c r="FWO86" s="31"/>
      <c r="FWP86" s="31"/>
      <c r="FWQ86" s="31"/>
      <c r="FWR86" s="31"/>
      <c r="FWS86" s="31"/>
      <c r="FWT86" s="31"/>
      <c r="FWU86" s="31"/>
      <c r="FWV86" s="31"/>
      <c r="FWW86" s="31"/>
      <c r="FWX86" s="31"/>
      <c r="FWY86" s="31"/>
      <c r="FWZ86" s="31"/>
      <c r="FXA86" s="31"/>
      <c r="FXB86" s="31"/>
      <c r="FXC86" s="31"/>
      <c r="FXD86" s="31"/>
      <c r="FXE86" s="31"/>
      <c r="FXF86" s="31"/>
      <c r="FXG86" s="31"/>
      <c r="FXH86" s="31"/>
      <c r="FXI86" s="31"/>
      <c r="FXJ86" s="31"/>
      <c r="FXK86" s="31"/>
      <c r="FXL86" s="31"/>
      <c r="FXM86" s="31"/>
      <c r="FXN86" s="31"/>
      <c r="FXO86" s="31"/>
      <c r="FXP86" s="31"/>
      <c r="FXQ86" s="31"/>
      <c r="FXR86" s="31"/>
      <c r="FXS86" s="31"/>
      <c r="FXT86" s="31"/>
      <c r="FXU86" s="31"/>
      <c r="FXV86" s="31"/>
      <c r="FXW86" s="31"/>
      <c r="FXX86" s="31"/>
      <c r="FXY86" s="31"/>
      <c r="FXZ86" s="31"/>
      <c r="FYA86" s="31"/>
      <c r="FYB86" s="31"/>
      <c r="FYC86" s="31"/>
      <c r="FYD86" s="31"/>
      <c r="FYE86" s="31"/>
      <c r="FYF86" s="31"/>
      <c r="FYG86" s="31"/>
      <c r="FYH86" s="31"/>
      <c r="FYI86" s="31"/>
      <c r="FYJ86" s="31"/>
      <c r="FYK86" s="31"/>
      <c r="FYL86" s="31"/>
      <c r="FYM86" s="31"/>
      <c r="FYN86" s="31"/>
      <c r="FYO86" s="31"/>
      <c r="FYP86" s="31"/>
      <c r="FYQ86" s="31"/>
      <c r="FYR86" s="31"/>
      <c r="FYS86" s="31"/>
      <c r="FYT86" s="31"/>
      <c r="FYU86" s="31"/>
      <c r="FYV86" s="31"/>
      <c r="FYW86" s="31"/>
      <c r="FYX86" s="31"/>
      <c r="FYY86" s="31"/>
      <c r="FYZ86" s="31"/>
      <c r="FZA86" s="31"/>
      <c r="FZB86" s="31"/>
      <c r="FZC86" s="31"/>
      <c r="FZD86" s="31"/>
      <c r="FZE86" s="31"/>
      <c r="FZF86" s="31"/>
      <c r="FZG86" s="31"/>
      <c r="FZH86" s="31"/>
      <c r="FZI86" s="31"/>
      <c r="FZJ86" s="31"/>
      <c r="FZK86" s="31"/>
      <c r="FZL86" s="31"/>
      <c r="FZM86" s="31"/>
      <c r="FZN86" s="31"/>
      <c r="FZO86" s="31"/>
      <c r="FZP86" s="31"/>
      <c r="FZQ86" s="31"/>
      <c r="FZR86" s="31"/>
      <c r="FZS86" s="31"/>
      <c r="FZT86" s="31"/>
      <c r="FZU86" s="31"/>
      <c r="FZV86" s="31"/>
      <c r="FZW86" s="31"/>
      <c r="FZX86" s="31"/>
      <c r="FZY86" s="31"/>
      <c r="FZZ86" s="31"/>
      <c r="GAA86" s="31"/>
      <c r="GAB86" s="31"/>
      <c r="GAC86" s="31"/>
      <c r="GAD86" s="31"/>
      <c r="GAE86" s="31"/>
      <c r="GAF86" s="31"/>
      <c r="GAG86" s="31"/>
      <c r="GAH86" s="31"/>
      <c r="GAI86" s="31"/>
      <c r="GAJ86" s="31"/>
      <c r="GAK86" s="31"/>
      <c r="GAL86" s="31"/>
      <c r="GAM86" s="31"/>
      <c r="GAN86" s="31"/>
      <c r="GAO86" s="31"/>
      <c r="GAP86" s="31"/>
      <c r="GAQ86" s="31"/>
      <c r="GAR86" s="31"/>
      <c r="GAS86" s="31"/>
      <c r="GAT86" s="31"/>
      <c r="GAU86" s="31"/>
      <c r="GAV86" s="31"/>
      <c r="GAW86" s="31"/>
      <c r="GAX86" s="31"/>
      <c r="GAY86" s="31"/>
      <c r="GAZ86" s="31"/>
      <c r="GBA86" s="31"/>
      <c r="GBB86" s="31"/>
      <c r="GBC86" s="31"/>
      <c r="GBD86" s="31"/>
      <c r="GBE86" s="31"/>
      <c r="GBF86" s="31"/>
      <c r="GBG86" s="31"/>
      <c r="GBH86" s="31"/>
      <c r="GBI86" s="31"/>
      <c r="GBJ86" s="31"/>
      <c r="GBK86" s="31"/>
      <c r="GBL86" s="31"/>
      <c r="GBM86" s="31"/>
      <c r="GBN86" s="31"/>
      <c r="GBO86" s="31"/>
      <c r="GBP86" s="31"/>
      <c r="GBQ86" s="31"/>
      <c r="GBR86" s="31"/>
      <c r="GBS86" s="31"/>
      <c r="GBT86" s="31"/>
      <c r="GBU86" s="31"/>
      <c r="GBV86" s="31"/>
      <c r="GBW86" s="31"/>
      <c r="GBX86" s="31"/>
      <c r="GBY86" s="31"/>
      <c r="GBZ86" s="31"/>
      <c r="GCA86" s="31"/>
      <c r="GCB86" s="31"/>
      <c r="GCC86" s="31"/>
      <c r="GCD86" s="31"/>
      <c r="GCE86" s="31"/>
      <c r="GCF86" s="31"/>
      <c r="GCG86" s="31"/>
      <c r="GCH86" s="31"/>
      <c r="GCI86" s="31"/>
      <c r="GCJ86" s="31"/>
      <c r="GCK86" s="31"/>
      <c r="GCL86" s="31"/>
      <c r="GCM86" s="31"/>
      <c r="GCN86" s="31"/>
      <c r="GCO86" s="31"/>
      <c r="GCP86" s="31"/>
      <c r="GCQ86" s="31"/>
      <c r="GCR86" s="31"/>
      <c r="GCS86" s="31"/>
      <c r="GCT86" s="31"/>
      <c r="GCU86" s="31"/>
      <c r="GCV86" s="31"/>
      <c r="GCW86" s="31"/>
      <c r="GCX86" s="31"/>
      <c r="GCY86" s="31"/>
      <c r="GCZ86" s="31"/>
      <c r="GDA86" s="31"/>
      <c r="GDB86" s="31"/>
      <c r="GDC86" s="31"/>
      <c r="GDD86" s="31"/>
      <c r="GDE86" s="31"/>
      <c r="GDF86" s="31"/>
      <c r="GDG86" s="31"/>
      <c r="GDH86" s="31"/>
      <c r="GDI86" s="31"/>
      <c r="GDJ86" s="31"/>
      <c r="GDK86" s="31"/>
      <c r="GDL86" s="31"/>
      <c r="GDM86" s="31"/>
      <c r="GDN86" s="31"/>
      <c r="GDO86" s="31"/>
      <c r="GDP86" s="31"/>
      <c r="GDQ86" s="31"/>
      <c r="GDR86" s="31"/>
      <c r="GDS86" s="31"/>
      <c r="GDT86" s="31"/>
      <c r="GDU86" s="31"/>
      <c r="GDV86" s="31"/>
      <c r="GDW86" s="31"/>
      <c r="GDX86" s="31"/>
      <c r="GDY86" s="31"/>
      <c r="GDZ86" s="31"/>
      <c r="GEA86" s="31"/>
      <c r="GEB86" s="31"/>
      <c r="GEC86" s="31"/>
      <c r="GED86" s="31"/>
      <c r="GEE86" s="31"/>
      <c r="GEF86" s="31"/>
      <c r="GEG86" s="31"/>
      <c r="GEH86" s="31"/>
      <c r="GEI86" s="31"/>
      <c r="GEJ86" s="31"/>
      <c r="GEK86" s="31"/>
      <c r="GEL86" s="31"/>
      <c r="GEM86" s="31"/>
      <c r="GEN86" s="31"/>
      <c r="GEO86" s="31"/>
      <c r="GEP86" s="31"/>
      <c r="GEQ86" s="31"/>
      <c r="GER86" s="31"/>
      <c r="GES86" s="31"/>
      <c r="GET86" s="31"/>
      <c r="GEU86" s="31"/>
      <c r="GEV86" s="31"/>
      <c r="GEW86" s="31"/>
      <c r="GEX86" s="31"/>
      <c r="GEY86" s="31"/>
      <c r="GEZ86" s="31"/>
      <c r="GFA86" s="31"/>
      <c r="GFB86" s="31"/>
      <c r="GFC86" s="31"/>
      <c r="GFD86" s="31"/>
      <c r="GFE86" s="31"/>
      <c r="GFF86" s="31"/>
      <c r="GFG86" s="31"/>
      <c r="GFH86" s="31"/>
      <c r="GFI86" s="31"/>
      <c r="GFJ86" s="31"/>
      <c r="GFK86" s="31"/>
      <c r="GFL86" s="31"/>
      <c r="GFM86" s="31"/>
      <c r="GFN86" s="31"/>
      <c r="GFO86" s="31"/>
      <c r="GFP86" s="31"/>
      <c r="GFQ86" s="31"/>
      <c r="GFR86" s="31"/>
      <c r="GFS86" s="31"/>
      <c r="GFT86" s="31"/>
      <c r="GFU86" s="31"/>
      <c r="GFV86" s="31"/>
      <c r="GFW86" s="31"/>
      <c r="GFX86" s="31"/>
      <c r="GFY86" s="31"/>
      <c r="GFZ86" s="31"/>
      <c r="GGA86" s="31"/>
      <c r="GGB86" s="31"/>
      <c r="GGC86" s="31"/>
      <c r="GGD86" s="31"/>
      <c r="GGE86" s="31"/>
      <c r="GGF86" s="31"/>
      <c r="GGG86" s="31"/>
      <c r="GGH86" s="31"/>
      <c r="GGI86" s="31"/>
      <c r="GGJ86" s="31"/>
      <c r="GGK86" s="31"/>
      <c r="GGL86" s="31"/>
      <c r="GGM86" s="31"/>
      <c r="GGN86" s="31"/>
      <c r="GGO86" s="31"/>
      <c r="GGP86" s="31"/>
      <c r="GGQ86" s="31"/>
      <c r="GGR86" s="31"/>
      <c r="GGS86" s="31"/>
      <c r="GGT86" s="31"/>
      <c r="GGU86" s="31"/>
      <c r="GGV86" s="31"/>
      <c r="GGW86" s="31"/>
      <c r="GGX86" s="31"/>
      <c r="GGY86" s="31"/>
      <c r="GGZ86" s="31"/>
      <c r="GHA86" s="31"/>
      <c r="GHB86" s="31"/>
      <c r="GHC86" s="31"/>
      <c r="GHD86" s="31"/>
      <c r="GHE86" s="31"/>
      <c r="GHF86" s="31"/>
      <c r="GHG86" s="31"/>
      <c r="GHH86" s="31"/>
      <c r="GHI86" s="31"/>
      <c r="GHJ86" s="31"/>
      <c r="GHK86" s="31"/>
      <c r="GHL86" s="31"/>
      <c r="GHM86" s="31"/>
      <c r="GHN86" s="31"/>
      <c r="GHO86" s="31"/>
      <c r="GHP86" s="31"/>
      <c r="GHQ86" s="31"/>
      <c r="GHR86" s="31"/>
      <c r="GHS86" s="31"/>
      <c r="GHT86" s="31"/>
      <c r="GHU86" s="31"/>
      <c r="GHV86" s="31"/>
      <c r="GHW86" s="31"/>
      <c r="GHX86" s="31"/>
      <c r="GHY86" s="31"/>
      <c r="GHZ86" s="31"/>
      <c r="GIA86" s="31"/>
      <c r="GIB86" s="31"/>
      <c r="GIC86" s="31"/>
      <c r="GID86" s="31"/>
      <c r="GIE86" s="31"/>
      <c r="GIF86" s="31"/>
      <c r="GIG86" s="31"/>
      <c r="GIH86" s="31"/>
      <c r="GII86" s="31"/>
      <c r="GIJ86" s="31"/>
      <c r="GIK86" s="31"/>
      <c r="GIL86" s="31"/>
      <c r="GIM86" s="31"/>
      <c r="GIN86" s="31"/>
      <c r="GIO86" s="31"/>
      <c r="GIP86" s="31"/>
      <c r="GIQ86" s="31"/>
      <c r="GIR86" s="31"/>
      <c r="GIS86" s="31"/>
      <c r="GIT86" s="31"/>
      <c r="GIU86" s="31"/>
      <c r="GIV86" s="31"/>
      <c r="GIW86" s="31"/>
      <c r="GIX86" s="31"/>
      <c r="GIY86" s="31"/>
      <c r="GIZ86" s="31"/>
      <c r="GJA86" s="31"/>
      <c r="GJB86" s="31"/>
      <c r="GJC86" s="31"/>
      <c r="GJD86" s="31"/>
      <c r="GJE86" s="31"/>
      <c r="GJF86" s="31"/>
      <c r="GJG86" s="31"/>
      <c r="GJH86" s="31"/>
      <c r="GJI86" s="31"/>
      <c r="GJJ86" s="31"/>
      <c r="GJK86" s="31"/>
      <c r="GJL86" s="31"/>
      <c r="GJM86" s="31"/>
      <c r="GJN86" s="31"/>
      <c r="GJO86" s="31"/>
      <c r="GJP86" s="31"/>
      <c r="GJQ86" s="31"/>
      <c r="GJR86" s="31"/>
      <c r="GJS86" s="31"/>
      <c r="GJT86" s="31"/>
      <c r="GJU86" s="31"/>
      <c r="GJV86" s="31"/>
      <c r="GJW86" s="31"/>
      <c r="GJX86" s="31"/>
      <c r="GJY86" s="31"/>
      <c r="GJZ86" s="31"/>
      <c r="GKA86" s="31"/>
      <c r="GKB86" s="31"/>
      <c r="GKC86" s="31"/>
      <c r="GKD86" s="31"/>
      <c r="GKE86" s="31"/>
      <c r="GKF86" s="31"/>
      <c r="GKG86" s="31"/>
      <c r="GKH86" s="31"/>
      <c r="GKI86" s="31"/>
      <c r="GKJ86" s="31"/>
      <c r="GKK86" s="31"/>
      <c r="GKL86" s="31"/>
      <c r="GKM86" s="31"/>
      <c r="GKN86" s="31"/>
      <c r="GKO86" s="31"/>
      <c r="GKP86" s="31"/>
      <c r="GKQ86" s="31"/>
      <c r="GKR86" s="31"/>
      <c r="GKS86" s="31"/>
      <c r="GKT86" s="31"/>
      <c r="GKU86" s="31"/>
      <c r="GKV86" s="31"/>
      <c r="GKW86" s="31"/>
      <c r="GKX86" s="31"/>
      <c r="GKY86" s="31"/>
      <c r="GKZ86" s="31"/>
      <c r="GLA86" s="31"/>
      <c r="GLB86" s="31"/>
      <c r="GLC86" s="31"/>
      <c r="GLD86" s="31"/>
      <c r="GLE86" s="31"/>
      <c r="GLF86" s="31"/>
      <c r="GLG86" s="31"/>
      <c r="GLH86" s="31"/>
      <c r="GLI86" s="31"/>
      <c r="GLJ86" s="31"/>
      <c r="GLK86" s="31"/>
      <c r="GLL86" s="31"/>
      <c r="GLM86" s="31"/>
      <c r="GLN86" s="31"/>
      <c r="GLO86" s="31"/>
      <c r="GLP86" s="31"/>
      <c r="GLQ86" s="31"/>
      <c r="GLR86" s="31"/>
      <c r="GLS86" s="31"/>
      <c r="GLT86" s="31"/>
      <c r="GLU86" s="31"/>
      <c r="GLV86" s="31"/>
      <c r="GLW86" s="31"/>
      <c r="GLX86" s="31"/>
      <c r="GLY86" s="31"/>
      <c r="GLZ86" s="31"/>
      <c r="GMA86" s="31"/>
      <c r="GMB86" s="31"/>
      <c r="GMC86" s="31"/>
      <c r="GMD86" s="31"/>
      <c r="GME86" s="31"/>
      <c r="GMF86" s="31"/>
      <c r="GMG86" s="31"/>
      <c r="GMH86" s="31"/>
      <c r="GMI86" s="31"/>
      <c r="GMJ86" s="31"/>
      <c r="GMK86" s="31"/>
      <c r="GML86" s="31"/>
      <c r="GMM86" s="31"/>
      <c r="GMN86" s="31"/>
      <c r="GMO86" s="31"/>
      <c r="GMP86" s="31"/>
      <c r="GMQ86" s="31"/>
      <c r="GMR86" s="31"/>
      <c r="GMS86" s="31"/>
      <c r="GMT86" s="31"/>
      <c r="GMU86" s="31"/>
      <c r="GMV86" s="31"/>
      <c r="GMW86" s="31"/>
      <c r="GMX86" s="31"/>
      <c r="GMY86" s="31"/>
      <c r="GMZ86" s="31"/>
      <c r="GNA86" s="31"/>
      <c r="GNB86" s="31"/>
      <c r="GNC86" s="31"/>
      <c r="GND86" s="31"/>
      <c r="GNE86" s="31"/>
      <c r="GNF86" s="31"/>
      <c r="GNG86" s="31"/>
      <c r="GNH86" s="31"/>
      <c r="GNI86" s="31"/>
      <c r="GNJ86" s="31"/>
      <c r="GNK86" s="31"/>
      <c r="GNL86" s="31"/>
      <c r="GNM86" s="31"/>
      <c r="GNN86" s="31"/>
      <c r="GNO86" s="31"/>
      <c r="GNP86" s="31"/>
      <c r="GNQ86" s="31"/>
      <c r="GNR86" s="31"/>
      <c r="GNS86" s="31"/>
      <c r="GNT86" s="31"/>
      <c r="GNU86" s="31"/>
      <c r="GNV86" s="31"/>
      <c r="GNW86" s="31"/>
      <c r="GNX86" s="31"/>
      <c r="GNY86" s="31"/>
      <c r="GNZ86" s="31"/>
      <c r="GOA86" s="31"/>
      <c r="GOB86" s="31"/>
      <c r="GOC86" s="31"/>
      <c r="GOD86" s="31"/>
      <c r="GOE86" s="31"/>
      <c r="GOF86" s="31"/>
      <c r="GOG86" s="31"/>
      <c r="GOH86" s="31"/>
      <c r="GOI86" s="31"/>
      <c r="GOJ86" s="31"/>
      <c r="GOK86" s="31"/>
      <c r="GOL86" s="31"/>
      <c r="GOM86" s="31"/>
      <c r="GON86" s="31"/>
      <c r="GOO86" s="31"/>
      <c r="GOP86" s="31"/>
      <c r="GOQ86" s="31"/>
      <c r="GOR86" s="31"/>
      <c r="GOS86" s="31"/>
      <c r="GOT86" s="31"/>
      <c r="GOU86" s="31"/>
      <c r="GOV86" s="31"/>
      <c r="GOW86" s="31"/>
      <c r="GOX86" s="31"/>
      <c r="GOY86" s="31"/>
      <c r="GOZ86" s="31"/>
      <c r="GPA86" s="31"/>
      <c r="GPB86" s="31"/>
      <c r="GPC86" s="31"/>
      <c r="GPD86" s="31"/>
      <c r="GPE86" s="31"/>
      <c r="GPF86" s="31"/>
      <c r="GPG86" s="31"/>
      <c r="GPH86" s="31"/>
      <c r="GPI86" s="31"/>
      <c r="GPJ86" s="31"/>
      <c r="GPK86" s="31"/>
      <c r="GPL86" s="31"/>
      <c r="GPM86" s="31"/>
      <c r="GPN86" s="31"/>
      <c r="GPO86" s="31"/>
      <c r="GPP86" s="31"/>
      <c r="GPQ86" s="31"/>
      <c r="GPR86" s="31"/>
      <c r="GPS86" s="31"/>
      <c r="GPT86" s="31"/>
      <c r="GPU86" s="31"/>
      <c r="GPV86" s="31"/>
      <c r="GPW86" s="31"/>
      <c r="GPX86" s="31"/>
      <c r="GPY86" s="31"/>
      <c r="GPZ86" s="31"/>
      <c r="GQA86" s="31"/>
      <c r="GQB86" s="31"/>
      <c r="GQC86" s="31"/>
      <c r="GQD86" s="31"/>
      <c r="GQE86" s="31"/>
      <c r="GQF86" s="31"/>
      <c r="GQG86" s="31"/>
      <c r="GQH86" s="31"/>
      <c r="GQI86" s="31"/>
      <c r="GQJ86" s="31"/>
      <c r="GQK86" s="31"/>
      <c r="GQL86" s="31"/>
      <c r="GQM86" s="31"/>
      <c r="GQN86" s="31"/>
      <c r="GQO86" s="31"/>
      <c r="GQP86" s="31"/>
      <c r="GQQ86" s="31"/>
      <c r="GQR86" s="31"/>
      <c r="GQS86" s="31"/>
      <c r="GQT86" s="31"/>
      <c r="GQU86" s="31"/>
      <c r="GQV86" s="31"/>
      <c r="GQW86" s="31"/>
      <c r="GQX86" s="31"/>
      <c r="GQY86" s="31"/>
      <c r="GQZ86" s="31"/>
      <c r="GRA86" s="31"/>
      <c r="GRB86" s="31"/>
      <c r="GRC86" s="31"/>
      <c r="GRD86" s="31"/>
      <c r="GRE86" s="31"/>
      <c r="GRF86" s="31"/>
      <c r="GRG86" s="31"/>
      <c r="GRH86" s="31"/>
      <c r="GRI86" s="31"/>
      <c r="GRJ86" s="31"/>
      <c r="GRK86" s="31"/>
      <c r="GRL86" s="31"/>
      <c r="GRM86" s="31"/>
      <c r="GRN86" s="31"/>
      <c r="GRO86" s="31"/>
      <c r="GRP86" s="31"/>
      <c r="GRQ86" s="31"/>
      <c r="GRR86" s="31"/>
      <c r="GRS86" s="31"/>
      <c r="GRT86" s="31"/>
      <c r="GRU86" s="31"/>
      <c r="GRV86" s="31"/>
      <c r="GRW86" s="31"/>
      <c r="GRX86" s="31"/>
      <c r="GRY86" s="31"/>
      <c r="GRZ86" s="31"/>
      <c r="GSA86" s="31"/>
      <c r="GSB86" s="31"/>
      <c r="GSC86" s="31"/>
      <c r="GSD86" s="31"/>
      <c r="GSE86" s="31"/>
      <c r="GSF86" s="31"/>
      <c r="GSG86" s="31"/>
      <c r="GSH86" s="31"/>
      <c r="GSI86" s="31"/>
      <c r="GSJ86" s="31"/>
      <c r="GSK86" s="31"/>
      <c r="GSL86" s="31"/>
      <c r="GSM86" s="31"/>
      <c r="GSN86" s="31"/>
      <c r="GSO86" s="31"/>
      <c r="GSP86" s="31"/>
      <c r="GSQ86" s="31"/>
      <c r="GSR86" s="31"/>
      <c r="GSS86" s="31"/>
      <c r="GST86" s="31"/>
      <c r="GSU86" s="31"/>
      <c r="GSV86" s="31"/>
      <c r="GSW86" s="31"/>
      <c r="GSX86" s="31"/>
      <c r="GSY86" s="31"/>
      <c r="GSZ86" s="31"/>
      <c r="GTA86" s="31"/>
      <c r="GTB86" s="31"/>
      <c r="GTC86" s="31"/>
      <c r="GTD86" s="31"/>
      <c r="GTE86" s="31"/>
      <c r="GTF86" s="31"/>
      <c r="GTG86" s="31"/>
      <c r="GTH86" s="31"/>
      <c r="GTI86" s="31"/>
      <c r="GTJ86" s="31"/>
      <c r="GTK86" s="31"/>
      <c r="GTL86" s="31"/>
      <c r="GTM86" s="31"/>
      <c r="GTN86" s="31"/>
      <c r="GTO86" s="31"/>
      <c r="GTP86" s="31"/>
      <c r="GTQ86" s="31"/>
      <c r="GTR86" s="31"/>
      <c r="GTS86" s="31"/>
      <c r="GTT86" s="31"/>
      <c r="GTU86" s="31"/>
      <c r="GTV86" s="31"/>
      <c r="GTW86" s="31"/>
      <c r="GTX86" s="31"/>
      <c r="GTY86" s="31"/>
      <c r="GTZ86" s="31"/>
      <c r="GUA86" s="31"/>
      <c r="GUB86" s="31"/>
      <c r="GUC86" s="31"/>
      <c r="GUD86" s="31"/>
      <c r="GUE86" s="31"/>
      <c r="GUF86" s="31"/>
      <c r="GUG86" s="31"/>
      <c r="GUH86" s="31"/>
      <c r="GUI86" s="31"/>
      <c r="GUJ86" s="31"/>
      <c r="GUK86" s="31"/>
      <c r="GUL86" s="31"/>
      <c r="GUM86" s="31"/>
      <c r="GUN86" s="31"/>
      <c r="GUO86" s="31"/>
      <c r="GUP86" s="31"/>
      <c r="GUQ86" s="31"/>
      <c r="GUR86" s="31"/>
      <c r="GUS86" s="31"/>
      <c r="GUT86" s="31"/>
      <c r="GUU86" s="31"/>
      <c r="GUV86" s="31"/>
      <c r="GUW86" s="31"/>
      <c r="GUX86" s="31"/>
      <c r="GUY86" s="31"/>
      <c r="GUZ86" s="31"/>
      <c r="GVA86" s="31"/>
      <c r="GVB86" s="31"/>
      <c r="GVC86" s="31"/>
      <c r="GVD86" s="31"/>
      <c r="GVE86" s="31"/>
      <c r="GVF86" s="31"/>
      <c r="GVG86" s="31"/>
      <c r="GVH86" s="31"/>
      <c r="GVI86" s="31"/>
      <c r="GVJ86" s="31"/>
      <c r="GVK86" s="31"/>
      <c r="GVL86" s="31"/>
      <c r="GVM86" s="31"/>
      <c r="GVN86" s="31"/>
      <c r="GVO86" s="31"/>
      <c r="GVP86" s="31"/>
      <c r="GVQ86" s="31"/>
      <c r="GVR86" s="31"/>
      <c r="GVS86" s="31"/>
      <c r="GVT86" s="31"/>
      <c r="GVU86" s="31"/>
      <c r="GVV86" s="31"/>
      <c r="GVW86" s="31"/>
      <c r="GVX86" s="31"/>
      <c r="GVY86" s="31"/>
      <c r="GVZ86" s="31"/>
      <c r="GWA86" s="31"/>
      <c r="GWB86" s="31"/>
      <c r="GWC86" s="31"/>
      <c r="GWD86" s="31"/>
      <c r="GWE86" s="31"/>
      <c r="GWF86" s="31"/>
      <c r="GWG86" s="31"/>
      <c r="GWH86" s="31"/>
      <c r="GWI86" s="31"/>
      <c r="GWJ86" s="31"/>
      <c r="GWK86" s="31"/>
      <c r="GWL86" s="31"/>
      <c r="GWM86" s="31"/>
      <c r="GWN86" s="31"/>
      <c r="GWO86" s="31"/>
      <c r="GWP86" s="31"/>
      <c r="GWQ86" s="31"/>
      <c r="GWR86" s="31"/>
      <c r="GWS86" s="31"/>
      <c r="GWT86" s="31"/>
      <c r="GWU86" s="31"/>
      <c r="GWV86" s="31"/>
      <c r="GWW86" s="31"/>
      <c r="GWX86" s="31"/>
      <c r="GWY86" s="31"/>
      <c r="GWZ86" s="31"/>
      <c r="GXA86" s="31"/>
      <c r="GXB86" s="31"/>
      <c r="GXC86" s="31"/>
      <c r="GXD86" s="31"/>
      <c r="GXE86" s="31"/>
      <c r="GXF86" s="31"/>
      <c r="GXG86" s="31"/>
      <c r="GXH86" s="31"/>
      <c r="GXI86" s="31"/>
      <c r="GXJ86" s="31"/>
      <c r="GXK86" s="31"/>
      <c r="GXL86" s="31"/>
      <c r="GXM86" s="31"/>
      <c r="GXN86" s="31"/>
      <c r="GXO86" s="31"/>
      <c r="GXP86" s="31"/>
      <c r="GXQ86" s="31"/>
      <c r="GXR86" s="31"/>
      <c r="GXS86" s="31"/>
      <c r="GXT86" s="31"/>
      <c r="GXU86" s="31"/>
      <c r="GXV86" s="31"/>
      <c r="GXW86" s="31"/>
      <c r="GXX86" s="31"/>
      <c r="GXY86" s="31"/>
      <c r="GXZ86" s="31"/>
      <c r="GYA86" s="31"/>
      <c r="GYB86" s="31"/>
      <c r="GYC86" s="31"/>
      <c r="GYD86" s="31"/>
      <c r="GYE86" s="31"/>
      <c r="GYF86" s="31"/>
      <c r="GYG86" s="31"/>
      <c r="GYH86" s="31"/>
      <c r="GYI86" s="31"/>
      <c r="GYJ86" s="31"/>
      <c r="GYK86" s="31"/>
      <c r="GYL86" s="31"/>
      <c r="GYM86" s="31"/>
      <c r="GYN86" s="31"/>
      <c r="GYO86" s="31"/>
      <c r="GYP86" s="31"/>
      <c r="GYQ86" s="31"/>
      <c r="GYR86" s="31"/>
      <c r="GYS86" s="31"/>
      <c r="GYT86" s="31"/>
      <c r="GYU86" s="31"/>
      <c r="GYV86" s="31"/>
      <c r="GYW86" s="31"/>
      <c r="GYX86" s="31"/>
      <c r="GYY86" s="31"/>
      <c r="GYZ86" s="31"/>
      <c r="GZA86" s="31"/>
      <c r="GZB86" s="31"/>
      <c r="GZC86" s="31"/>
      <c r="GZD86" s="31"/>
      <c r="GZE86" s="31"/>
      <c r="GZF86" s="31"/>
      <c r="GZG86" s="31"/>
      <c r="GZH86" s="31"/>
      <c r="GZI86" s="31"/>
      <c r="GZJ86" s="31"/>
      <c r="GZK86" s="31"/>
      <c r="GZL86" s="31"/>
      <c r="GZM86" s="31"/>
      <c r="GZN86" s="31"/>
      <c r="GZO86" s="31"/>
      <c r="GZP86" s="31"/>
      <c r="GZQ86" s="31"/>
      <c r="GZR86" s="31"/>
      <c r="GZS86" s="31"/>
      <c r="GZT86" s="31"/>
      <c r="GZU86" s="31"/>
      <c r="GZV86" s="31"/>
      <c r="GZW86" s="31"/>
      <c r="GZX86" s="31"/>
      <c r="GZY86" s="31"/>
      <c r="GZZ86" s="31"/>
      <c r="HAA86" s="31"/>
      <c r="HAB86" s="31"/>
      <c r="HAC86" s="31"/>
      <c r="HAD86" s="31"/>
      <c r="HAE86" s="31"/>
      <c r="HAF86" s="31"/>
      <c r="HAG86" s="31"/>
      <c r="HAH86" s="31"/>
      <c r="HAI86" s="31"/>
      <c r="HAJ86" s="31"/>
      <c r="HAK86" s="31"/>
      <c r="HAL86" s="31"/>
      <c r="HAM86" s="31"/>
      <c r="HAN86" s="31"/>
      <c r="HAO86" s="31"/>
      <c r="HAP86" s="31"/>
      <c r="HAQ86" s="31"/>
      <c r="HAR86" s="31"/>
      <c r="HAS86" s="31"/>
      <c r="HAT86" s="31"/>
      <c r="HAU86" s="31"/>
      <c r="HAV86" s="31"/>
      <c r="HAW86" s="31"/>
      <c r="HAX86" s="31"/>
      <c r="HAY86" s="31"/>
      <c r="HAZ86" s="31"/>
      <c r="HBA86" s="31"/>
      <c r="HBB86" s="31"/>
      <c r="HBC86" s="31"/>
      <c r="HBD86" s="31"/>
      <c r="HBE86" s="31"/>
      <c r="HBF86" s="31"/>
      <c r="HBG86" s="31"/>
      <c r="HBH86" s="31"/>
      <c r="HBI86" s="31"/>
      <c r="HBJ86" s="31"/>
      <c r="HBK86" s="31"/>
      <c r="HBL86" s="31"/>
      <c r="HBM86" s="31"/>
      <c r="HBN86" s="31"/>
      <c r="HBO86" s="31"/>
      <c r="HBP86" s="31"/>
      <c r="HBQ86" s="31"/>
      <c r="HBR86" s="31"/>
      <c r="HBS86" s="31"/>
      <c r="HBT86" s="31"/>
      <c r="HBU86" s="31"/>
      <c r="HBV86" s="31"/>
      <c r="HBW86" s="31"/>
      <c r="HBX86" s="31"/>
      <c r="HBY86" s="31"/>
      <c r="HBZ86" s="31"/>
      <c r="HCA86" s="31"/>
      <c r="HCB86" s="31"/>
      <c r="HCC86" s="31"/>
      <c r="HCD86" s="31"/>
      <c r="HCE86" s="31"/>
      <c r="HCF86" s="31"/>
      <c r="HCG86" s="31"/>
      <c r="HCH86" s="31"/>
      <c r="HCI86" s="31"/>
      <c r="HCJ86" s="31"/>
      <c r="HCK86" s="31"/>
      <c r="HCL86" s="31"/>
      <c r="HCM86" s="31"/>
      <c r="HCN86" s="31"/>
      <c r="HCO86" s="31"/>
      <c r="HCP86" s="31"/>
      <c r="HCQ86" s="31"/>
      <c r="HCR86" s="31"/>
      <c r="HCS86" s="31"/>
      <c r="HCT86" s="31"/>
      <c r="HCU86" s="31"/>
      <c r="HCV86" s="31"/>
      <c r="HCW86" s="31"/>
      <c r="HCX86" s="31"/>
      <c r="HCY86" s="31"/>
      <c r="HCZ86" s="31"/>
      <c r="HDA86" s="31"/>
      <c r="HDB86" s="31"/>
      <c r="HDC86" s="31"/>
      <c r="HDD86" s="31"/>
      <c r="HDE86" s="31"/>
      <c r="HDF86" s="31"/>
      <c r="HDG86" s="31"/>
      <c r="HDH86" s="31"/>
      <c r="HDI86" s="31"/>
      <c r="HDJ86" s="31"/>
      <c r="HDK86" s="31"/>
      <c r="HDL86" s="31"/>
      <c r="HDM86" s="31"/>
      <c r="HDN86" s="31"/>
      <c r="HDO86" s="31"/>
      <c r="HDP86" s="31"/>
      <c r="HDQ86" s="31"/>
      <c r="HDR86" s="31"/>
      <c r="HDS86" s="31"/>
      <c r="HDT86" s="31"/>
      <c r="HDU86" s="31"/>
      <c r="HDV86" s="31"/>
      <c r="HDW86" s="31"/>
      <c r="HDX86" s="31"/>
      <c r="HDY86" s="31"/>
      <c r="HDZ86" s="31"/>
      <c r="HEA86" s="31"/>
      <c r="HEB86" s="31"/>
      <c r="HEC86" s="31"/>
      <c r="HED86" s="31"/>
      <c r="HEE86" s="31"/>
      <c r="HEF86" s="31"/>
      <c r="HEG86" s="31"/>
      <c r="HEH86" s="31"/>
      <c r="HEI86" s="31"/>
      <c r="HEJ86" s="31"/>
      <c r="HEK86" s="31"/>
      <c r="HEL86" s="31"/>
      <c r="HEM86" s="31"/>
      <c r="HEN86" s="31"/>
      <c r="HEO86" s="31"/>
      <c r="HEP86" s="31"/>
      <c r="HEQ86" s="31"/>
      <c r="HER86" s="31"/>
      <c r="HES86" s="31"/>
      <c r="HET86" s="31"/>
      <c r="HEU86" s="31"/>
      <c r="HEV86" s="31"/>
      <c r="HEW86" s="31"/>
      <c r="HEX86" s="31"/>
      <c r="HEY86" s="31"/>
      <c r="HEZ86" s="31"/>
      <c r="HFA86" s="31"/>
      <c r="HFB86" s="31"/>
      <c r="HFC86" s="31"/>
      <c r="HFD86" s="31"/>
      <c r="HFE86" s="31"/>
      <c r="HFF86" s="31"/>
      <c r="HFG86" s="31"/>
      <c r="HFH86" s="31"/>
      <c r="HFI86" s="31"/>
      <c r="HFJ86" s="31"/>
      <c r="HFK86" s="31"/>
      <c r="HFL86" s="31"/>
      <c r="HFM86" s="31"/>
      <c r="HFN86" s="31"/>
      <c r="HFO86" s="31"/>
      <c r="HFP86" s="31"/>
      <c r="HFQ86" s="31"/>
      <c r="HFR86" s="31"/>
      <c r="HFS86" s="31"/>
      <c r="HFT86" s="31"/>
      <c r="HFU86" s="31"/>
      <c r="HFV86" s="31"/>
      <c r="HFW86" s="31"/>
      <c r="HFX86" s="31"/>
      <c r="HFY86" s="31"/>
      <c r="HFZ86" s="31"/>
      <c r="HGA86" s="31"/>
      <c r="HGB86" s="31"/>
      <c r="HGC86" s="31"/>
      <c r="HGD86" s="31"/>
      <c r="HGE86" s="31"/>
      <c r="HGF86" s="31"/>
      <c r="HGG86" s="31"/>
      <c r="HGH86" s="31"/>
      <c r="HGI86" s="31"/>
      <c r="HGJ86" s="31"/>
      <c r="HGK86" s="31"/>
      <c r="HGL86" s="31"/>
      <c r="HGM86" s="31"/>
      <c r="HGN86" s="31"/>
      <c r="HGO86" s="31"/>
      <c r="HGP86" s="31"/>
      <c r="HGQ86" s="31"/>
      <c r="HGR86" s="31"/>
      <c r="HGS86" s="31"/>
      <c r="HGT86" s="31"/>
      <c r="HGU86" s="31"/>
      <c r="HGV86" s="31"/>
      <c r="HGW86" s="31"/>
      <c r="HGX86" s="31"/>
      <c r="HGY86" s="31"/>
      <c r="HGZ86" s="31"/>
      <c r="HHA86" s="31"/>
      <c r="HHB86" s="31"/>
      <c r="HHC86" s="31"/>
      <c r="HHD86" s="31"/>
      <c r="HHE86" s="31"/>
      <c r="HHF86" s="31"/>
      <c r="HHG86" s="31"/>
      <c r="HHH86" s="31"/>
      <c r="HHI86" s="31"/>
      <c r="HHJ86" s="31"/>
      <c r="HHK86" s="31"/>
      <c r="HHL86" s="31"/>
      <c r="HHM86" s="31"/>
      <c r="HHN86" s="31"/>
      <c r="HHO86" s="31"/>
      <c r="HHP86" s="31"/>
      <c r="HHQ86" s="31"/>
      <c r="HHR86" s="31"/>
      <c r="HHS86" s="31"/>
      <c r="HHT86" s="31"/>
      <c r="HHU86" s="31"/>
      <c r="HHV86" s="31"/>
      <c r="HHW86" s="31"/>
      <c r="HHX86" s="31"/>
      <c r="HHY86" s="31"/>
      <c r="HHZ86" s="31"/>
      <c r="HIA86" s="31"/>
      <c r="HIB86" s="31"/>
      <c r="HIC86" s="31"/>
      <c r="HID86" s="31"/>
      <c r="HIE86" s="31"/>
      <c r="HIF86" s="31"/>
      <c r="HIG86" s="31"/>
      <c r="HIH86" s="31"/>
      <c r="HII86" s="31"/>
      <c r="HIJ86" s="31"/>
      <c r="HIK86" s="31"/>
      <c r="HIL86" s="31"/>
      <c r="HIM86" s="31"/>
      <c r="HIN86" s="31"/>
      <c r="HIO86" s="31"/>
      <c r="HIP86" s="31"/>
      <c r="HIQ86" s="31"/>
      <c r="HIR86" s="31"/>
      <c r="HIS86" s="31"/>
      <c r="HIT86" s="31"/>
      <c r="HIU86" s="31"/>
      <c r="HIV86" s="31"/>
      <c r="HIW86" s="31"/>
      <c r="HIX86" s="31"/>
      <c r="HIY86" s="31"/>
      <c r="HIZ86" s="31"/>
      <c r="HJA86" s="31"/>
      <c r="HJB86" s="31"/>
      <c r="HJC86" s="31"/>
      <c r="HJD86" s="31"/>
      <c r="HJE86" s="31"/>
      <c r="HJF86" s="31"/>
      <c r="HJG86" s="31"/>
      <c r="HJH86" s="31"/>
      <c r="HJI86" s="31"/>
      <c r="HJJ86" s="31"/>
      <c r="HJK86" s="31"/>
      <c r="HJL86" s="31"/>
      <c r="HJM86" s="31"/>
      <c r="HJN86" s="31"/>
      <c r="HJO86" s="31"/>
      <c r="HJP86" s="31"/>
      <c r="HJQ86" s="31"/>
      <c r="HJR86" s="31"/>
      <c r="HJS86" s="31"/>
      <c r="HJT86" s="31"/>
      <c r="HJU86" s="31"/>
      <c r="HJV86" s="31"/>
      <c r="HJW86" s="31"/>
      <c r="HJX86" s="31"/>
      <c r="HJY86" s="31"/>
      <c r="HJZ86" s="31"/>
      <c r="HKA86" s="31"/>
      <c r="HKB86" s="31"/>
      <c r="HKC86" s="31"/>
      <c r="HKD86" s="31"/>
      <c r="HKE86" s="31"/>
      <c r="HKF86" s="31"/>
      <c r="HKG86" s="31"/>
      <c r="HKH86" s="31"/>
      <c r="HKI86" s="31"/>
      <c r="HKJ86" s="31"/>
      <c r="HKK86" s="31"/>
      <c r="HKL86" s="31"/>
      <c r="HKM86" s="31"/>
      <c r="HKN86" s="31"/>
      <c r="HKO86" s="31"/>
      <c r="HKP86" s="31"/>
      <c r="HKQ86" s="31"/>
      <c r="HKR86" s="31"/>
      <c r="HKS86" s="31"/>
      <c r="HKT86" s="31"/>
      <c r="HKU86" s="31"/>
      <c r="HKV86" s="31"/>
      <c r="HKW86" s="31"/>
      <c r="HKX86" s="31"/>
      <c r="HKY86" s="31"/>
      <c r="HKZ86" s="31"/>
      <c r="HLA86" s="31"/>
      <c r="HLB86" s="31"/>
      <c r="HLC86" s="31"/>
      <c r="HLD86" s="31"/>
      <c r="HLE86" s="31"/>
      <c r="HLF86" s="31"/>
      <c r="HLG86" s="31"/>
      <c r="HLH86" s="31"/>
      <c r="HLI86" s="31"/>
      <c r="HLJ86" s="31"/>
      <c r="HLK86" s="31"/>
      <c r="HLL86" s="31"/>
      <c r="HLM86" s="31"/>
      <c r="HLN86" s="31"/>
      <c r="HLO86" s="31"/>
      <c r="HLP86" s="31"/>
      <c r="HLQ86" s="31"/>
      <c r="HLR86" s="31"/>
      <c r="HLS86" s="31"/>
      <c r="HLT86" s="31"/>
      <c r="HLU86" s="31"/>
      <c r="HLV86" s="31"/>
      <c r="HLW86" s="31"/>
      <c r="HLX86" s="31"/>
      <c r="HLY86" s="31"/>
      <c r="HLZ86" s="31"/>
      <c r="HMA86" s="31"/>
      <c r="HMB86" s="31"/>
      <c r="HMC86" s="31"/>
      <c r="HMD86" s="31"/>
      <c r="HME86" s="31"/>
      <c r="HMF86" s="31"/>
      <c r="HMG86" s="31"/>
      <c r="HMH86" s="31"/>
      <c r="HMI86" s="31"/>
      <c r="HMJ86" s="31"/>
      <c r="HMK86" s="31"/>
      <c r="HML86" s="31"/>
      <c r="HMM86" s="31"/>
      <c r="HMN86" s="31"/>
      <c r="HMO86" s="31"/>
      <c r="HMP86" s="31"/>
      <c r="HMQ86" s="31"/>
      <c r="HMR86" s="31"/>
      <c r="HMS86" s="31"/>
      <c r="HMT86" s="31"/>
      <c r="HMU86" s="31"/>
      <c r="HMV86" s="31"/>
      <c r="HMW86" s="31"/>
      <c r="HMX86" s="31"/>
      <c r="HMY86" s="31"/>
      <c r="HMZ86" s="31"/>
      <c r="HNA86" s="31"/>
      <c r="HNB86" s="31"/>
      <c r="HNC86" s="31"/>
      <c r="HND86" s="31"/>
      <c r="HNE86" s="31"/>
      <c r="HNF86" s="31"/>
      <c r="HNG86" s="31"/>
      <c r="HNH86" s="31"/>
      <c r="HNI86" s="31"/>
      <c r="HNJ86" s="31"/>
      <c r="HNK86" s="31"/>
      <c r="HNL86" s="31"/>
      <c r="HNM86" s="31"/>
      <c r="HNN86" s="31"/>
      <c r="HNO86" s="31"/>
      <c r="HNP86" s="31"/>
      <c r="HNQ86" s="31"/>
      <c r="HNR86" s="31"/>
      <c r="HNS86" s="31"/>
      <c r="HNT86" s="31"/>
      <c r="HNU86" s="31"/>
      <c r="HNV86" s="31"/>
      <c r="HNW86" s="31"/>
      <c r="HNX86" s="31"/>
      <c r="HNY86" s="31"/>
      <c r="HNZ86" s="31"/>
      <c r="HOA86" s="31"/>
      <c r="HOB86" s="31"/>
      <c r="HOC86" s="31"/>
      <c r="HOD86" s="31"/>
      <c r="HOE86" s="31"/>
      <c r="HOF86" s="31"/>
      <c r="HOG86" s="31"/>
      <c r="HOH86" s="31"/>
      <c r="HOI86" s="31"/>
      <c r="HOJ86" s="31"/>
      <c r="HOK86" s="31"/>
      <c r="HOL86" s="31"/>
      <c r="HOM86" s="31"/>
      <c r="HON86" s="31"/>
      <c r="HOO86" s="31"/>
      <c r="HOP86" s="31"/>
      <c r="HOQ86" s="31"/>
      <c r="HOR86" s="31"/>
      <c r="HOS86" s="31"/>
      <c r="HOT86" s="31"/>
      <c r="HOU86" s="31"/>
      <c r="HOV86" s="31"/>
      <c r="HOW86" s="31"/>
      <c r="HOX86" s="31"/>
      <c r="HOY86" s="31"/>
      <c r="HOZ86" s="31"/>
      <c r="HPA86" s="31"/>
      <c r="HPB86" s="31"/>
      <c r="HPC86" s="31"/>
      <c r="HPD86" s="31"/>
      <c r="HPE86" s="31"/>
      <c r="HPF86" s="31"/>
      <c r="HPG86" s="31"/>
      <c r="HPH86" s="31"/>
      <c r="HPI86" s="31"/>
      <c r="HPJ86" s="31"/>
      <c r="HPK86" s="31"/>
      <c r="HPL86" s="31"/>
      <c r="HPM86" s="31"/>
      <c r="HPN86" s="31"/>
      <c r="HPO86" s="31"/>
      <c r="HPP86" s="31"/>
      <c r="HPQ86" s="31"/>
      <c r="HPR86" s="31"/>
      <c r="HPS86" s="31"/>
      <c r="HPT86" s="31"/>
      <c r="HPU86" s="31"/>
      <c r="HPV86" s="31"/>
      <c r="HPW86" s="31"/>
      <c r="HPX86" s="31"/>
      <c r="HPY86" s="31"/>
      <c r="HPZ86" s="31"/>
      <c r="HQA86" s="31"/>
      <c r="HQB86" s="31"/>
      <c r="HQC86" s="31"/>
      <c r="HQD86" s="31"/>
      <c r="HQE86" s="31"/>
      <c r="HQF86" s="31"/>
      <c r="HQG86" s="31"/>
      <c r="HQH86" s="31"/>
      <c r="HQI86" s="31"/>
      <c r="HQJ86" s="31"/>
      <c r="HQK86" s="31"/>
      <c r="HQL86" s="31"/>
      <c r="HQM86" s="31"/>
      <c r="HQN86" s="31"/>
      <c r="HQO86" s="31"/>
      <c r="HQP86" s="31"/>
      <c r="HQQ86" s="31"/>
      <c r="HQR86" s="31"/>
      <c r="HQS86" s="31"/>
      <c r="HQT86" s="31"/>
      <c r="HQU86" s="31"/>
      <c r="HQV86" s="31"/>
      <c r="HQW86" s="31"/>
      <c r="HQX86" s="31"/>
      <c r="HQY86" s="31"/>
      <c r="HQZ86" s="31"/>
      <c r="HRA86" s="31"/>
      <c r="HRB86" s="31"/>
      <c r="HRC86" s="31"/>
      <c r="HRD86" s="31"/>
      <c r="HRE86" s="31"/>
      <c r="HRF86" s="31"/>
      <c r="HRG86" s="31"/>
      <c r="HRH86" s="31"/>
      <c r="HRI86" s="31"/>
      <c r="HRJ86" s="31"/>
      <c r="HRK86" s="31"/>
      <c r="HRL86" s="31"/>
      <c r="HRM86" s="31"/>
      <c r="HRN86" s="31"/>
      <c r="HRO86" s="31"/>
      <c r="HRP86" s="31"/>
      <c r="HRQ86" s="31"/>
      <c r="HRR86" s="31"/>
      <c r="HRS86" s="31"/>
      <c r="HRT86" s="31"/>
      <c r="HRU86" s="31"/>
      <c r="HRV86" s="31"/>
      <c r="HRW86" s="31"/>
      <c r="HRX86" s="31"/>
      <c r="HRY86" s="31"/>
      <c r="HRZ86" s="31"/>
      <c r="HSA86" s="31"/>
      <c r="HSB86" s="31"/>
      <c r="HSC86" s="31"/>
      <c r="HSD86" s="31"/>
      <c r="HSE86" s="31"/>
      <c r="HSF86" s="31"/>
      <c r="HSG86" s="31"/>
      <c r="HSH86" s="31"/>
      <c r="HSI86" s="31"/>
      <c r="HSJ86" s="31"/>
      <c r="HSK86" s="31"/>
      <c r="HSL86" s="31"/>
      <c r="HSM86" s="31"/>
      <c r="HSN86" s="31"/>
      <c r="HSO86" s="31"/>
      <c r="HSP86" s="31"/>
      <c r="HSQ86" s="31"/>
      <c r="HSR86" s="31"/>
      <c r="HSS86" s="31"/>
      <c r="HST86" s="31"/>
      <c r="HSU86" s="31"/>
      <c r="HSV86" s="31"/>
      <c r="HSW86" s="31"/>
      <c r="HSX86" s="31"/>
      <c r="HSY86" s="31"/>
      <c r="HSZ86" s="31"/>
      <c r="HTA86" s="31"/>
      <c r="HTB86" s="31"/>
      <c r="HTC86" s="31"/>
      <c r="HTD86" s="31"/>
      <c r="HTE86" s="31"/>
      <c r="HTF86" s="31"/>
      <c r="HTG86" s="31"/>
      <c r="HTH86" s="31"/>
      <c r="HTI86" s="31"/>
      <c r="HTJ86" s="31"/>
      <c r="HTK86" s="31"/>
      <c r="HTL86" s="31"/>
      <c r="HTM86" s="31"/>
      <c r="HTN86" s="31"/>
      <c r="HTO86" s="31"/>
      <c r="HTP86" s="31"/>
      <c r="HTQ86" s="31"/>
      <c r="HTR86" s="31"/>
      <c r="HTS86" s="31"/>
      <c r="HTT86" s="31"/>
      <c r="HTU86" s="31"/>
      <c r="HTV86" s="31"/>
      <c r="HTW86" s="31"/>
      <c r="HTX86" s="31"/>
      <c r="HTY86" s="31"/>
      <c r="HTZ86" s="31"/>
      <c r="HUA86" s="31"/>
      <c r="HUB86" s="31"/>
      <c r="HUC86" s="31"/>
      <c r="HUD86" s="31"/>
      <c r="HUE86" s="31"/>
      <c r="HUF86" s="31"/>
      <c r="HUG86" s="31"/>
      <c r="HUH86" s="31"/>
      <c r="HUI86" s="31"/>
      <c r="HUJ86" s="31"/>
      <c r="HUK86" s="31"/>
      <c r="HUL86" s="31"/>
      <c r="HUM86" s="31"/>
      <c r="HUN86" s="31"/>
      <c r="HUO86" s="31"/>
      <c r="HUP86" s="31"/>
      <c r="HUQ86" s="31"/>
      <c r="HUR86" s="31"/>
      <c r="HUS86" s="31"/>
      <c r="HUT86" s="31"/>
      <c r="HUU86" s="31"/>
      <c r="HUV86" s="31"/>
      <c r="HUW86" s="31"/>
      <c r="HUX86" s="31"/>
      <c r="HUY86" s="31"/>
      <c r="HUZ86" s="31"/>
      <c r="HVA86" s="31"/>
      <c r="HVB86" s="31"/>
      <c r="HVC86" s="31"/>
      <c r="HVD86" s="31"/>
      <c r="HVE86" s="31"/>
      <c r="HVF86" s="31"/>
      <c r="HVG86" s="31"/>
      <c r="HVH86" s="31"/>
      <c r="HVI86" s="31"/>
      <c r="HVJ86" s="31"/>
      <c r="HVK86" s="31"/>
      <c r="HVL86" s="31"/>
      <c r="HVM86" s="31"/>
      <c r="HVN86" s="31"/>
      <c r="HVO86" s="31"/>
      <c r="HVP86" s="31"/>
      <c r="HVQ86" s="31"/>
      <c r="HVR86" s="31"/>
      <c r="HVS86" s="31"/>
      <c r="HVT86" s="31"/>
      <c r="HVU86" s="31"/>
      <c r="HVV86" s="31"/>
      <c r="HVW86" s="31"/>
      <c r="HVX86" s="31"/>
      <c r="HVY86" s="31"/>
      <c r="HVZ86" s="31"/>
      <c r="HWA86" s="31"/>
      <c r="HWB86" s="31"/>
      <c r="HWC86" s="31"/>
      <c r="HWD86" s="31"/>
      <c r="HWE86" s="31"/>
      <c r="HWF86" s="31"/>
      <c r="HWG86" s="31"/>
      <c r="HWH86" s="31"/>
      <c r="HWI86" s="31"/>
      <c r="HWJ86" s="31"/>
      <c r="HWK86" s="31"/>
      <c r="HWL86" s="31"/>
      <c r="HWM86" s="31"/>
      <c r="HWN86" s="31"/>
      <c r="HWO86" s="31"/>
      <c r="HWP86" s="31"/>
      <c r="HWQ86" s="31"/>
      <c r="HWR86" s="31"/>
      <c r="HWS86" s="31"/>
      <c r="HWT86" s="31"/>
      <c r="HWU86" s="31"/>
      <c r="HWV86" s="31"/>
      <c r="HWW86" s="31"/>
      <c r="HWX86" s="31"/>
      <c r="HWY86" s="31"/>
      <c r="HWZ86" s="31"/>
      <c r="HXA86" s="31"/>
      <c r="HXB86" s="31"/>
      <c r="HXC86" s="31"/>
      <c r="HXD86" s="31"/>
      <c r="HXE86" s="31"/>
      <c r="HXF86" s="31"/>
      <c r="HXG86" s="31"/>
      <c r="HXH86" s="31"/>
      <c r="HXI86" s="31"/>
      <c r="HXJ86" s="31"/>
      <c r="HXK86" s="31"/>
      <c r="HXL86" s="31"/>
      <c r="HXM86" s="31"/>
      <c r="HXN86" s="31"/>
      <c r="HXO86" s="31"/>
      <c r="HXP86" s="31"/>
      <c r="HXQ86" s="31"/>
      <c r="HXR86" s="31"/>
      <c r="HXS86" s="31"/>
      <c r="HXT86" s="31"/>
      <c r="HXU86" s="31"/>
      <c r="HXV86" s="31"/>
      <c r="HXW86" s="31"/>
      <c r="HXX86" s="31"/>
      <c r="HXY86" s="31"/>
      <c r="HXZ86" s="31"/>
      <c r="HYA86" s="31"/>
      <c r="HYB86" s="31"/>
      <c r="HYC86" s="31"/>
      <c r="HYD86" s="31"/>
      <c r="HYE86" s="31"/>
      <c r="HYF86" s="31"/>
      <c r="HYG86" s="31"/>
      <c r="HYH86" s="31"/>
      <c r="HYI86" s="31"/>
      <c r="HYJ86" s="31"/>
      <c r="HYK86" s="31"/>
      <c r="HYL86" s="31"/>
      <c r="HYM86" s="31"/>
      <c r="HYN86" s="31"/>
      <c r="HYO86" s="31"/>
      <c r="HYP86" s="31"/>
      <c r="HYQ86" s="31"/>
      <c r="HYR86" s="31"/>
      <c r="HYS86" s="31"/>
      <c r="HYT86" s="31"/>
      <c r="HYU86" s="31"/>
      <c r="HYV86" s="31"/>
      <c r="HYW86" s="31"/>
      <c r="HYX86" s="31"/>
      <c r="HYY86" s="31"/>
      <c r="HYZ86" s="31"/>
      <c r="HZA86" s="31"/>
      <c r="HZB86" s="31"/>
      <c r="HZC86" s="31"/>
      <c r="HZD86" s="31"/>
      <c r="HZE86" s="31"/>
      <c r="HZF86" s="31"/>
      <c r="HZG86" s="31"/>
      <c r="HZH86" s="31"/>
      <c r="HZI86" s="31"/>
      <c r="HZJ86" s="31"/>
      <c r="HZK86" s="31"/>
      <c r="HZL86" s="31"/>
      <c r="HZM86" s="31"/>
      <c r="HZN86" s="31"/>
      <c r="HZO86" s="31"/>
      <c r="HZP86" s="31"/>
      <c r="HZQ86" s="31"/>
      <c r="HZR86" s="31"/>
      <c r="HZS86" s="31"/>
      <c r="HZT86" s="31"/>
      <c r="HZU86" s="31"/>
      <c r="HZV86" s="31"/>
      <c r="HZW86" s="31"/>
      <c r="HZX86" s="31"/>
      <c r="HZY86" s="31"/>
      <c r="HZZ86" s="31"/>
      <c r="IAA86" s="31"/>
      <c r="IAB86" s="31"/>
      <c r="IAC86" s="31"/>
      <c r="IAD86" s="31"/>
      <c r="IAE86" s="31"/>
      <c r="IAF86" s="31"/>
      <c r="IAG86" s="31"/>
      <c r="IAH86" s="31"/>
      <c r="IAI86" s="31"/>
      <c r="IAJ86" s="31"/>
      <c r="IAK86" s="31"/>
      <c r="IAL86" s="31"/>
      <c r="IAM86" s="31"/>
      <c r="IAN86" s="31"/>
      <c r="IAO86" s="31"/>
      <c r="IAP86" s="31"/>
      <c r="IAQ86" s="31"/>
      <c r="IAR86" s="31"/>
      <c r="IAS86" s="31"/>
      <c r="IAT86" s="31"/>
      <c r="IAU86" s="31"/>
      <c r="IAV86" s="31"/>
      <c r="IAW86" s="31"/>
      <c r="IAX86" s="31"/>
      <c r="IAY86" s="31"/>
      <c r="IAZ86" s="31"/>
      <c r="IBA86" s="31"/>
      <c r="IBB86" s="31"/>
      <c r="IBC86" s="31"/>
      <c r="IBD86" s="31"/>
      <c r="IBE86" s="31"/>
      <c r="IBF86" s="31"/>
      <c r="IBG86" s="31"/>
      <c r="IBH86" s="31"/>
      <c r="IBI86" s="31"/>
      <c r="IBJ86" s="31"/>
      <c r="IBK86" s="31"/>
      <c r="IBL86" s="31"/>
      <c r="IBM86" s="31"/>
      <c r="IBN86" s="31"/>
      <c r="IBO86" s="31"/>
      <c r="IBP86" s="31"/>
      <c r="IBQ86" s="31"/>
      <c r="IBR86" s="31"/>
      <c r="IBS86" s="31"/>
      <c r="IBT86" s="31"/>
      <c r="IBU86" s="31"/>
      <c r="IBV86" s="31"/>
      <c r="IBW86" s="31"/>
      <c r="IBX86" s="31"/>
      <c r="IBY86" s="31"/>
      <c r="IBZ86" s="31"/>
      <c r="ICA86" s="31"/>
      <c r="ICB86" s="31"/>
      <c r="ICC86" s="31"/>
      <c r="ICD86" s="31"/>
      <c r="ICE86" s="31"/>
      <c r="ICF86" s="31"/>
      <c r="ICG86" s="31"/>
      <c r="ICH86" s="31"/>
      <c r="ICI86" s="31"/>
      <c r="ICJ86" s="31"/>
      <c r="ICK86" s="31"/>
      <c r="ICL86" s="31"/>
      <c r="ICM86" s="31"/>
      <c r="ICN86" s="31"/>
      <c r="ICO86" s="31"/>
      <c r="ICP86" s="31"/>
      <c r="ICQ86" s="31"/>
      <c r="ICR86" s="31"/>
      <c r="ICS86" s="31"/>
      <c r="ICT86" s="31"/>
      <c r="ICU86" s="31"/>
      <c r="ICV86" s="31"/>
      <c r="ICW86" s="31"/>
      <c r="ICX86" s="31"/>
      <c r="ICY86" s="31"/>
      <c r="ICZ86" s="31"/>
      <c r="IDA86" s="31"/>
      <c r="IDB86" s="31"/>
      <c r="IDC86" s="31"/>
      <c r="IDD86" s="31"/>
      <c r="IDE86" s="31"/>
      <c r="IDF86" s="31"/>
      <c r="IDG86" s="31"/>
      <c r="IDH86" s="31"/>
      <c r="IDI86" s="31"/>
      <c r="IDJ86" s="31"/>
      <c r="IDK86" s="31"/>
      <c r="IDL86" s="31"/>
      <c r="IDM86" s="31"/>
      <c r="IDN86" s="31"/>
      <c r="IDO86" s="31"/>
      <c r="IDP86" s="31"/>
      <c r="IDQ86" s="31"/>
      <c r="IDR86" s="31"/>
      <c r="IDS86" s="31"/>
      <c r="IDT86" s="31"/>
      <c r="IDU86" s="31"/>
      <c r="IDV86" s="31"/>
      <c r="IDW86" s="31"/>
      <c r="IDX86" s="31"/>
      <c r="IDY86" s="31"/>
      <c r="IDZ86" s="31"/>
      <c r="IEA86" s="31"/>
      <c r="IEB86" s="31"/>
      <c r="IEC86" s="31"/>
      <c r="IED86" s="31"/>
      <c r="IEE86" s="31"/>
      <c r="IEF86" s="31"/>
      <c r="IEG86" s="31"/>
      <c r="IEH86" s="31"/>
      <c r="IEI86" s="31"/>
      <c r="IEJ86" s="31"/>
      <c r="IEK86" s="31"/>
      <c r="IEL86" s="31"/>
      <c r="IEM86" s="31"/>
      <c r="IEN86" s="31"/>
      <c r="IEO86" s="31"/>
      <c r="IEP86" s="31"/>
      <c r="IEQ86" s="31"/>
      <c r="IER86" s="31"/>
      <c r="IES86" s="31"/>
      <c r="IET86" s="31"/>
      <c r="IEU86" s="31"/>
      <c r="IEV86" s="31"/>
      <c r="IEW86" s="31"/>
      <c r="IEX86" s="31"/>
      <c r="IEY86" s="31"/>
      <c r="IEZ86" s="31"/>
      <c r="IFA86" s="31"/>
      <c r="IFB86" s="31"/>
      <c r="IFC86" s="31"/>
      <c r="IFD86" s="31"/>
      <c r="IFE86" s="31"/>
      <c r="IFF86" s="31"/>
      <c r="IFG86" s="31"/>
      <c r="IFH86" s="31"/>
      <c r="IFI86" s="31"/>
      <c r="IFJ86" s="31"/>
      <c r="IFK86" s="31"/>
      <c r="IFL86" s="31"/>
      <c r="IFM86" s="31"/>
      <c r="IFN86" s="31"/>
      <c r="IFO86" s="31"/>
      <c r="IFP86" s="31"/>
      <c r="IFQ86" s="31"/>
      <c r="IFR86" s="31"/>
      <c r="IFS86" s="31"/>
      <c r="IFT86" s="31"/>
      <c r="IFU86" s="31"/>
      <c r="IFV86" s="31"/>
      <c r="IFW86" s="31"/>
      <c r="IFX86" s="31"/>
      <c r="IFY86" s="31"/>
      <c r="IFZ86" s="31"/>
      <c r="IGA86" s="31"/>
      <c r="IGB86" s="31"/>
      <c r="IGC86" s="31"/>
      <c r="IGD86" s="31"/>
      <c r="IGE86" s="31"/>
      <c r="IGF86" s="31"/>
      <c r="IGG86" s="31"/>
      <c r="IGH86" s="31"/>
      <c r="IGI86" s="31"/>
      <c r="IGJ86" s="31"/>
      <c r="IGK86" s="31"/>
      <c r="IGL86" s="31"/>
      <c r="IGM86" s="31"/>
      <c r="IGN86" s="31"/>
      <c r="IGO86" s="31"/>
      <c r="IGP86" s="31"/>
      <c r="IGQ86" s="31"/>
      <c r="IGR86" s="31"/>
      <c r="IGS86" s="31"/>
      <c r="IGT86" s="31"/>
      <c r="IGU86" s="31"/>
      <c r="IGV86" s="31"/>
      <c r="IGW86" s="31"/>
      <c r="IGX86" s="31"/>
      <c r="IGY86" s="31"/>
      <c r="IGZ86" s="31"/>
      <c r="IHA86" s="31"/>
      <c r="IHB86" s="31"/>
      <c r="IHC86" s="31"/>
      <c r="IHD86" s="31"/>
      <c r="IHE86" s="31"/>
      <c r="IHF86" s="31"/>
      <c r="IHG86" s="31"/>
      <c r="IHH86" s="31"/>
      <c r="IHI86" s="31"/>
      <c r="IHJ86" s="31"/>
      <c r="IHK86" s="31"/>
      <c r="IHL86" s="31"/>
      <c r="IHM86" s="31"/>
      <c r="IHN86" s="31"/>
      <c r="IHO86" s="31"/>
      <c r="IHP86" s="31"/>
      <c r="IHQ86" s="31"/>
      <c r="IHR86" s="31"/>
      <c r="IHS86" s="31"/>
      <c r="IHT86" s="31"/>
      <c r="IHU86" s="31"/>
      <c r="IHV86" s="31"/>
      <c r="IHW86" s="31"/>
      <c r="IHX86" s="31"/>
      <c r="IHY86" s="31"/>
      <c r="IHZ86" s="31"/>
      <c r="IIA86" s="31"/>
      <c r="IIB86" s="31"/>
      <c r="IIC86" s="31"/>
      <c r="IID86" s="31"/>
      <c r="IIE86" s="31"/>
      <c r="IIF86" s="31"/>
      <c r="IIG86" s="31"/>
      <c r="IIH86" s="31"/>
      <c r="III86" s="31"/>
      <c r="IIJ86" s="31"/>
      <c r="IIK86" s="31"/>
      <c r="IIL86" s="31"/>
      <c r="IIM86" s="31"/>
      <c r="IIN86" s="31"/>
      <c r="IIO86" s="31"/>
      <c r="IIP86" s="31"/>
      <c r="IIQ86" s="31"/>
      <c r="IIR86" s="31"/>
      <c r="IIS86" s="31"/>
      <c r="IIT86" s="31"/>
      <c r="IIU86" s="31"/>
      <c r="IIV86" s="31"/>
      <c r="IIW86" s="31"/>
      <c r="IIX86" s="31"/>
      <c r="IIY86" s="31"/>
      <c r="IIZ86" s="31"/>
      <c r="IJA86" s="31"/>
      <c r="IJB86" s="31"/>
      <c r="IJC86" s="31"/>
      <c r="IJD86" s="31"/>
      <c r="IJE86" s="31"/>
      <c r="IJF86" s="31"/>
      <c r="IJG86" s="31"/>
      <c r="IJH86" s="31"/>
      <c r="IJI86" s="31"/>
      <c r="IJJ86" s="31"/>
      <c r="IJK86" s="31"/>
      <c r="IJL86" s="31"/>
      <c r="IJM86" s="31"/>
      <c r="IJN86" s="31"/>
      <c r="IJO86" s="31"/>
      <c r="IJP86" s="31"/>
      <c r="IJQ86" s="31"/>
      <c r="IJR86" s="31"/>
      <c r="IJS86" s="31"/>
      <c r="IJT86" s="31"/>
      <c r="IJU86" s="31"/>
      <c r="IJV86" s="31"/>
      <c r="IJW86" s="31"/>
      <c r="IJX86" s="31"/>
      <c r="IJY86" s="31"/>
      <c r="IJZ86" s="31"/>
      <c r="IKA86" s="31"/>
      <c r="IKB86" s="31"/>
      <c r="IKC86" s="31"/>
      <c r="IKD86" s="31"/>
      <c r="IKE86" s="31"/>
      <c r="IKF86" s="31"/>
      <c r="IKG86" s="31"/>
      <c r="IKH86" s="31"/>
      <c r="IKI86" s="31"/>
      <c r="IKJ86" s="31"/>
      <c r="IKK86" s="31"/>
      <c r="IKL86" s="31"/>
      <c r="IKM86" s="31"/>
      <c r="IKN86" s="31"/>
      <c r="IKO86" s="31"/>
      <c r="IKP86" s="31"/>
      <c r="IKQ86" s="31"/>
      <c r="IKR86" s="31"/>
      <c r="IKS86" s="31"/>
      <c r="IKT86" s="31"/>
      <c r="IKU86" s="31"/>
      <c r="IKV86" s="31"/>
      <c r="IKW86" s="31"/>
      <c r="IKX86" s="31"/>
      <c r="IKY86" s="31"/>
      <c r="IKZ86" s="31"/>
      <c r="ILA86" s="31"/>
      <c r="ILB86" s="31"/>
      <c r="ILC86" s="31"/>
      <c r="ILD86" s="31"/>
      <c r="ILE86" s="31"/>
      <c r="ILF86" s="31"/>
      <c r="ILG86" s="31"/>
      <c r="ILH86" s="31"/>
      <c r="ILI86" s="31"/>
      <c r="ILJ86" s="31"/>
      <c r="ILK86" s="31"/>
      <c r="ILL86" s="31"/>
      <c r="ILM86" s="31"/>
      <c r="ILN86" s="31"/>
      <c r="ILO86" s="31"/>
      <c r="ILP86" s="31"/>
      <c r="ILQ86" s="31"/>
      <c r="ILR86" s="31"/>
      <c r="ILS86" s="31"/>
      <c r="ILT86" s="31"/>
      <c r="ILU86" s="31"/>
      <c r="ILV86" s="31"/>
      <c r="ILW86" s="31"/>
      <c r="ILX86" s="31"/>
      <c r="ILY86" s="31"/>
      <c r="ILZ86" s="31"/>
      <c r="IMA86" s="31"/>
      <c r="IMB86" s="31"/>
      <c r="IMC86" s="31"/>
      <c r="IMD86" s="31"/>
      <c r="IME86" s="31"/>
      <c r="IMF86" s="31"/>
      <c r="IMG86" s="31"/>
      <c r="IMH86" s="31"/>
      <c r="IMI86" s="31"/>
      <c r="IMJ86" s="31"/>
      <c r="IMK86" s="31"/>
      <c r="IML86" s="31"/>
      <c r="IMM86" s="31"/>
      <c r="IMN86" s="31"/>
      <c r="IMO86" s="31"/>
      <c r="IMP86" s="31"/>
      <c r="IMQ86" s="31"/>
      <c r="IMR86" s="31"/>
      <c r="IMS86" s="31"/>
      <c r="IMT86" s="31"/>
      <c r="IMU86" s="31"/>
      <c r="IMV86" s="31"/>
      <c r="IMW86" s="31"/>
      <c r="IMX86" s="31"/>
      <c r="IMY86" s="31"/>
      <c r="IMZ86" s="31"/>
      <c r="INA86" s="31"/>
      <c r="INB86" s="31"/>
      <c r="INC86" s="31"/>
      <c r="IND86" s="31"/>
      <c r="INE86" s="31"/>
      <c r="INF86" s="31"/>
      <c r="ING86" s="31"/>
      <c r="INH86" s="31"/>
      <c r="INI86" s="31"/>
      <c r="INJ86" s="31"/>
      <c r="INK86" s="31"/>
      <c r="INL86" s="31"/>
      <c r="INM86" s="31"/>
      <c r="INN86" s="31"/>
      <c r="INO86" s="31"/>
      <c r="INP86" s="31"/>
      <c r="INQ86" s="31"/>
      <c r="INR86" s="31"/>
      <c r="INS86" s="31"/>
      <c r="INT86" s="31"/>
      <c r="INU86" s="31"/>
      <c r="INV86" s="31"/>
      <c r="INW86" s="31"/>
      <c r="INX86" s="31"/>
      <c r="INY86" s="31"/>
      <c r="INZ86" s="31"/>
      <c r="IOA86" s="31"/>
      <c r="IOB86" s="31"/>
      <c r="IOC86" s="31"/>
      <c r="IOD86" s="31"/>
      <c r="IOE86" s="31"/>
      <c r="IOF86" s="31"/>
      <c r="IOG86" s="31"/>
      <c r="IOH86" s="31"/>
      <c r="IOI86" s="31"/>
      <c r="IOJ86" s="31"/>
      <c r="IOK86" s="31"/>
      <c r="IOL86" s="31"/>
      <c r="IOM86" s="31"/>
      <c r="ION86" s="31"/>
      <c r="IOO86" s="31"/>
      <c r="IOP86" s="31"/>
      <c r="IOQ86" s="31"/>
      <c r="IOR86" s="31"/>
      <c r="IOS86" s="31"/>
      <c r="IOT86" s="31"/>
      <c r="IOU86" s="31"/>
      <c r="IOV86" s="31"/>
      <c r="IOW86" s="31"/>
      <c r="IOX86" s="31"/>
      <c r="IOY86" s="31"/>
      <c r="IOZ86" s="31"/>
      <c r="IPA86" s="31"/>
      <c r="IPB86" s="31"/>
      <c r="IPC86" s="31"/>
      <c r="IPD86" s="31"/>
      <c r="IPE86" s="31"/>
      <c r="IPF86" s="31"/>
      <c r="IPG86" s="31"/>
      <c r="IPH86" s="31"/>
      <c r="IPI86" s="31"/>
      <c r="IPJ86" s="31"/>
      <c r="IPK86" s="31"/>
      <c r="IPL86" s="31"/>
      <c r="IPM86" s="31"/>
      <c r="IPN86" s="31"/>
      <c r="IPO86" s="31"/>
      <c r="IPP86" s="31"/>
      <c r="IPQ86" s="31"/>
      <c r="IPR86" s="31"/>
      <c r="IPS86" s="31"/>
      <c r="IPT86" s="31"/>
      <c r="IPU86" s="31"/>
      <c r="IPV86" s="31"/>
      <c r="IPW86" s="31"/>
      <c r="IPX86" s="31"/>
      <c r="IPY86" s="31"/>
      <c r="IPZ86" s="31"/>
      <c r="IQA86" s="31"/>
      <c r="IQB86" s="31"/>
      <c r="IQC86" s="31"/>
      <c r="IQD86" s="31"/>
      <c r="IQE86" s="31"/>
      <c r="IQF86" s="31"/>
      <c r="IQG86" s="31"/>
      <c r="IQH86" s="31"/>
      <c r="IQI86" s="31"/>
      <c r="IQJ86" s="31"/>
      <c r="IQK86" s="31"/>
      <c r="IQL86" s="31"/>
      <c r="IQM86" s="31"/>
      <c r="IQN86" s="31"/>
      <c r="IQO86" s="31"/>
      <c r="IQP86" s="31"/>
      <c r="IQQ86" s="31"/>
      <c r="IQR86" s="31"/>
      <c r="IQS86" s="31"/>
      <c r="IQT86" s="31"/>
      <c r="IQU86" s="31"/>
      <c r="IQV86" s="31"/>
      <c r="IQW86" s="31"/>
      <c r="IQX86" s="31"/>
      <c r="IQY86" s="31"/>
      <c r="IQZ86" s="31"/>
      <c r="IRA86" s="31"/>
      <c r="IRB86" s="31"/>
      <c r="IRC86" s="31"/>
      <c r="IRD86" s="31"/>
      <c r="IRE86" s="31"/>
      <c r="IRF86" s="31"/>
      <c r="IRG86" s="31"/>
      <c r="IRH86" s="31"/>
      <c r="IRI86" s="31"/>
      <c r="IRJ86" s="31"/>
      <c r="IRK86" s="31"/>
      <c r="IRL86" s="31"/>
      <c r="IRM86" s="31"/>
      <c r="IRN86" s="31"/>
      <c r="IRO86" s="31"/>
      <c r="IRP86" s="31"/>
      <c r="IRQ86" s="31"/>
      <c r="IRR86" s="31"/>
      <c r="IRS86" s="31"/>
      <c r="IRT86" s="31"/>
      <c r="IRU86" s="31"/>
      <c r="IRV86" s="31"/>
      <c r="IRW86" s="31"/>
      <c r="IRX86" s="31"/>
      <c r="IRY86" s="31"/>
      <c r="IRZ86" s="31"/>
      <c r="ISA86" s="31"/>
      <c r="ISB86" s="31"/>
      <c r="ISC86" s="31"/>
      <c r="ISD86" s="31"/>
      <c r="ISE86" s="31"/>
      <c r="ISF86" s="31"/>
      <c r="ISG86" s="31"/>
      <c r="ISH86" s="31"/>
      <c r="ISI86" s="31"/>
      <c r="ISJ86" s="31"/>
      <c r="ISK86" s="31"/>
      <c r="ISL86" s="31"/>
      <c r="ISM86" s="31"/>
      <c r="ISN86" s="31"/>
      <c r="ISO86" s="31"/>
      <c r="ISP86" s="31"/>
      <c r="ISQ86" s="31"/>
      <c r="ISR86" s="31"/>
      <c r="ISS86" s="31"/>
      <c r="IST86" s="31"/>
      <c r="ISU86" s="31"/>
      <c r="ISV86" s="31"/>
      <c r="ISW86" s="31"/>
      <c r="ISX86" s="31"/>
      <c r="ISY86" s="31"/>
      <c r="ISZ86" s="31"/>
      <c r="ITA86" s="31"/>
      <c r="ITB86" s="31"/>
      <c r="ITC86" s="31"/>
      <c r="ITD86" s="31"/>
      <c r="ITE86" s="31"/>
      <c r="ITF86" s="31"/>
      <c r="ITG86" s="31"/>
      <c r="ITH86" s="31"/>
      <c r="ITI86" s="31"/>
      <c r="ITJ86" s="31"/>
      <c r="ITK86" s="31"/>
      <c r="ITL86" s="31"/>
      <c r="ITM86" s="31"/>
      <c r="ITN86" s="31"/>
      <c r="ITO86" s="31"/>
      <c r="ITP86" s="31"/>
      <c r="ITQ86" s="31"/>
      <c r="ITR86" s="31"/>
      <c r="ITS86" s="31"/>
      <c r="ITT86" s="31"/>
      <c r="ITU86" s="31"/>
      <c r="ITV86" s="31"/>
      <c r="ITW86" s="31"/>
      <c r="ITX86" s="31"/>
      <c r="ITY86" s="31"/>
      <c r="ITZ86" s="31"/>
      <c r="IUA86" s="31"/>
      <c r="IUB86" s="31"/>
      <c r="IUC86" s="31"/>
      <c r="IUD86" s="31"/>
      <c r="IUE86" s="31"/>
      <c r="IUF86" s="31"/>
      <c r="IUG86" s="31"/>
      <c r="IUH86" s="31"/>
      <c r="IUI86" s="31"/>
      <c r="IUJ86" s="31"/>
      <c r="IUK86" s="31"/>
      <c r="IUL86" s="31"/>
      <c r="IUM86" s="31"/>
      <c r="IUN86" s="31"/>
      <c r="IUO86" s="31"/>
      <c r="IUP86" s="31"/>
      <c r="IUQ86" s="31"/>
      <c r="IUR86" s="31"/>
      <c r="IUS86" s="31"/>
      <c r="IUT86" s="31"/>
      <c r="IUU86" s="31"/>
      <c r="IUV86" s="31"/>
      <c r="IUW86" s="31"/>
      <c r="IUX86" s="31"/>
      <c r="IUY86" s="31"/>
      <c r="IUZ86" s="31"/>
      <c r="IVA86" s="31"/>
      <c r="IVB86" s="31"/>
      <c r="IVC86" s="31"/>
      <c r="IVD86" s="31"/>
      <c r="IVE86" s="31"/>
      <c r="IVF86" s="31"/>
      <c r="IVG86" s="31"/>
      <c r="IVH86" s="31"/>
      <c r="IVI86" s="31"/>
      <c r="IVJ86" s="31"/>
      <c r="IVK86" s="31"/>
      <c r="IVL86" s="31"/>
      <c r="IVM86" s="31"/>
      <c r="IVN86" s="31"/>
      <c r="IVO86" s="31"/>
      <c r="IVP86" s="31"/>
      <c r="IVQ86" s="31"/>
      <c r="IVR86" s="31"/>
      <c r="IVS86" s="31"/>
      <c r="IVT86" s="31"/>
      <c r="IVU86" s="31"/>
      <c r="IVV86" s="31"/>
      <c r="IVW86" s="31"/>
      <c r="IVX86" s="31"/>
      <c r="IVY86" s="31"/>
      <c r="IVZ86" s="31"/>
      <c r="IWA86" s="31"/>
      <c r="IWB86" s="31"/>
      <c r="IWC86" s="31"/>
      <c r="IWD86" s="31"/>
      <c r="IWE86" s="31"/>
      <c r="IWF86" s="31"/>
      <c r="IWG86" s="31"/>
      <c r="IWH86" s="31"/>
      <c r="IWI86" s="31"/>
      <c r="IWJ86" s="31"/>
      <c r="IWK86" s="31"/>
      <c r="IWL86" s="31"/>
      <c r="IWM86" s="31"/>
      <c r="IWN86" s="31"/>
      <c r="IWO86" s="31"/>
      <c r="IWP86" s="31"/>
      <c r="IWQ86" s="31"/>
      <c r="IWR86" s="31"/>
      <c r="IWS86" s="31"/>
      <c r="IWT86" s="31"/>
      <c r="IWU86" s="31"/>
      <c r="IWV86" s="31"/>
      <c r="IWW86" s="31"/>
      <c r="IWX86" s="31"/>
      <c r="IWY86" s="31"/>
      <c r="IWZ86" s="31"/>
      <c r="IXA86" s="31"/>
      <c r="IXB86" s="31"/>
      <c r="IXC86" s="31"/>
      <c r="IXD86" s="31"/>
      <c r="IXE86" s="31"/>
      <c r="IXF86" s="31"/>
      <c r="IXG86" s="31"/>
      <c r="IXH86" s="31"/>
      <c r="IXI86" s="31"/>
      <c r="IXJ86" s="31"/>
      <c r="IXK86" s="31"/>
      <c r="IXL86" s="31"/>
      <c r="IXM86" s="31"/>
      <c r="IXN86" s="31"/>
      <c r="IXO86" s="31"/>
      <c r="IXP86" s="31"/>
      <c r="IXQ86" s="31"/>
      <c r="IXR86" s="31"/>
      <c r="IXS86" s="31"/>
      <c r="IXT86" s="31"/>
      <c r="IXU86" s="31"/>
      <c r="IXV86" s="31"/>
      <c r="IXW86" s="31"/>
      <c r="IXX86" s="31"/>
      <c r="IXY86" s="31"/>
      <c r="IXZ86" s="31"/>
      <c r="IYA86" s="31"/>
      <c r="IYB86" s="31"/>
      <c r="IYC86" s="31"/>
      <c r="IYD86" s="31"/>
      <c r="IYE86" s="31"/>
      <c r="IYF86" s="31"/>
      <c r="IYG86" s="31"/>
      <c r="IYH86" s="31"/>
      <c r="IYI86" s="31"/>
      <c r="IYJ86" s="31"/>
      <c r="IYK86" s="31"/>
      <c r="IYL86" s="31"/>
      <c r="IYM86" s="31"/>
      <c r="IYN86" s="31"/>
      <c r="IYO86" s="31"/>
      <c r="IYP86" s="31"/>
      <c r="IYQ86" s="31"/>
      <c r="IYR86" s="31"/>
      <c r="IYS86" s="31"/>
      <c r="IYT86" s="31"/>
      <c r="IYU86" s="31"/>
      <c r="IYV86" s="31"/>
      <c r="IYW86" s="31"/>
      <c r="IYX86" s="31"/>
      <c r="IYY86" s="31"/>
      <c r="IYZ86" s="31"/>
      <c r="IZA86" s="31"/>
      <c r="IZB86" s="31"/>
      <c r="IZC86" s="31"/>
      <c r="IZD86" s="31"/>
      <c r="IZE86" s="31"/>
      <c r="IZF86" s="31"/>
      <c r="IZG86" s="31"/>
      <c r="IZH86" s="31"/>
      <c r="IZI86" s="31"/>
      <c r="IZJ86" s="31"/>
      <c r="IZK86" s="31"/>
      <c r="IZL86" s="31"/>
      <c r="IZM86" s="31"/>
      <c r="IZN86" s="31"/>
      <c r="IZO86" s="31"/>
      <c r="IZP86" s="31"/>
      <c r="IZQ86" s="31"/>
      <c r="IZR86" s="31"/>
      <c r="IZS86" s="31"/>
      <c r="IZT86" s="31"/>
      <c r="IZU86" s="31"/>
      <c r="IZV86" s="31"/>
      <c r="IZW86" s="31"/>
      <c r="IZX86" s="31"/>
      <c r="IZY86" s="31"/>
      <c r="IZZ86" s="31"/>
      <c r="JAA86" s="31"/>
      <c r="JAB86" s="31"/>
      <c r="JAC86" s="31"/>
      <c r="JAD86" s="31"/>
      <c r="JAE86" s="31"/>
      <c r="JAF86" s="31"/>
      <c r="JAG86" s="31"/>
      <c r="JAH86" s="31"/>
      <c r="JAI86" s="31"/>
      <c r="JAJ86" s="31"/>
      <c r="JAK86" s="31"/>
      <c r="JAL86" s="31"/>
      <c r="JAM86" s="31"/>
      <c r="JAN86" s="31"/>
      <c r="JAO86" s="31"/>
      <c r="JAP86" s="31"/>
      <c r="JAQ86" s="31"/>
      <c r="JAR86" s="31"/>
      <c r="JAS86" s="31"/>
      <c r="JAT86" s="31"/>
      <c r="JAU86" s="31"/>
      <c r="JAV86" s="31"/>
      <c r="JAW86" s="31"/>
      <c r="JAX86" s="31"/>
      <c r="JAY86" s="31"/>
      <c r="JAZ86" s="31"/>
      <c r="JBA86" s="31"/>
      <c r="JBB86" s="31"/>
      <c r="JBC86" s="31"/>
      <c r="JBD86" s="31"/>
      <c r="JBE86" s="31"/>
      <c r="JBF86" s="31"/>
      <c r="JBG86" s="31"/>
      <c r="JBH86" s="31"/>
      <c r="JBI86" s="31"/>
      <c r="JBJ86" s="31"/>
      <c r="JBK86" s="31"/>
      <c r="JBL86" s="31"/>
      <c r="JBM86" s="31"/>
      <c r="JBN86" s="31"/>
      <c r="JBO86" s="31"/>
      <c r="JBP86" s="31"/>
      <c r="JBQ86" s="31"/>
      <c r="JBR86" s="31"/>
      <c r="JBS86" s="31"/>
      <c r="JBT86" s="31"/>
      <c r="JBU86" s="31"/>
      <c r="JBV86" s="31"/>
      <c r="JBW86" s="31"/>
      <c r="JBX86" s="31"/>
      <c r="JBY86" s="31"/>
      <c r="JBZ86" s="31"/>
      <c r="JCA86" s="31"/>
      <c r="JCB86" s="31"/>
      <c r="JCC86" s="31"/>
      <c r="JCD86" s="31"/>
      <c r="JCE86" s="31"/>
      <c r="JCF86" s="31"/>
      <c r="JCG86" s="31"/>
      <c r="JCH86" s="31"/>
      <c r="JCI86" s="31"/>
      <c r="JCJ86" s="31"/>
      <c r="JCK86" s="31"/>
      <c r="JCL86" s="31"/>
      <c r="JCM86" s="31"/>
      <c r="JCN86" s="31"/>
      <c r="JCO86" s="31"/>
      <c r="JCP86" s="31"/>
      <c r="JCQ86" s="31"/>
      <c r="JCR86" s="31"/>
      <c r="JCS86" s="31"/>
      <c r="JCT86" s="31"/>
      <c r="JCU86" s="31"/>
      <c r="JCV86" s="31"/>
      <c r="JCW86" s="31"/>
      <c r="JCX86" s="31"/>
      <c r="JCY86" s="31"/>
      <c r="JCZ86" s="31"/>
      <c r="JDA86" s="31"/>
      <c r="JDB86" s="31"/>
      <c r="JDC86" s="31"/>
      <c r="JDD86" s="31"/>
      <c r="JDE86" s="31"/>
      <c r="JDF86" s="31"/>
      <c r="JDG86" s="31"/>
      <c r="JDH86" s="31"/>
      <c r="JDI86" s="31"/>
      <c r="JDJ86" s="31"/>
      <c r="JDK86" s="31"/>
      <c r="JDL86" s="31"/>
      <c r="JDM86" s="31"/>
      <c r="JDN86" s="31"/>
      <c r="JDO86" s="31"/>
      <c r="JDP86" s="31"/>
      <c r="JDQ86" s="31"/>
      <c r="JDR86" s="31"/>
      <c r="JDS86" s="31"/>
      <c r="JDT86" s="31"/>
      <c r="JDU86" s="31"/>
      <c r="JDV86" s="31"/>
      <c r="JDW86" s="31"/>
      <c r="JDX86" s="31"/>
      <c r="JDY86" s="31"/>
      <c r="JDZ86" s="31"/>
      <c r="JEA86" s="31"/>
      <c r="JEB86" s="31"/>
      <c r="JEC86" s="31"/>
      <c r="JED86" s="31"/>
      <c r="JEE86" s="31"/>
      <c r="JEF86" s="31"/>
      <c r="JEG86" s="31"/>
      <c r="JEH86" s="31"/>
      <c r="JEI86" s="31"/>
      <c r="JEJ86" s="31"/>
      <c r="JEK86" s="31"/>
      <c r="JEL86" s="31"/>
      <c r="JEM86" s="31"/>
      <c r="JEN86" s="31"/>
      <c r="JEO86" s="31"/>
      <c r="JEP86" s="31"/>
      <c r="JEQ86" s="31"/>
      <c r="JER86" s="31"/>
      <c r="JES86" s="31"/>
      <c r="JET86" s="31"/>
      <c r="JEU86" s="31"/>
      <c r="JEV86" s="31"/>
      <c r="JEW86" s="31"/>
      <c r="JEX86" s="31"/>
      <c r="JEY86" s="31"/>
      <c r="JEZ86" s="31"/>
      <c r="JFA86" s="31"/>
      <c r="JFB86" s="31"/>
      <c r="JFC86" s="31"/>
      <c r="JFD86" s="31"/>
      <c r="JFE86" s="31"/>
      <c r="JFF86" s="31"/>
      <c r="JFG86" s="31"/>
      <c r="JFH86" s="31"/>
      <c r="JFI86" s="31"/>
      <c r="JFJ86" s="31"/>
      <c r="JFK86" s="31"/>
      <c r="JFL86" s="31"/>
      <c r="JFM86" s="31"/>
      <c r="JFN86" s="31"/>
      <c r="JFO86" s="31"/>
      <c r="JFP86" s="31"/>
      <c r="JFQ86" s="31"/>
      <c r="JFR86" s="31"/>
      <c r="JFS86" s="31"/>
      <c r="JFT86" s="31"/>
      <c r="JFU86" s="31"/>
      <c r="JFV86" s="31"/>
      <c r="JFW86" s="31"/>
      <c r="JFX86" s="31"/>
      <c r="JFY86" s="31"/>
      <c r="JFZ86" s="31"/>
      <c r="JGA86" s="31"/>
      <c r="JGB86" s="31"/>
      <c r="JGC86" s="31"/>
      <c r="JGD86" s="31"/>
      <c r="JGE86" s="31"/>
      <c r="JGF86" s="31"/>
      <c r="JGG86" s="31"/>
      <c r="JGH86" s="31"/>
      <c r="JGI86" s="31"/>
      <c r="JGJ86" s="31"/>
      <c r="JGK86" s="31"/>
      <c r="JGL86" s="31"/>
      <c r="JGM86" s="31"/>
      <c r="JGN86" s="31"/>
      <c r="JGO86" s="31"/>
      <c r="JGP86" s="31"/>
      <c r="JGQ86" s="31"/>
      <c r="JGR86" s="31"/>
      <c r="JGS86" s="31"/>
      <c r="JGT86" s="31"/>
      <c r="JGU86" s="31"/>
      <c r="JGV86" s="31"/>
      <c r="JGW86" s="31"/>
      <c r="JGX86" s="31"/>
      <c r="JGY86" s="31"/>
      <c r="JGZ86" s="31"/>
      <c r="JHA86" s="31"/>
      <c r="JHB86" s="31"/>
      <c r="JHC86" s="31"/>
      <c r="JHD86" s="31"/>
      <c r="JHE86" s="31"/>
      <c r="JHF86" s="31"/>
      <c r="JHG86" s="31"/>
      <c r="JHH86" s="31"/>
      <c r="JHI86" s="31"/>
      <c r="JHJ86" s="31"/>
      <c r="JHK86" s="31"/>
      <c r="JHL86" s="31"/>
      <c r="JHM86" s="31"/>
      <c r="JHN86" s="31"/>
      <c r="JHO86" s="31"/>
      <c r="JHP86" s="31"/>
      <c r="JHQ86" s="31"/>
      <c r="JHR86" s="31"/>
      <c r="JHS86" s="31"/>
      <c r="JHT86" s="31"/>
      <c r="JHU86" s="31"/>
      <c r="JHV86" s="31"/>
      <c r="JHW86" s="31"/>
      <c r="JHX86" s="31"/>
      <c r="JHY86" s="31"/>
      <c r="JHZ86" s="31"/>
      <c r="JIA86" s="31"/>
      <c r="JIB86" s="31"/>
      <c r="JIC86" s="31"/>
      <c r="JID86" s="31"/>
      <c r="JIE86" s="31"/>
      <c r="JIF86" s="31"/>
      <c r="JIG86" s="31"/>
      <c r="JIH86" s="31"/>
      <c r="JII86" s="31"/>
      <c r="JIJ86" s="31"/>
      <c r="JIK86" s="31"/>
      <c r="JIL86" s="31"/>
      <c r="JIM86" s="31"/>
      <c r="JIN86" s="31"/>
      <c r="JIO86" s="31"/>
      <c r="JIP86" s="31"/>
      <c r="JIQ86" s="31"/>
      <c r="JIR86" s="31"/>
      <c r="JIS86" s="31"/>
      <c r="JIT86" s="31"/>
      <c r="JIU86" s="31"/>
      <c r="JIV86" s="31"/>
      <c r="JIW86" s="31"/>
      <c r="JIX86" s="31"/>
      <c r="JIY86" s="31"/>
      <c r="JIZ86" s="31"/>
      <c r="JJA86" s="31"/>
      <c r="JJB86" s="31"/>
      <c r="JJC86" s="31"/>
      <c r="JJD86" s="31"/>
      <c r="JJE86" s="31"/>
      <c r="JJF86" s="31"/>
      <c r="JJG86" s="31"/>
      <c r="JJH86" s="31"/>
      <c r="JJI86" s="31"/>
      <c r="JJJ86" s="31"/>
      <c r="JJK86" s="31"/>
      <c r="JJL86" s="31"/>
      <c r="JJM86" s="31"/>
      <c r="JJN86" s="31"/>
      <c r="JJO86" s="31"/>
      <c r="JJP86" s="31"/>
      <c r="JJQ86" s="31"/>
      <c r="JJR86" s="31"/>
      <c r="JJS86" s="31"/>
      <c r="JJT86" s="31"/>
      <c r="JJU86" s="31"/>
      <c r="JJV86" s="31"/>
      <c r="JJW86" s="31"/>
      <c r="JJX86" s="31"/>
      <c r="JJY86" s="31"/>
      <c r="JJZ86" s="31"/>
      <c r="JKA86" s="31"/>
      <c r="JKB86" s="31"/>
      <c r="JKC86" s="31"/>
      <c r="JKD86" s="31"/>
      <c r="JKE86" s="31"/>
      <c r="JKF86" s="31"/>
      <c r="JKG86" s="31"/>
      <c r="JKH86" s="31"/>
      <c r="JKI86" s="31"/>
      <c r="JKJ86" s="31"/>
      <c r="JKK86" s="31"/>
      <c r="JKL86" s="31"/>
      <c r="JKM86" s="31"/>
      <c r="JKN86" s="31"/>
      <c r="JKO86" s="31"/>
      <c r="JKP86" s="31"/>
      <c r="JKQ86" s="31"/>
      <c r="JKR86" s="31"/>
      <c r="JKS86" s="31"/>
      <c r="JKT86" s="31"/>
      <c r="JKU86" s="31"/>
      <c r="JKV86" s="31"/>
      <c r="JKW86" s="31"/>
      <c r="JKX86" s="31"/>
      <c r="JKY86" s="31"/>
      <c r="JKZ86" s="31"/>
      <c r="JLA86" s="31"/>
      <c r="JLB86" s="31"/>
      <c r="JLC86" s="31"/>
      <c r="JLD86" s="31"/>
      <c r="JLE86" s="31"/>
      <c r="JLF86" s="31"/>
      <c r="JLG86" s="31"/>
      <c r="JLH86" s="31"/>
      <c r="JLI86" s="31"/>
      <c r="JLJ86" s="31"/>
      <c r="JLK86" s="31"/>
      <c r="JLL86" s="31"/>
      <c r="JLM86" s="31"/>
      <c r="JLN86" s="31"/>
      <c r="JLO86" s="31"/>
      <c r="JLP86" s="31"/>
      <c r="JLQ86" s="31"/>
      <c r="JLR86" s="31"/>
      <c r="JLS86" s="31"/>
      <c r="JLT86" s="31"/>
      <c r="JLU86" s="31"/>
      <c r="JLV86" s="31"/>
      <c r="JLW86" s="31"/>
      <c r="JLX86" s="31"/>
      <c r="JLY86" s="31"/>
      <c r="JLZ86" s="31"/>
      <c r="JMA86" s="31"/>
      <c r="JMB86" s="31"/>
      <c r="JMC86" s="31"/>
      <c r="JMD86" s="31"/>
      <c r="JME86" s="31"/>
      <c r="JMF86" s="31"/>
      <c r="JMG86" s="31"/>
      <c r="JMH86" s="31"/>
      <c r="JMI86" s="31"/>
      <c r="JMJ86" s="31"/>
      <c r="JMK86" s="31"/>
      <c r="JML86" s="31"/>
      <c r="JMM86" s="31"/>
      <c r="JMN86" s="31"/>
      <c r="JMO86" s="31"/>
      <c r="JMP86" s="31"/>
      <c r="JMQ86" s="31"/>
      <c r="JMR86" s="31"/>
      <c r="JMS86" s="31"/>
      <c r="JMT86" s="31"/>
      <c r="JMU86" s="31"/>
      <c r="JMV86" s="31"/>
      <c r="JMW86" s="31"/>
      <c r="JMX86" s="31"/>
      <c r="JMY86" s="31"/>
      <c r="JMZ86" s="31"/>
      <c r="JNA86" s="31"/>
      <c r="JNB86" s="31"/>
      <c r="JNC86" s="31"/>
      <c r="JND86" s="31"/>
      <c r="JNE86" s="31"/>
      <c r="JNF86" s="31"/>
      <c r="JNG86" s="31"/>
      <c r="JNH86" s="31"/>
      <c r="JNI86" s="31"/>
      <c r="JNJ86" s="31"/>
      <c r="JNK86" s="31"/>
      <c r="JNL86" s="31"/>
      <c r="JNM86" s="31"/>
      <c r="JNN86" s="31"/>
      <c r="JNO86" s="31"/>
      <c r="JNP86" s="31"/>
      <c r="JNQ86" s="31"/>
      <c r="JNR86" s="31"/>
      <c r="JNS86" s="31"/>
      <c r="JNT86" s="31"/>
      <c r="JNU86" s="31"/>
      <c r="JNV86" s="31"/>
      <c r="JNW86" s="31"/>
      <c r="JNX86" s="31"/>
      <c r="JNY86" s="31"/>
      <c r="JNZ86" s="31"/>
      <c r="JOA86" s="31"/>
      <c r="JOB86" s="31"/>
      <c r="JOC86" s="31"/>
      <c r="JOD86" s="31"/>
      <c r="JOE86" s="31"/>
      <c r="JOF86" s="31"/>
      <c r="JOG86" s="31"/>
      <c r="JOH86" s="31"/>
      <c r="JOI86" s="31"/>
      <c r="JOJ86" s="31"/>
      <c r="JOK86" s="31"/>
      <c r="JOL86" s="31"/>
      <c r="JOM86" s="31"/>
      <c r="JON86" s="31"/>
      <c r="JOO86" s="31"/>
      <c r="JOP86" s="31"/>
      <c r="JOQ86" s="31"/>
      <c r="JOR86" s="31"/>
      <c r="JOS86" s="31"/>
      <c r="JOT86" s="31"/>
      <c r="JOU86" s="31"/>
      <c r="JOV86" s="31"/>
      <c r="JOW86" s="31"/>
      <c r="JOX86" s="31"/>
      <c r="JOY86" s="31"/>
      <c r="JOZ86" s="31"/>
      <c r="JPA86" s="31"/>
      <c r="JPB86" s="31"/>
      <c r="JPC86" s="31"/>
      <c r="JPD86" s="31"/>
      <c r="JPE86" s="31"/>
      <c r="JPF86" s="31"/>
      <c r="JPG86" s="31"/>
      <c r="JPH86" s="31"/>
      <c r="JPI86" s="31"/>
      <c r="JPJ86" s="31"/>
      <c r="JPK86" s="31"/>
      <c r="JPL86" s="31"/>
      <c r="JPM86" s="31"/>
      <c r="JPN86" s="31"/>
      <c r="JPO86" s="31"/>
      <c r="JPP86" s="31"/>
      <c r="JPQ86" s="31"/>
      <c r="JPR86" s="31"/>
      <c r="JPS86" s="31"/>
      <c r="JPT86" s="31"/>
      <c r="JPU86" s="31"/>
      <c r="JPV86" s="31"/>
      <c r="JPW86" s="31"/>
      <c r="JPX86" s="31"/>
      <c r="JPY86" s="31"/>
      <c r="JPZ86" s="31"/>
      <c r="JQA86" s="31"/>
      <c r="JQB86" s="31"/>
      <c r="JQC86" s="31"/>
      <c r="JQD86" s="31"/>
      <c r="JQE86" s="31"/>
      <c r="JQF86" s="31"/>
      <c r="JQG86" s="31"/>
      <c r="JQH86" s="31"/>
      <c r="JQI86" s="31"/>
      <c r="JQJ86" s="31"/>
      <c r="JQK86" s="31"/>
      <c r="JQL86" s="31"/>
      <c r="JQM86" s="31"/>
      <c r="JQN86" s="31"/>
      <c r="JQO86" s="31"/>
      <c r="JQP86" s="31"/>
      <c r="JQQ86" s="31"/>
      <c r="JQR86" s="31"/>
      <c r="JQS86" s="31"/>
      <c r="JQT86" s="31"/>
      <c r="JQU86" s="31"/>
      <c r="JQV86" s="31"/>
      <c r="JQW86" s="31"/>
      <c r="JQX86" s="31"/>
      <c r="JQY86" s="31"/>
      <c r="JQZ86" s="31"/>
      <c r="JRA86" s="31"/>
      <c r="JRB86" s="31"/>
      <c r="JRC86" s="31"/>
      <c r="JRD86" s="31"/>
      <c r="JRE86" s="31"/>
      <c r="JRF86" s="31"/>
      <c r="JRG86" s="31"/>
      <c r="JRH86" s="31"/>
      <c r="JRI86" s="31"/>
      <c r="JRJ86" s="31"/>
      <c r="JRK86" s="31"/>
      <c r="JRL86" s="31"/>
      <c r="JRM86" s="31"/>
      <c r="JRN86" s="31"/>
      <c r="JRO86" s="31"/>
      <c r="JRP86" s="31"/>
      <c r="JRQ86" s="31"/>
      <c r="JRR86" s="31"/>
      <c r="JRS86" s="31"/>
      <c r="JRT86" s="31"/>
      <c r="JRU86" s="31"/>
      <c r="JRV86" s="31"/>
      <c r="JRW86" s="31"/>
      <c r="JRX86" s="31"/>
      <c r="JRY86" s="31"/>
      <c r="JRZ86" s="31"/>
      <c r="JSA86" s="31"/>
      <c r="JSB86" s="31"/>
      <c r="JSC86" s="31"/>
      <c r="JSD86" s="31"/>
      <c r="JSE86" s="31"/>
      <c r="JSF86" s="31"/>
      <c r="JSG86" s="31"/>
      <c r="JSH86" s="31"/>
      <c r="JSI86" s="31"/>
      <c r="JSJ86" s="31"/>
      <c r="JSK86" s="31"/>
      <c r="JSL86" s="31"/>
      <c r="JSM86" s="31"/>
      <c r="JSN86" s="31"/>
      <c r="JSO86" s="31"/>
      <c r="JSP86" s="31"/>
      <c r="JSQ86" s="31"/>
      <c r="JSR86" s="31"/>
      <c r="JSS86" s="31"/>
      <c r="JST86" s="31"/>
      <c r="JSU86" s="31"/>
      <c r="JSV86" s="31"/>
      <c r="JSW86" s="31"/>
      <c r="JSX86" s="31"/>
      <c r="JSY86" s="31"/>
      <c r="JSZ86" s="31"/>
      <c r="JTA86" s="31"/>
      <c r="JTB86" s="31"/>
      <c r="JTC86" s="31"/>
      <c r="JTD86" s="31"/>
      <c r="JTE86" s="31"/>
      <c r="JTF86" s="31"/>
      <c r="JTG86" s="31"/>
      <c r="JTH86" s="31"/>
      <c r="JTI86" s="31"/>
      <c r="JTJ86" s="31"/>
      <c r="JTK86" s="31"/>
      <c r="JTL86" s="31"/>
      <c r="JTM86" s="31"/>
      <c r="JTN86" s="31"/>
      <c r="JTO86" s="31"/>
      <c r="JTP86" s="31"/>
      <c r="JTQ86" s="31"/>
      <c r="JTR86" s="31"/>
      <c r="JTS86" s="31"/>
      <c r="JTT86" s="31"/>
      <c r="JTU86" s="31"/>
      <c r="JTV86" s="31"/>
      <c r="JTW86" s="31"/>
      <c r="JTX86" s="31"/>
      <c r="JTY86" s="31"/>
      <c r="JTZ86" s="31"/>
      <c r="JUA86" s="31"/>
      <c r="JUB86" s="31"/>
      <c r="JUC86" s="31"/>
      <c r="JUD86" s="31"/>
      <c r="JUE86" s="31"/>
      <c r="JUF86" s="31"/>
      <c r="JUG86" s="31"/>
      <c r="JUH86" s="31"/>
      <c r="JUI86" s="31"/>
      <c r="JUJ86" s="31"/>
      <c r="JUK86" s="31"/>
      <c r="JUL86" s="31"/>
      <c r="JUM86" s="31"/>
      <c r="JUN86" s="31"/>
      <c r="JUO86" s="31"/>
      <c r="JUP86" s="31"/>
      <c r="JUQ86" s="31"/>
      <c r="JUR86" s="31"/>
      <c r="JUS86" s="31"/>
      <c r="JUT86" s="31"/>
      <c r="JUU86" s="31"/>
      <c r="JUV86" s="31"/>
      <c r="JUW86" s="31"/>
      <c r="JUX86" s="31"/>
      <c r="JUY86" s="31"/>
      <c r="JUZ86" s="31"/>
      <c r="JVA86" s="31"/>
      <c r="JVB86" s="31"/>
      <c r="JVC86" s="31"/>
      <c r="JVD86" s="31"/>
      <c r="JVE86" s="31"/>
      <c r="JVF86" s="31"/>
      <c r="JVG86" s="31"/>
      <c r="JVH86" s="31"/>
      <c r="JVI86" s="31"/>
      <c r="JVJ86" s="31"/>
      <c r="JVK86" s="31"/>
      <c r="JVL86" s="31"/>
      <c r="JVM86" s="31"/>
      <c r="JVN86" s="31"/>
      <c r="JVO86" s="31"/>
      <c r="JVP86" s="31"/>
      <c r="JVQ86" s="31"/>
      <c r="JVR86" s="31"/>
      <c r="JVS86" s="31"/>
      <c r="JVT86" s="31"/>
      <c r="JVU86" s="31"/>
      <c r="JVV86" s="31"/>
      <c r="JVW86" s="31"/>
      <c r="JVX86" s="31"/>
      <c r="JVY86" s="31"/>
      <c r="JVZ86" s="31"/>
      <c r="JWA86" s="31"/>
      <c r="JWB86" s="31"/>
      <c r="JWC86" s="31"/>
      <c r="JWD86" s="31"/>
      <c r="JWE86" s="31"/>
      <c r="JWF86" s="31"/>
      <c r="JWG86" s="31"/>
      <c r="JWH86" s="31"/>
      <c r="JWI86" s="31"/>
      <c r="JWJ86" s="31"/>
      <c r="JWK86" s="31"/>
      <c r="JWL86" s="31"/>
      <c r="JWM86" s="31"/>
      <c r="JWN86" s="31"/>
      <c r="JWO86" s="31"/>
      <c r="JWP86" s="31"/>
      <c r="JWQ86" s="31"/>
      <c r="JWR86" s="31"/>
      <c r="JWS86" s="31"/>
      <c r="JWT86" s="31"/>
      <c r="JWU86" s="31"/>
      <c r="JWV86" s="31"/>
      <c r="JWW86" s="31"/>
      <c r="JWX86" s="31"/>
      <c r="JWY86" s="31"/>
      <c r="JWZ86" s="31"/>
      <c r="JXA86" s="31"/>
      <c r="JXB86" s="31"/>
      <c r="JXC86" s="31"/>
      <c r="JXD86" s="31"/>
      <c r="JXE86" s="31"/>
      <c r="JXF86" s="31"/>
      <c r="JXG86" s="31"/>
      <c r="JXH86" s="31"/>
      <c r="JXI86" s="31"/>
      <c r="JXJ86" s="31"/>
      <c r="JXK86" s="31"/>
      <c r="JXL86" s="31"/>
      <c r="JXM86" s="31"/>
      <c r="JXN86" s="31"/>
      <c r="JXO86" s="31"/>
      <c r="JXP86" s="31"/>
      <c r="JXQ86" s="31"/>
      <c r="JXR86" s="31"/>
      <c r="JXS86" s="31"/>
      <c r="JXT86" s="31"/>
      <c r="JXU86" s="31"/>
      <c r="JXV86" s="31"/>
      <c r="JXW86" s="31"/>
      <c r="JXX86" s="31"/>
      <c r="JXY86" s="31"/>
      <c r="JXZ86" s="31"/>
      <c r="JYA86" s="31"/>
      <c r="JYB86" s="31"/>
      <c r="JYC86" s="31"/>
      <c r="JYD86" s="31"/>
      <c r="JYE86" s="31"/>
      <c r="JYF86" s="31"/>
      <c r="JYG86" s="31"/>
      <c r="JYH86" s="31"/>
      <c r="JYI86" s="31"/>
      <c r="JYJ86" s="31"/>
      <c r="JYK86" s="31"/>
      <c r="JYL86" s="31"/>
      <c r="JYM86" s="31"/>
      <c r="JYN86" s="31"/>
      <c r="JYO86" s="31"/>
      <c r="JYP86" s="31"/>
      <c r="JYQ86" s="31"/>
      <c r="JYR86" s="31"/>
      <c r="JYS86" s="31"/>
      <c r="JYT86" s="31"/>
      <c r="JYU86" s="31"/>
      <c r="JYV86" s="31"/>
      <c r="JYW86" s="31"/>
      <c r="JYX86" s="31"/>
      <c r="JYY86" s="31"/>
      <c r="JYZ86" s="31"/>
      <c r="JZA86" s="31"/>
      <c r="JZB86" s="31"/>
      <c r="JZC86" s="31"/>
      <c r="JZD86" s="31"/>
      <c r="JZE86" s="31"/>
      <c r="JZF86" s="31"/>
      <c r="JZG86" s="31"/>
      <c r="JZH86" s="31"/>
      <c r="JZI86" s="31"/>
      <c r="JZJ86" s="31"/>
      <c r="JZK86" s="31"/>
      <c r="JZL86" s="31"/>
      <c r="JZM86" s="31"/>
      <c r="JZN86" s="31"/>
      <c r="JZO86" s="31"/>
      <c r="JZP86" s="31"/>
      <c r="JZQ86" s="31"/>
      <c r="JZR86" s="31"/>
      <c r="JZS86" s="31"/>
      <c r="JZT86" s="31"/>
      <c r="JZU86" s="31"/>
      <c r="JZV86" s="31"/>
      <c r="JZW86" s="31"/>
      <c r="JZX86" s="31"/>
      <c r="JZY86" s="31"/>
      <c r="JZZ86" s="31"/>
      <c r="KAA86" s="31"/>
      <c r="KAB86" s="31"/>
      <c r="KAC86" s="31"/>
      <c r="KAD86" s="31"/>
      <c r="KAE86" s="31"/>
      <c r="KAF86" s="31"/>
      <c r="KAG86" s="31"/>
      <c r="KAH86" s="31"/>
      <c r="KAI86" s="31"/>
      <c r="KAJ86" s="31"/>
      <c r="KAK86" s="31"/>
      <c r="KAL86" s="31"/>
      <c r="KAM86" s="31"/>
      <c r="KAN86" s="31"/>
      <c r="KAO86" s="31"/>
      <c r="KAP86" s="31"/>
      <c r="KAQ86" s="31"/>
      <c r="KAR86" s="31"/>
      <c r="KAS86" s="31"/>
      <c r="KAT86" s="31"/>
      <c r="KAU86" s="31"/>
      <c r="KAV86" s="31"/>
      <c r="KAW86" s="31"/>
      <c r="KAX86" s="31"/>
      <c r="KAY86" s="31"/>
      <c r="KAZ86" s="31"/>
      <c r="KBA86" s="31"/>
      <c r="KBB86" s="31"/>
      <c r="KBC86" s="31"/>
      <c r="KBD86" s="31"/>
      <c r="KBE86" s="31"/>
      <c r="KBF86" s="31"/>
      <c r="KBG86" s="31"/>
      <c r="KBH86" s="31"/>
      <c r="KBI86" s="31"/>
      <c r="KBJ86" s="31"/>
      <c r="KBK86" s="31"/>
      <c r="KBL86" s="31"/>
      <c r="KBM86" s="31"/>
      <c r="KBN86" s="31"/>
      <c r="KBO86" s="31"/>
      <c r="KBP86" s="31"/>
      <c r="KBQ86" s="31"/>
      <c r="KBR86" s="31"/>
      <c r="KBS86" s="31"/>
      <c r="KBT86" s="31"/>
      <c r="KBU86" s="31"/>
      <c r="KBV86" s="31"/>
      <c r="KBW86" s="31"/>
      <c r="KBX86" s="31"/>
      <c r="KBY86" s="31"/>
      <c r="KBZ86" s="31"/>
      <c r="KCA86" s="31"/>
      <c r="KCB86" s="31"/>
      <c r="KCC86" s="31"/>
      <c r="KCD86" s="31"/>
      <c r="KCE86" s="31"/>
      <c r="KCF86" s="31"/>
      <c r="KCG86" s="31"/>
      <c r="KCH86" s="31"/>
      <c r="KCI86" s="31"/>
      <c r="KCJ86" s="31"/>
      <c r="KCK86" s="31"/>
      <c r="KCL86" s="31"/>
      <c r="KCM86" s="31"/>
      <c r="KCN86" s="31"/>
      <c r="KCO86" s="31"/>
      <c r="KCP86" s="31"/>
      <c r="KCQ86" s="31"/>
      <c r="KCR86" s="31"/>
      <c r="KCS86" s="31"/>
      <c r="KCT86" s="31"/>
      <c r="KCU86" s="31"/>
      <c r="KCV86" s="31"/>
      <c r="KCW86" s="31"/>
      <c r="KCX86" s="31"/>
      <c r="KCY86" s="31"/>
      <c r="KCZ86" s="31"/>
      <c r="KDA86" s="31"/>
      <c r="KDB86" s="31"/>
      <c r="KDC86" s="31"/>
      <c r="KDD86" s="31"/>
      <c r="KDE86" s="31"/>
      <c r="KDF86" s="31"/>
      <c r="KDG86" s="31"/>
      <c r="KDH86" s="31"/>
      <c r="KDI86" s="31"/>
      <c r="KDJ86" s="31"/>
      <c r="KDK86" s="31"/>
      <c r="KDL86" s="31"/>
      <c r="KDM86" s="31"/>
      <c r="KDN86" s="31"/>
      <c r="KDO86" s="31"/>
      <c r="KDP86" s="31"/>
      <c r="KDQ86" s="31"/>
      <c r="KDR86" s="31"/>
      <c r="KDS86" s="31"/>
      <c r="KDT86" s="31"/>
      <c r="KDU86" s="31"/>
      <c r="KDV86" s="31"/>
      <c r="KDW86" s="31"/>
      <c r="KDX86" s="31"/>
      <c r="KDY86" s="31"/>
      <c r="KDZ86" s="31"/>
      <c r="KEA86" s="31"/>
      <c r="KEB86" s="31"/>
      <c r="KEC86" s="31"/>
      <c r="KED86" s="31"/>
      <c r="KEE86" s="31"/>
      <c r="KEF86" s="31"/>
      <c r="KEG86" s="31"/>
      <c r="KEH86" s="31"/>
      <c r="KEI86" s="31"/>
      <c r="KEJ86" s="31"/>
      <c r="KEK86" s="31"/>
      <c r="KEL86" s="31"/>
      <c r="KEM86" s="31"/>
      <c r="KEN86" s="31"/>
      <c r="KEO86" s="31"/>
      <c r="KEP86" s="31"/>
      <c r="KEQ86" s="31"/>
      <c r="KER86" s="31"/>
      <c r="KES86" s="31"/>
      <c r="KET86" s="31"/>
      <c r="KEU86" s="31"/>
      <c r="KEV86" s="31"/>
      <c r="KEW86" s="31"/>
      <c r="KEX86" s="31"/>
      <c r="KEY86" s="31"/>
      <c r="KEZ86" s="31"/>
      <c r="KFA86" s="31"/>
      <c r="KFB86" s="31"/>
      <c r="KFC86" s="31"/>
      <c r="KFD86" s="31"/>
      <c r="KFE86" s="31"/>
      <c r="KFF86" s="31"/>
      <c r="KFG86" s="31"/>
      <c r="KFH86" s="31"/>
      <c r="KFI86" s="31"/>
      <c r="KFJ86" s="31"/>
      <c r="KFK86" s="31"/>
      <c r="KFL86" s="31"/>
      <c r="KFM86" s="31"/>
      <c r="KFN86" s="31"/>
      <c r="KFO86" s="31"/>
      <c r="KFP86" s="31"/>
      <c r="KFQ86" s="31"/>
      <c r="KFR86" s="31"/>
      <c r="KFS86" s="31"/>
      <c r="KFT86" s="31"/>
      <c r="KFU86" s="31"/>
      <c r="KFV86" s="31"/>
      <c r="KFW86" s="31"/>
      <c r="KFX86" s="31"/>
      <c r="KFY86" s="31"/>
      <c r="KFZ86" s="31"/>
      <c r="KGA86" s="31"/>
      <c r="KGB86" s="31"/>
      <c r="KGC86" s="31"/>
      <c r="KGD86" s="31"/>
      <c r="KGE86" s="31"/>
      <c r="KGF86" s="31"/>
      <c r="KGG86" s="31"/>
      <c r="KGH86" s="31"/>
      <c r="KGI86" s="31"/>
      <c r="KGJ86" s="31"/>
      <c r="KGK86" s="31"/>
      <c r="KGL86" s="31"/>
      <c r="KGM86" s="31"/>
      <c r="KGN86" s="31"/>
      <c r="KGO86" s="31"/>
      <c r="KGP86" s="31"/>
      <c r="KGQ86" s="31"/>
      <c r="KGR86" s="31"/>
      <c r="KGS86" s="31"/>
      <c r="KGT86" s="31"/>
      <c r="KGU86" s="31"/>
      <c r="KGV86" s="31"/>
      <c r="KGW86" s="31"/>
      <c r="KGX86" s="31"/>
      <c r="KGY86" s="31"/>
      <c r="KGZ86" s="31"/>
      <c r="KHA86" s="31"/>
      <c r="KHB86" s="31"/>
      <c r="KHC86" s="31"/>
      <c r="KHD86" s="31"/>
      <c r="KHE86" s="31"/>
      <c r="KHF86" s="31"/>
      <c r="KHG86" s="31"/>
      <c r="KHH86" s="31"/>
      <c r="KHI86" s="31"/>
      <c r="KHJ86" s="31"/>
      <c r="KHK86" s="31"/>
      <c r="KHL86" s="31"/>
      <c r="KHM86" s="31"/>
      <c r="KHN86" s="31"/>
      <c r="KHO86" s="31"/>
      <c r="KHP86" s="31"/>
      <c r="KHQ86" s="31"/>
      <c r="KHR86" s="31"/>
      <c r="KHS86" s="31"/>
      <c r="KHT86" s="31"/>
      <c r="KHU86" s="31"/>
      <c r="KHV86" s="31"/>
      <c r="KHW86" s="31"/>
      <c r="KHX86" s="31"/>
      <c r="KHY86" s="31"/>
      <c r="KHZ86" s="31"/>
      <c r="KIA86" s="31"/>
      <c r="KIB86" s="31"/>
      <c r="KIC86" s="31"/>
      <c r="KID86" s="31"/>
      <c r="KIE86" s="31"/>
      <c r="KIF86" s="31"/>
      <c r="KIG86" s="31"/>
      <c r="KIH86" s="31"/>
      <c r="KII86" s="31"/>
      <c r="KIJ86" s="31"/>
      <c r="KIK86" s="31"/>
      <c r="KIL86" s="31"/>
      <c r="KIM86" s="31"/>
      <c r="KIN86" s="31"/>
      <c r="KIO86" s="31"/>
      <c r="KIP86" s="31"/>
      <c r="KIQ86" s="31"/>
      <c r="KIR86" s="31"/>
      <c r="KIS86" s="31"/>
      <c r="KIT86" s="31"/>
      <c r="KIU86" s="31"/>
      <c r="KIV86" s="31"/>
      <c r="KIW86" s="31"/>
      <c r="KIX86" s="31"/>
      <c r="KIY86" s="31"/>
      <c r="KIZ86" s="31"/>
      <c r="KJA86" s="31"/>
      <c r="KJB86" s="31"/>
      <c r="KJC86" s="31"/>
      <c r="KJD86" s="31"/>
      <c r="KJE86" s="31"/>
      <c r="KJF86" s="31"/>
      <c r="KJG86" s="31"/>
      <c r="KJH86" s="31"/>
      <c r="KJI86" s="31"/>
      <c r="KJJ86" s="31"/>
      <c r="KJK86" s="31"/>
      <c r="KJL86" s="31"/>
      <c r="KJM86" s="31"/>
      <c r="KJN86" s="31"/>
      <c r="KJO86" s="31"/>
      <c r="KJP86" s="31"/>
      <c r="KJQ86" s="31"/>
      <c r="KJR86" s="31"/>
      <c r="KJS86" s="31"/>
      <c r="KJT86" s="31"/>
      <c r="KJU86" s="31"/>
      <c r="KJV86" s="31"/>
      <c r="KJW86" s="31"/>
      <c r="KJX86" s="31"/>
      <c r="KJY86" s="31"/>
      <c r="KJZ86" s="31"/>
      <c r="KKA86" s="31"/>
      <c r="KKB86" s="31"/>
      <c r="KKC86" s="31"/>
      <c r="KKD86" s="31"/>
      <c r="KKE86" s="31"/>
      <c r="KKF86" s="31"/>
      <c r="KKG86" s="31"/>
      <c r="KKH86" s="31"/>
      <c r="KKI86" s="31"/>
      <c r="KKJ86" s="31"/>
      <c r="KKK86" s="31"/>
      <c r="KKL86" s="31"/>
      <c r="KKM86" s="31"/>
      <c r="KKN86" s="31"/>
      <c r="KKO86" s="31"/>
      <c r="KKP86" s="31"/>
      <c r="KKQ86" s="31"/>
      <c r="KKR86" s="31"/>
      <c r="KKS86" s="31"/>
      <c r="KKT86" s="31"/>
      <c r="KKU86" s="31"/>
      <c r="KKV86" s="31"/>
      <c r="KKW86" s="31"/>
      <c r="KKX86" s="31"/>
      <c r="KKY86" s="31"/>
      <c r="KKZ86" s="31"/>
      <c r="KLA86" s="31"/>
      <c r="KLB86" s="31"/>
      <c r="KLC86" s="31"/>
      <c r="KLD86" s="31"/>
      <c r="KLE86" s="31"/>
      <c r="KLF86" s="31"/>
      <c r="KLG86" s="31"/>
      <c r="KLH86" s="31"/>
      <c r="KLI86" s="31"/>
      <c r="KLJ86" s="31"/>
      <c r="KLK86" s="31"/>
      <c r="KLL86" s="31"/>
      <c r="KLM86" s="31"/>
      <c r="KLN86" s="31"/>
      <c r="KLO86" s="31"/>
      <c r="KLP86" s="31"/>
      <c r="KLQ86" s="31"/>
      <c r="KLR86" s="31"/>
      <c r="KLS86" s="31"/>
      <c r="KLT86" s="31"/>
      <c r="KLU86" s="31"/>
      <c r="KLV86" s="31"/>
      <c r="KLW86" s="31"/>
      <c r="KLX86" s="31"/>
      <c r="KLY86" s="31"/>
      <c r="KLZ86" s="31"/>
      <c r="KMA86" s="31"/>
      <c r="KMB86" s="31"/>
      <c r="KMC86" s="31"/>
      <c r="KMD86" s="31"/>
      <c r="KME86" s="31"/>
      <c r="KMF86" s="31"/>
      <c r="KMG86" s="31"/>
      <c r="KMH86" s="31"/>
      <c r="KMI86" s="31"/>
      <c r="KMJ86" s="31"/>
      <c r="KMK86" s="31"/>
      <c r="KML86" s="31"/>
      <c r="KMM86" s="31"/>
      <c r="KMN86" s="31"/>
      <c r="KMO86" s="31"/>
      <c r="KMP86" s="31"/>
      <c r="KMQ86" s="31"/>
      <c r="KMR86" s="31"/>
      <c r="KMS86" s="31"/>
      <c r="KMT86" s="31"/>
      <c r="KMU86" s="31"/>
      <c r="KMV86" s="31"/>
      <c r="KMW86" s="31"/>
      <c r="KMX86" s="31"/>
      <c r="KMY86" s="31"/>
      <c r="KMZ86" s="31"/>
      <c r="KNA86" s="31"/>
      <c r="KNB86" s="31"/>
      <c r="KNC86" s="31"/>
      <c r="KND86" s="31"/>
      <c r="KNE86" s="31"/>
      <c r="KNF86" s="31"/>
      <c r="KNG86" s="31"/>
      <c r="KNH86" s="31"/>
      <c r="KNI86" s="31"/>
      <c r="KNJ86" s="31"/>
      <c r="KNK86" s="31"/>
      <c r="KNL86" s="31"/>
      <c r="KNM86" s="31"/>
      <c r="KNN86" s="31"/>
      <c r="KNO86" s="31"/>
      <c r="KNP86" s="31"/>
      <c r="KNQ86" s="31"/>
      <c r="KNR86" s="31"/>
      <c r="KNS86" s="31"/>
      <c r="KNT86" s="31"/>
      <c r="KNU86" s="31"/>
      <c r="KNV86" s="31"/>
      <c r="KNW86" s="31"/>
      <c r="KNX86" s="31"/>
      <c r="KNY86" s="31"/>
      <c r="KNZ86" s="31"/>
      <c r="KOA86" s="31"/>
      <c r="KOB86" s="31"/>
      <c r="KOC86" s="31"/>
      <c r="KOD86" s="31"/>
      <c r="KOE86" s="31"/>
      <c r="KOF86" s="31"/>
      <c r="KOG86" s="31"/>
      <c r="KOH86" s="31"/>
      <c r="KOI86" s="31"/>
      <c r="KOJ86" s="31"/>
      <c r="KOK86" s="31"/>
      <c r="KOL86" s="31"/>
      <c r="KOM86" s="31"/>
      <c r="KON86" s="31"/>
      <c r="KOO86" s="31"/>
      <c r="KOP86" s="31"/>
      <c r="KOQ86" s="31"/>
      <c r="KOR86" s="31"/>
      <c r="KOS86" s="31"/>
      <c r="KOT86" s="31"/>
      <c r="KOU86" s="31"/>
      <c r="KOV86" s="31"/>
      <c r="KOW86" s="31"/>
      <c r="KOX86" s="31"/>
      <c r="KOY86" s="31"/>
      <c r="KOZ86" s="31"/>
      <c r="KPA86" s="31"/>
      <c r="KPB86" s="31"/>
      <c r="KPC86" s="31"/>
      <c r="KPD86" s="31"/>
      <c r="KPE86" s="31"/>
      <c r="KPF86" s="31"/>
      <c r="KPG86" s="31"/>
      <c r="KPH86" s="31"/>
      <c r="KPI86" s="31"/>
      <c r="KPJ86" s="31"/>
      <c r="KPK86" s="31"/>
      <c r="KPL86" s="31"/>
      <c r="KPM86" s="31"/>
      <c r="KPN86" s="31"/>
      <c r="KPO86" s="31"/>
      <c r="KPP86" s="31"/>
      <c r="KPQ86" s="31"/>
      <c r="KPR86" s="31"/>
      <c r="KPS86" s="31"/>
      <c r="KPT86" s="31"/>
      <c r="KPU86" s="31"/>
      <c r="KPV86" s="31"/>
      <c r="KPW86" s="31"/>
      <c r="KPX86" s="31"/>
      <c r="KPY86" s="31"/>
      <c r="KPZ86" s="31"/>
      <c r="KQA86" s="31"/>
      <c r="KQB86" s="31"/>
      <c r="KQC86" s="31"/>
      <c r="KQD86" s="31"/>
      <c r="KQE86" s="31"/>
      <c r="KQF86" s="31"/>
      <c r="KQG86" s="31"/>
      <c r="KQH86" s="31"/>
      <c r="KQI86" s="31"/>
      <c r="KQJ86" s="31"/>
      <c r="KQK86" s="31"/>
      <c r="KQL86" s="31"/>
      <c r="KQM86" s="31"/>
      <c r="KQN86" s="31"/>
      <c r="KQO86" s="31"/>
      <c r="KQP86" s="31"/>
      <c r="KQQ86" s="31"/>
      <c r="KQR86" s="31"/>
      <c r="KQS86" s="31"/>
      <c r="KQT86" s="31"/>
      <c r="KQU86" s="31"/>
      <c r="KQV86" s="31"/>
      <c r="KQW86" s="31"/>
      <c r="KQX86" s="31"/>
      <c r="KQY86" s="31"/>
      <c r="KQZ86" s="31"/>
      <c r="KRA86" s="31"/>
      <c r="KRB86" s="31"/>
      <c r="KRC86" s="31"/>
      <c r="KRD86" s="31"/>
      <c r="KRE86" s="31"/>
      <c r="KRF86" s="31"/>
      <c r="KRG86" s="31"/>
      <c r="KRH86" s="31"/>
      <c r="KRI86" s="31"/>
      <c r="KRJ86" s="31"/>
      <c r="KRK86" s="31"/>
      <c r="KRL86" s="31"/>
      <c r="KRM86" s="31"/>
      <c r="KRN86" s="31"/>
      <c r="KRO86" s="31"/>
      <c r="KRP86" s="31"/>
      <c r="KRQ86" s="31"/>
      <c r="KRR86" s="31"/>
      <c r="KRS86" s="31"/>
      <c r="KRT86" s="31"/>
      <c r="KRU86" s="31"/>
      <c r="KRV86" s="31"/>
      <c r="KRW86" s="31"/>
      <c r="KRX86" s="31"/>
      <c r="KRY86" s="31"/>
      <c r="KRZ86" s="31"/>
      <c r="KSA86" s="31"/>
      <c r="KSB86" s="31"/>
      <c r="KSC86" s="31"/>
      <c r="KSD86" s="31"/>
      <c r="KSE86" s="31"/>
      <c r="KSF86" s="31"/>
      <c r="KSG86" s="31"/>
      <c r="KSH86" s="31"/>
      <c r="KSI86" s="31"/>
      <c r="KSJ86" s="31"/>
      <c r="KSK86" s="31"/>
      <c r="KSL86" s="31"/>
      <c r="KSM86" s="31"/>
      <c r="KSN86" s="31"/>
      <c r="KSO86" s="31"/>
      <c r="KSP86" s="31"/>
      <c r="KSQ86" s="31"/>
      <c r="KSR86" s="31"/>
      <c r="KSS86" s="31"/>
      <c r="KST86" s="31"/>
      <c r="KSU86" s="31"/>
      <c r="KSV86" s="31"/>
      <c r="KSW86" s="31"/>
      <c r="KSX86" s="31"/>
      <c r="KSY86" s="31"/>
      <c r="KSZ86" s="31"/>
      <c r="KTA86" s="31"/>
      <c r="KTB86" s="31"/>
      <c r="KTC86" s="31"/>
      <c r="KTD86" s="31"/>
      <c r="KTE86" s="31"/>
      <c r="KTF86" s="31"/>
      <c r="KTG86" s="31"/>
      <c r="KTH86" s="31"/>
      <c r="KTI86" s="31"/>
      <c r="KTJ86" s="31"/>
      <c r="KTK86" s="31"/>
      <c r="KTL86" s="31"/>
      <c r="KTM86" s="31"/>
      <c r="KTN86" s="31"/>
      <c r="KTO86" s="31"/>
      <c r="KTP86" s="31"/>
      <c r="KTQ86" s="31"/>
      <c r="KTR86" s="31"/>
      <c r="KTS86" s="31"/>
      <c r="KTT86" s="31"/>
      <c r="KTU86" s="31"/>
      <c r="KTV86" s="31"/>
      <c r="KTW86" s="31"/>
      <c r="KTX86" s="31"/>
      <c r="KTY86" s="31"/>
      <c r="KTZ86" s="31"/>
      <c r="KUA86" s="31"/>
      <c r="KUB86" s="31"/>
      <c r="KUC86" s="31"/>
      <c r="KUD86" s="31"/>
      <c r="KUE86" s="31"/>
      <c r="KUF86" s="31"/>
      <c r="KUG86" s="31"/>
      <c r="KUH86" s="31"/>
      <c r="KUI86" s="31"/>
      <c r="KUJ86" s="31"/>
      <c r="KUK86" s="31"/>
      <c r="KUL86" s="31"/>
      <c r="KUM86" s="31"/>
      <c r="KUN86" s="31"/>
      <c r="KUO86" s="31"/>
      <c r="KUP86" s="31"/>
      <c r="KUQ86" s="31"/>
      <c r="KUR86" s="31"/>
      <c r="KUS86" s="31"/>
      <c r="KUT86" s="31"/>
      <c r="KUU86" s="31"/>
      <c r="KUV86" s="31"/>
      <c r="KUW86" s="31"/>
      <c r="KUX86" s="31"/>
      <c r="KUY86" s="31"/>
      <c r="KUZ86" s="31"/>
      <c r="KVA86" s="31"/>
      <c r="KVB86" s="31"/>
      <c r="KVC86" s="31"/>
      <c r="KVD86" s="31"/>
      <c r="KVE86" s="31"/>
      <c r="KVF86" s="31"/>
      <c r="KVG86" s="31"/>
      <c r="KVH86" s="31"/>
      <c r="KVI86" s="31"/>
      <c r="KVJ86" s="31"/>
      <c r="KVK86" s="31"/>
      <c r="KVL86" s="31"/>
      <c r="KVM86" s="31"/>
      <c r="KVN86" s="31"/>
      <c r="KVO86" s="31"/>
      <c r="KVP86" s="31"/>
      <c r="KVQ86" s="31"/>
      <c r="KVR86" s="31"/>
      <c r="KVS86" s="31"/>
      <c r="KVT86" s="31"/>
      <c r="KVU86" s="31"/>
      <c r="KVV86" s="31"/>
      <c r="KVW86" s="31"/>
      <c r="KVX86" s="31"/>
      <c r="KVY86" s="31"/>
      <c r="KVZ86" s="31"/>
      <c r="KWA86" s="31"/>
      <c r="KWB86" s="31"/>
      <c r="KWC86" s="31"/>
      <c r="KWD86" s="31"/>
      <c r="KWE86" s="31"/>
      <c r="KWF86" s="31"/>
      <c r="KWG86" s="31"/>
      <c r="KWH86" s="31"/>
      <c r="KWI86" s="31"/>
      <c r="KWJ86" s="31"/>
      <c r="KWK86" s="31"/>
      <c r="KWL86" s="31"/>
      <c r="KWM86" s="31"/>
      <c r="KWN86" s="31"/>
      <c r="KWO86" s="31"/>
      <c r="KWP86" s="31"/>
      <c r="KWQ86" s="31"/>
      <c r="KWR86" s="31"/>
      <c r="KWS86" s="31"/>
      <c r="KWT86" s="31"/>
      <c r="KWU86" s="31"/>
      <c r="KWV86" s="31"/>
      <c r="KWW86" s="31"/>
      <c r="KWX86" s="31"/>
      <c r="KWY86" s="31"/>
      <c r="KWZ86" s="31"/>
      <c r="KXA86" s="31"/>
      <c r="KXB86" s="31"/>
      <c r="KXC86" s="31"/>
      <c r="KXD86" s="31"/>
      <c r="KXE86" s="31"/>
      <c r="KXF86" s="31"/>
      <c r="KXG86" s="31"/>
      <c r="KXH86" s="31"/>
      <c r="KXI86" s="31"/>
      <c r="KXJ86" s="31"/>
      <c r="KXK86" s="31"/>
      <c r="KXL86" s="31"/>
      <c r="KXM86" s="31"/>
      <c r="KXN86" s="31"/>
      <c r="KXO86" s="31"/>
      <c r="KXP86" s="31"/>
      <c r="KXQ86" s="31"/>
      <c r="KXR86" s="31"/>
      <c r="KXS86" s="31"/>
      <c r="KXT86" s="31"/>
      <c r="KXU86" s="31"/>
      <c r="KXV86" s="31"/>
      <c r="KXW86" s="31"/>
      <c r="KXX86" s="31"/>
      <c r="KXY86" s="31"/>
      <c r="KXZ86" s="31"/>
      <c r="KYA86" s="31"/>
      <c r="KYB86" s="31"/>
      <c r="KYC86" s="31"/>
      <c r="KYD86" s="31"/>
      <c r="KYE86" s="31"/>
      <c r="KYF86" s="31"/>
      <c r="KYG86" s="31"/>
      <c r="KYH86" s="31"/>
      <c r="KYI86" s="31"/>
      <c r="KYJ86" s="31"/>
      <c r="KYK86" s="31"/>
      <c r="KYL86" s="31"/>
      <c r="KYM86" s="31"/>
      <c r="KYN86" s="31"/>
      <c r="KYO86" s="31"/>
      <c r="KYP86" s="31"/>
      <c r="KYQ86" s="31"/>
      <c r="KYR86" s="31"/>
      <c r="KYS86" s="31"/>
      <c r="KYT86" s="31"/>
      <c r="KYU86" s="31"/>
      <c r="KYV86" s="31"/>
      <c r="KYW86" s="31"/>
      <c r="KYX86" s="31"/>
      <c r="KYY86" s="31"/>
      <c r="KYZ86" s="31"/>
      <c r="KZA86" s="31"/>
      <c r="KZB86" s="31"/>
      <c r="KZC86" s="31"/>
      <c r="KZD86" s="31"/>
      <c r="KZE86" s="31"/>
      <c r="KZF86" s="31"/>
      <c r="KZG86" s="31"/>
      <c r="KZH86" s="31"/>
      <c r="KZI86" s="31"/>
      <c r="KZJ86" s="31"/>
      <c r="KZK86" s="31"/>
      <c r="KZL86" s="31"/>
      <c r="KZM86" s="31"/>
      <c r="KZN86" s="31"/>
      <c r="KZO86" s="31"/>
      <c r="KZP86" s="31"/>
      <c r="KZQ86" s="31"/>
      <c r="KZR86" s="31"/>
      <c r="KZS86" s="31"/>
      <c r="KZT86" s="31"/>
      <c r="KZU86" s="31"/>
      <c r="KZV86" s="31"/>
      <c r="KZW86" s="31"/>
      <c r="KZX86" s="31"/>
      <c r="KZY86" s="31"/>
      <c r="KZZ86" s="31"/>
      <c r="LAA86" s="31"/>
      <c r="LAB86" s="31"/>
      <c r="LAC86" s="31"/>
      <c r="LAD86" s="31"/>
      <c r="LAE86" s="31"/>
      <c r="LAF86" s="31"/>
      <c r="LAG86" s="31"/>
      <c r="LAH86" s="31"/>
      <c r="LAI86" s="31"/>
      <c r="LAJ86" s="31"/>
      <c r="LAK86" s="31"/>
      <c r="LAL86" s="31"/>
      <c r="LAM86" s="31"/>
      <c r="LAN86" s="31"/>
      <c r="LAO86" s="31"/>
      <c r="LAP86" s="31"/>
      <c r="LAQ86" s="31"/>
      <c r="LAR86" s="31"/>
      <c r="LAS86" s="31"/>
      <c r="LAT86" s="31"/>
      <c r="LAU86" s="31"/>
      <c r="LAV86" s="31"/>
      <c r="LAW86" s="31"/>
      <c r="LAX86" s="31"/>
      <c r="LAY86" s="31"/>
      <c r="LAZ86" s="31"/>
      <c r="LBA86" s="31"/>
      <c r="LBB86" s="31"/>
      <c r="LBC86" s="31"/>
      <c r="LBD86" s="31"/>
      <c r="LBE86" s="31"/>
      <c r="LBF86" s="31"/>
      <c r="LBG86" s="31"/>
      <c r="LBH86" s="31"/>
      <c r="LBI86" s="31"/>
      <c r="LBJ86" s="31"/>
      <c r="LBK86" s="31"/>
      <c r="LBL86" s="31"/>
      <c r="LBM86" s="31"/>
      <c r="LBN86" s="31"/>
      <c r="LBO86" s="31"/>
      <c r="LBP86" s="31"/>
      <c r="LBQ86" s="31"/>
      <c r="LBR86" s="31"/>
      <c r="LBS86" s="31"/>
      <c r="LBT86" s="31"/>
      <c r="LBU86" s="31"/>
      <c r="LBV86" s="31"/>
      <c r="LBW86" s="31"/>
      <c r="LBX86" s="31"/>
      <c r="LBY86" s="31"/>
      <c r="LBZ86" s="31"/>
      <c r="LCA86" s="31"/>
      <c r="LCB86" s="31"/>
      <c r="LCC86" s="31"/>
      <c r="LCD86" s="31"/>
      <c r="LCE86" s="31"/>
      <c r="LCF86" s="31"/>
      <c r="LCG86" s="31"/>
      <c r="LCH86" s="31"/>
      <c r="LCI86" s="31"/>
      <c r="LCJ86" s="31"/>
      <c r="LCK86" s="31"/>
      <c r="LCL86" s="31"/>
      <c r="LCM86" s="31"/>
      <c r="LCN86" s="31"/>
      <c r="LCO86" s="31"/>
      <c r="LCP86" s="31"/>
      <c r="LCQ86" s="31"/>
      <c r="LCR86" s="31"/>
      <c r="LCS86" s="31"/>
      <c r="LCT86" s="31"/>
      <c r="LCU86" s="31"/>
      <c r="LCV86" s="31"/>
      <c r="LCW86" s="31"/>
      <c r="LCX86" s="31"/>
      <c r="LCY86" s="31"/>
      <c r="LCZ86" s="31"/>
      <c r="LDA86" s="31"/>
      <c r="LDB86" s="31"/>
      <c r="LDC86" s="31"/>
      <c r="LDD86" s="31"/>
      <c r="LDE86" s="31"/>
      <c r="LDF86" s="31"/>
      <c r="LDG86" s="31"/>
      <c r="LDH86" s="31"/>
      <c r="LDI86" s="31"/>
      <c r="LDJ86" s="31"/>
      <c r="LDK86" s="31"/>
      <c r="LDL86" s="31"/>
      <c r="LDM86" s="31"/>
      <c r="LDN86" s="31"/>
      <c r="LDO86" s="31"/>
      <c r="LDP86" s="31"/>
      <c r="LDQ86" s="31"/>
      <c r="LDR86" s="31"/>
      <c r="LDS86" s="31"/>
      <c r="LDT86" s="31"/>
      <c r="LDU86" s="31"/>
      <c r="LDV86" s="31"/>
      <c r="LDW86" s="31"/>
      <c r="LDX86" s="31"/>
      <c r="LDY86" s="31"/>
      <c r="LDZ86" s="31"/>
      <c r="LEA86" s="31"/>
      <c r="LEB86" s="31"/>
      <c r="LEC86" s="31"/>
      <c r="LED86" s="31"/>
      <c r="LEE86" s="31"/>
      <c r="LEF86" s="31"/>
      <c r="LEG86" s="31"/>
      <c r="LEH86" s="31"/>
      <c r="LEI86" s="31"/>
      <c r="LEJ86" s="31"/>
      <c r="LEK86" s="31"/>
      <c r="LEL86" s="31"/>
      <c r="LEM86" s="31"/>
      <c r="LEN86" s="31"/>
      <c r="LEO86" s="31"/>
      <c r="LEP86" s="31"/>
      <c r="LEQ86" s="31"/>
      <c r="LER86" s="31"/>
      <c r="LES86" s="31"/>
      <c r="LET86" s="31"/>
      <c r="LEU86" s="31"/>
      <c r="LEV86" s="31"/>
      <c r="LEW86" s="31"/>
      <c r="LEX86" s="31"/>
      <c r="LEY86" s="31"/>
      <c r="LEZ86" s="31"/>
      <c r="LFA86" s="31"/>
      <c r="LFB86" s="31"/>
      <c r="LFC86" s="31"/>
      <c r="LFD86" s="31"/>
      <c r="LFE86" s="31"/>
      <c r="LFF86" s="31"/>
      <c r="LFG86" s="31"/>
      <c r="LFH86" s="31"/>
      <c r="LFI86" s="31"/>
      <c r="LFJ86" s="31"/>
      <c r="LFK86" s="31"/>
      <c r="LFL86" s="31"/>
      <c r="LFM86" s="31"/>
      <c r="LFN86" s="31"/>
      <c r="LFO86" s="31"/>
      <c r="LFP86" s="31"/>
      <c r="LFQ86" s="31"/>
      <c r="LFR86" s="31"/>
      <c r="LFS86" s="31"/>
      <c r="LFT86" s="31"/>
      <c r="LFU86" s="31"/>
      <c r="LFV86" s="31"/>
      <c r="LFW86" s="31"/>
      <c r="LFX86" s="31"/>
      <c r="LFY86" s="31"/>
      <c r="LFZ86" s="31"/>
      <c r="LGA86" s="31"/>
      <c r="LGB86" s="31"/>
      <c r="LGC86" s="31"/>
      <c r="LGD86" s="31"/>
      <c r="LGE86" s="31"/>
      <c r="LGF86" s="31"/>
      <c r="LGG86" s="31"/>
      <c r="LGH86" s="31"/>
      <c r="LGI86" s="31"/>
      <c r="LGJ86" s="31"/>
      <c r="LGK86" s="31"/>
      <c r="LGL86" s="31"/>
      <c r="LGM86" s="31"/>
      <c r="LGN86" s="31"/>
      <c r="LGO86" s="31"/>
      <c r="LGP86" s="31"/>
      <c r="LGQ86" s="31"/>
      <c r="LGR86" s="31"/>
      <c r="LGS86" s="31"/>
      <c r="LGT86" s="31"/>
      <c r="LGU86" s="31"/>
      <c r="LGV86" s="31"/>
      <c r="LGW86" s="31"/>
      <c r="LGX86" s="31"/>
      <c r="LGY86" s="31"/>
      <c r="LGZ86" s="31"/>
      <c r="LHA86" s="31"/>
      <c r="LHB86" s="31"/>
      <c r="LHC86" s="31"/>
      <c r="LHD86" s="31"/>
      <c r="LHE86" s="31"/>
      <c r="LHF86" s="31"/>
      <c r="LHG86" s="31"/>
      <c r="LHH86" s="31"/>
      <c r="LHI86" s="31"/>
      <c r="LHJ86" s="31"/>
      <c r="LHK86" s="31"/>
      <c r="LHL86" s="31"/>
      <c r="LHM86" s="31"/>
      <c r="LHN86" s="31"/>
      <c r="LHO86" s="31"/>
      <c r="LHP86" s="31"/>
      <c r="LHQ86" s="31"/>
      <c r="LHR86" s="31"/>
      <c r="LHS86" s="31"/>
      <c r="LHT86" s="31"/>
      <c r="LHU86" s="31"/>
      <c r="LHV86" s="31"/>
      <c r="LHW86" s="31"/>
      <c r="LHX86" s="31"/>
      <c r="LHY86" s="31"/>
      <c r="LHZ86" s="31"/>
      <c r="LIA86" s="31"/>
      <c r="LIB86" s="31"/>
      <c r="LIC86" s="31"/>
      <c r="LID86" s="31"/>
      <c r="LIE86" s="31"/>
      <c r="LIF86" s="31"/>
      <c r="LIG86" s="31"/>
      <c r="LIH86" s="31"/>
      <c r="LII86" s="31"/>
      <c r="LIJ86" s="31"/>
      <c r="LIK86" s="31"/>
      <c r="LIL86" s="31"/>
      <c r="LIM86" s="31"/>
      <c r="LIN86" s="31"/>
      <c r="LIO86" s="31"/>
      <c r="LIP86" s="31"/>
      <c r="LIQ86" s="31"/>
      <c r="LIR86" s="31"/>
      <c r="LIS86" s="31"/>
      <c r="LIT86" s="31"/>
      <c r="LIU86" s="31"/>
      <c r="LIV86" s="31"/>
      <c r="LIW86" s="31"/>
      <c r="LIX86" s="31"/>
      <c r="LIY86" s="31"/>
      <c r="LIZ86" s="31"/>
      <c r="LJA86" s="31"/>
      <c r="LJB86" s="31"/>
      <c r="LJC86" s="31"/>
      <c r="LJD86" s="31"/>
      <c r="LJE86" s="31"/>
      <c r="LJF86" s="31"/>
      <c r="LJG86" s="31"/>
      <c r="LJH86" s="31"/>
      <c r="LJI86" s="31"/>
      <c r="LJJ86" s="31"/>
      <c r="LJK86" s="31"/>
      <c r="LJL86" s="31"/>
      <c r="LJM86" s="31"/>
      <c r="LJN86" s="31"/>
      <c r="LJO86" s="31"/>
      <c r="LJP86" s="31"/>
      <c r="LJQ86" s="31"/>
      <c r="LJR86" s="31"/>
      <c r="LJS86" s="31"/>
      <c r="LJT86" s="31"/>
      <c r="LJU86" s="31"/>
      <c r="LJV86" s="31"/>
      <c r="LJW86" s="31"/>
      <c r="LJX86" s="31"/>
      <c r="LJY86" s="31"/>
      <c r="LJZ86" s="31"/>
      <c r="LKA86" s="31"/>
      <c r="LKB86" s="31"/>
      <c r="LKC86" s="31"/>
      <c r="LKD86" s="31"/>
      <c r="LKE86" s="31"/>
      <c r="LKF86" s="31"/>
      <c r="LKG86" s="31"/>
      <c r="LKH86" s="31"/>
      <c r="LKI86" s="31"/>
      <c r="LKJ86" s="31"/>
      <c r="LKK86" s="31"/>
      <c r="LKL86" s="31"/>
      <c r="LKM86" s="31"/>
      <c r="LKN86" s="31"/>
      <c r="LKO86" s="31"/>
      <c r="LKP86" s="31"/>
      <c r="LKQ86" s="31"/>
      <c r="LKR86" s="31"/>
      <c r="LKS86" s="31"/>
      <c r="LKT86" s="31"/>
      <c r="LKU86" s="31"/>
      <c r="LKV86" s="31"/>
      <c r="LKW86" s="31"/>
      <c r="LKX86" s="31"/>
      <c r="LKY86" s="31"/>
      <c r="LKZ86" s="31"/>
      <c r="LLA86" s="31"/>
      <c r="LLB86" s="31"/>
      <c r="LLC86" s="31"/>
      <c r="LLD86" s="31"/>
      <c r="LLE86" s="31"/>
      <c r="LLF86" s="31"/>
      <c r="LLG86" s="31"/>
      <c r="LLH86" s="31"/>
      <c r="LLI86" s="31"/>
      <c r="LLJ86" s="31"/>
      <c r="LLK86" s="31"/>
      <c r="LLL86" s="31"/>
      <c r="LLM86" s="31"/>
      <c r="LLN86" s="31"/>
      <c r="LLO86" s="31"/>
      <c r="LLP86" s="31"/>
      <c r="LLQ86" s="31"/>
      <c r="LLR86" s="31"/>
      <c r="LLS86" s="31"/>
      <c r="LLT86" s="31"/>
      <c r="LLU86" s="31"/>
      <c r="LLV86" s="31"/>
      <c r="LLW86" s="31"/>
      <c r="LLX86" s="31"/>
      <c r="LLY86" s="31"/>
      <c r="LLZ86" s="31"/>
      <c r="LMA86" s="31"/>
      <c r="LMB86" s="31"/>
      <c r="LMC86" s="31"/>
      <c r="LMD86" s="31"/>
      <c r="LME86" s="31"/>
      <c r="LMF86" s="31"/>
      <c r="LMG86" s="31"/>
      <c r="LMH86" s="31"/>
      <c r="LMI86" s="31"/>
      <c r="LMJ86" s="31"/>
      <c r="LMK86" s="31"/>
      <c r="LML86" s="31"/>
      <c r="LMM86" s="31"/>
      <c r="LMN86" s="31"/>
      <c r="LMO86" s="31"/>
      <c r="LMP86" s="31"/>
      <c r="LMQ86" s="31"/>
      <c r="LMR86" s="31"/>
      <c r="LMS86" s="31"/>
      <c r="LMT86" s="31"/>
      <c r="LMU86" s="31"/>
      <c r="LMV86" s="31"/>
      <c r="LMW86" s="31"/>
      <c r="LMX86" s="31"/>
      <c r="LMY86" s="31"/>
      <c r="LMZ86" s="31"/>
      <c r="LNA86" s="31"/>
      <c r="LNB86" s="31"/>
      <c r="LNC86" s="31"/>
      <c r="LND86" s="31"/>
      <c r="LNE86" s="31"/>
      <c r="LNF86" s="31"/>
      <c r="LNG86" s="31"/>
      <c r="LNH86" s="31"/>
      <c r="LNI86" s="31"/>
      <c r="LNJ86" s="31"/>
      <c r="LNK86" s="31"/>
      <c r="LNL86" s="31"/>
      <c r="LNM86" s="31"/>
      <c r="LNN86" s="31"/>
      <c r="LNO86" s="31"/>
      <c r="LNP86" s="31"/>
      <c r="LNQ86" s="31"/>
      <c r="LNR86" s="31"/>
      <c r="LNS86" s="31"/>
      <c r="LNT86" s="31"/>
      <c r="LNU86" s="31"/>
      <c r="LNV86" s="31"/>
      <c r="LNW86" s="31"/>
      <c r="LNX86" s="31"/>
      <c r="LNY86" s="31"/>
      <c r="LNZ86" s="31"/>
      <c r="LOA86" s="31"/>
      <c r="LOB86" s="31"/>
      <c r="LOC86" s="31"/>
      <c r="LOD86" s="31"/>
      <c r="LOE86" s="31"/>
      <c r="LOF86" s="31"/>
      <c r="LOG86" s="31"/>
      <c r="LOH86" s="31"/>
      <c r="LOI86" s="31"/>
      <c r="LOJ86" s="31"/>
      <c r="LOK86" s="31"/>
      <c r="LOL86" s="31"/>
      <c r="LOM86" s="31"/>
      <c r="LON86" s="31"/>
      <c r="LOO86" s="31"/>
      <c r="LOP86" s="31"/>
      <c r="LOQ86" s="31"/>
      <c r="LOR86" s="31"/>
      <c r="LOS86" s="31"/>
      <c r="LOT86" s="31"/>
      <c r="LOU86" s="31"/>
      <c r="LOV86" s="31"/>
      <c r="LOW86" s="31"/>
      <c r="LOX86" s="31"/>
      <c r="LOY86" s="31"/>
      <c r="LOZ86" s="31"/>
      <c r="LPA86" s="31"/>
      <c r="LPB86" s="31"/>
      <c r="LPC86" s="31"/>
      <c r="LPD86" s="31"/>
      <c r="LPE86" s="31"/>
      <c r="LPF86" s="31"/>
      <c r="LPG86" s="31"/>
      <c r="LPH86" s="31"/>
      <c r="LPI86" s="31"/>
      <c r="LPJ86" s="31"/>
      <c r="LPK86" s="31"/>
      <c r="LPL86" s="31"/>
      <c r="LPM86" s="31"/>
      <c r="LPN86" s="31"/>
      <c r="LPO86" s="31"/>
      <c r="LPP86" s="31"/>
      <c r="LPQ86" s="31"/>
      <c r="LPR86" s="31"/>
      <c r="LPS86" s="31"/>
      <c r="LPT86" s="31"/>
      <c r="LPU86" s="31"/>
      <c r="LPV86" s="31"/>
      <c r="LPW86" s="31"/>
      <c r="LPX86" s="31"/>
      <c r="LPY86" s="31"/>
      <c r="LPZ86" s="31"/>
      <c r="LQA86" s="31"/>
      <c r="LQB86" s="31"/>
      <c r="LQC86" s="31"/>
      <c r="LQD86" s="31"/>
      <c r="LQE86" s="31"/>
      <c r="LQF86" s="31"/>
      <c r="LQG86" s="31"/>
      <c r="LQH86" s="31"/>
      <c r="LQI86" s="31"/>
      <c r="LQJ86" s="31"/>
      <c r="LQK86" s="31"/>
      <c r="LQL86" s="31"/>
      <c r="LQM86" s="31"/>
      <c r="LQN86" s="31"/>
      <c r="LQO86" s="31"/>
      <c r="LQP86" s="31"/>
      <c r="LQQ86" s="31"/>
      <c r="LQR86" s="31"/>
      <c r="LQS86" s="31"/>
      <c r="LQT86" s="31"/>
      <c r="LQU86" s="31"/>
      <c r="LQV86" s="31"/>
      <c r="LQW86" s="31"/>
      <c r="LQX86" s="31"/>
      <c r="LQY86" s="31"/>
      <c r="LQZ86" s="31"/>
      <c r="LRA86" s="31"/>
      <c r="LRB86" s="31"/>
      <c r="LRC86" s="31"/>
      <c r="LRD86" s="31"/>
      <c r="LRE86" s="31"/>
      <c r="LRF86" s="31"/>
      <c r="LRG86" s="31"/>
      <c r="LRH86" s="31"/>
      <c r="LRI86" s="31"/>
      <c r="LRJ86" s="31"/>
      <c r="LRK86" s="31"/>
      <c r="LRL86" s="31"/>
      <c r="LRM86" s="31"/>
      <c r="LRN86" s="31"/>
      <c r="LRO86" s="31"/>
      <c r="LRP86" s="31"/>
      <c r="LRQ86" s="31"/>
      <c r="LRR86" s="31"/>
      <c r="LRS86" s="31"/>
      <c r="LRT86" s="31"/>
      <c r="LRU86" s="31"/>
      <c r="LRV86" s="31"/>
      <c r="LRW86" s="31"/>
      <c r="LRX86" s="31"/>
      <c r="LRY86" s="31"/>
      <c r="LRZ86" s="31"/>
      <c r="LSA86" s="31"/>
      <c r="LSB86" s="31"/>
      <c r="LSC86" s="31"/>
      <c r="LSD86" s="31"/>
      <c r="LSE86" s="31"/>
      <c r="LSF86" s="31"/>
      <c r="LSG86" s="31"/>
      <c r="LSH86" s="31"/>
      <c r="LSI86" s="31"/>
      <c r="LSJ86" s="31"/>
      <c r="LSK86" s="31"/>
      <c r="LSL86" s="31"/>
      <c r="LSM86" s="31"/>
      <c r="LSN86" s="31"/>
      <c r="LSO86" s="31"/>
      <c r="LSP86" s="31"/>
      <c r="LSQ86" s="31"/>
      <c r="LSR86" s="31"/>
      <c r="LSS86" s="31"/>
      <c r="LST86" s="31"/>
      <c r="LSU86" s="31"/>
      <c r="LSV86" s="31"/>
      <c r="LSW86" s="31"/>
      <c r="LSX86" s="31"/>
      <c r="LSY86" s="31"/>
      <c r="LSZ86" s="31"/>
      <c r="LTA86" s="31"/>
      <c r="LTB86" s="31"/>
      <c r="LTC86" s="31"/>
      <c r="LTD86" s="31"/>
      <c r="LTE86" s="31"/>
      <c r="LTF86" s="31"/>
      <c r="LTG86" s="31"/>
      <c r="LTH86" s="31"/>
      <c r="LTI86" s="31"/>
      <c r="LTJ86" s="31"/>
      <c r="LTK86" s="31"/>
      <c r="LTL86" s="31"/>
      <c r="LTM86" s="31"/>
      <c r="LTN86" s="31"/>
      <c r="LTO86" s="31"/>
      <c r="LTP86" s="31"/>
      <c r="LTQ86" s="31"/>
      <c r="LTR86" s="31"/>
      <c r="LTS86" s="31"/>
      <c r="LTT86" s="31"/>
      <c r="LTU86" s="31"/>
      <c r="LTV86" s="31"/>
      <c r="LTW86" s="31"/>
      <c r="LTX86" s="31"/>
      <c r="LTY86" s="31"/>
      <c r="LTZ86" s="31"/>
      <c r="LUA86" s="31"/>
      <c r="LUB86" s="31"/>
      <c r="LUC86" s="31"/>
      <c r="LUD86" s="31"/>
      <c r="LUE86" s="31"/>
      <c r="LUF86" s="31"/>
      <c r="LUG86" s="31"/>
      <c r="LUH86" s="31"/>
      <c r="LUI86" s="31"/>
      <c r="LUJ86" s="31"/>
      <c r="LUK86" s="31"/>
      <c r="LUL86" s="31"/>
      <c r="LUM86" s="31"/>
      <c r="LUN86" s="31"/>
      <c r="LUO86" s="31"/>
      <c r="LUP86" s="31"/>
      <c r="LUQ86" s="31"/>
      <c r="LUR86" s="31"/>
      <c r="LUS86" s="31"/>
      <c r="LUT86" s="31"/>
      <c r="LUU86" s="31"/>
      <c r="LUV86" s="31"/>
      <c r="LUW86" s="31"/>
      <c r="LUX86" s="31"/>
      <c r="LUY86" s="31"/>
      <c r="LUZ86" s="31"/>
      <c r="LVA86" s="31"/>
      <c r="LVB86" s="31"/>
      <c r="LVC86" s="31"/>
      <c r="LVD86" s="31"/>
      <c r="LVE86" s="31"/>
      <c r="LVF86" s="31"/>
      <c r="LVG86" s="31"/>
      <c r="LVH86" s="31"/>
      <c r="LVI86" s="31"/>
      <c r="LVJ86" s="31"/>
      <c r="LVK86" s="31"/>
      <c r="LVL86" s="31"/>
      <c r="LVM86" s="31"/>
      <c r="LVN86" s="31"/>
      <c r="LVO86" s="31"/>
      <c r="LVP86" s="31"/>
      <c r="LVQ86" s="31"/>
      <c r="LVR86" s="31"/>
      <c r="LVS86" s="31"/>
      <c r="LVT86" s="31"/>
      <c r="LVU86" s="31"/>
      <c r="LVV86" s="31"/>
      <c r="LVW86" s="31"/>
      <c r="LVX86" s="31"/>
      <c r="LVY86" s="31"/>
      <c r="LVZ86" s="31"/>
      <c r="LWA86" s="31"/>
      <c r="LWB86" s="31"/>
      <c r="LWC86" s="31"/>
      <c r="LWD86" s="31"/>
      <c r="LWE86" s="31"/>
      <c r="LWF86" s="31"/>
      <c r="LWG86" s="31"/>
      <c r="LWH86" s="31"/>
      <c r="LWI86" s="31"/>
      <c r="LWJ86" s="31"/>
      <c r="LWK86" s="31"/>
      <c r="LWL86" s="31"/>
      <c r="LWM86" s="31"/>
      <c r="LWN86" s="31"/>
      <c r="LWO86" s="31"/>
      <c r="LWP86" s="31"/>
      <c r="LWQ86" s="31"/>
      <c r="LWR86" s="31"/>
      <c r="LWS86" s="31"/>
      <c r="LWT86" s="31"/>
      <c r="LWU86" s="31"/>
      <c r="LWV86" s="31"/>
      <c r="LWW86" s="31"/>
      <c r="LWX86" s="31"/>
      <c r="LWY86" s="31"/>
      <c r="LWZ86" s="31"/>
      <c r="LXA86" s="31"/>
      <c r="LXB86" s="31"/>
      <c r="LXC86" s="31"/>
      <c r="LXD86" s="31"/>
      <c r="LXE86" s="31"/>
      <c r="LXF86" s="31"/>
      <c r="LXG86" s="31"/>
      <c r="LXH86" s="31"/>
      <c r="LXI86" s="31"/>
      <c r="LXJ86" s="31"/>
      <c r="LXK86" s="31"/>
      <c r="LXL86" s="31"/>
      <c r="LXM86" s="31"/>
      <c r="LXN86" s="31"/>
      <c r="LXO86" s="31"/>
      <c r="LXP86" s="31"/>
      <c r="LXQ86" s="31"/>
      <c r="LXR86" s="31"/>
      <c r="LXS86" s="31"/>
      <c r="LXT86" s="31"/>
      <c r="LXU86" s="31"/>
      <c r="LXV86" s="31"/>
      <c r="LXW86" s="31"/>
      <c r="LXX86" s="31"/>
      <c r="LXY86" s="31"/>
      <c r="LXZ86" s="31"/>
      <c r="LYA86" s="31"/>
      <c r="LYB86" s="31"/>
      <c r="LYC86" s="31"/>
      <c r="LYD86" s="31"/>
      <c r="LYE86" s="31"/>
      <c r="LYF86" s="31"/>
      <c r="LYG86" s="31"/>
      <c r="LYH86" s="31"/>
      <c r="LYI86" s="31"/>
      <c r="LYJ86" s="31"/>
      <c r="LYK86" s="31"/>
      <c r="LYL86" s="31"/>
      <c r="LYM86" s="31"/>
      <c r="LYN86" s="31"/>
      <c r="LYO86" s="31"/>
      <c r="LYP86" s="31"/>
      <c r="LYQ86" s="31"/>
      <c r="LYR86" s="31"/>
      <c r="LYS86" s="31"/>
      <c r="LYT86" s="31"/>
      <c r="LYU86" s="31"/>
      <c r="LYV86" s="31"/>
      <c r="LYW86" s="31"/>
      <c r="LYX86" s="31"/>
      <c r="LYY86" s="31"/>
      <c r="LYZ86" s="31"/>
      <c r="LZA86" s="31"/>
      <c r="LZB86" s="31"/>
      <c r="LZC86" s="31"/>
      <c r="LZD86" s="31"/>
      <c r="LZE86" s="31"/>
      <c r="LZF86" s="31"/>
      <c r="LZG86" s="31"/>
      <c r="LZH86" s="31"/>
      <c r="LZI86" s="31"/>
      <c r="LZJ86" s="31"/>
      <c r="LZK86" s="31"/>
      <c r="LZL86" s="31"/>
      <c r="LZM86" s="31"/>
      <c r="LZN86" s="31"/>
      <c r="LZO86" s="31"/>
      <c r="LZP86" s="31"/>
      <c r="LZQ86" s="31"/>
      <c r="LZR86" s="31"/>
      <c r="LZS86" s="31"/>
      <c r="LZT86" s="31"/>
      <c r="LZU86" s="31"/>
      <c r="LZV86" s="31"/>
      <c r="LZW86" s="31"/>
      <c r="LZX86" s="31"/>
      <c r="LZY86" s="31"/>
      <c r="LZZ86" s="31"/>
      <c r="MAA86" s="31"/>
      <c r="MAB86" s="31"/>
      <c r="MAC86" s="31"/>
      <c r="MAD86" s="31"/>
      <c r="MAE86" s="31"/>
      <c r="MAF86" s="31"/>
      <c r="MAG86" s="31"/>
      <c r="MAH86" s="31"/>
      <c r="MAI86" s="31"/>
      <c r="MAJ86" s="31"/>
      <c r="MAK86" s="31"/>
      <c r="MAL86" s="31"/>
      <c r="MAM86" s="31"/>
      <c r="MAN86" s="31"/>
      <c r="MAO86" s="31"/>
      <c r="MAP86" s="31"/>
      <c r="MAQ86" s="31"/>
      <c r="MAR86" s="31"/>
      <c r="MAS86" s="31"/>
      <c r="MAT86" s="31"/>
      <c r="MAU86" s="31"/>
      <c r="MAV86" s="31"/>
      <c r="MAW86" s="31"/>
      <c r="MAX86" s="31"/>
      <c r="MAY86" s="31"/>
      <c r="MAZ86" s="31"/>
      <c r="MBA86" s="31"/>
      <c r="MBB86" s="31"/>
      <c r="MBC86" s="31"/>
      <c r="MBD86" s="31"/>
      <c r="MBE86" s="31"/>
      <c r="MBF86" s="31"/>
      <c r="MBG86" s="31"/>
      <c r="MBH86" s="31"/>
      <c r="MBI86" s="31"/>
      <c r="MBJ86" s="31"/>
      <c r="MBK86" s="31"/>
      <c r="MBL86" s="31"/>
      <c r="MBM86" s="31"/>
      <c r="MBN86" s="31"/>
      <c r="MBO86" s="31"/>
      <c r="MBP86" s="31"/>
      <c r="MBQ86" s="31"/>
      <c r="MBR86" s="31"/>
      <c r="MBS86" s="31"/>
      <c r="MBT86" s="31"/>
      <c r="MBU86" s="31"/>
      <c r="MBV86" s="31"/>
      <c r="MBW86" s="31"/>
      <c r="MBX86" s="31"/>
      <c r="MBY86" s="31"/>
      <c r="MBZ86" s="31"/>
      <c r="MCA86" s="31"/>
      <c r="MCB86" s="31"/>
      <c r="MCC86" s="31"/>
      <c r="MCD86" s="31"/>
      <c r="MCE86" s="31"/>
      <c r="MCF86" s="31"/>
      <c r="MCG86" s="31"/>
      <c r="MCH86" s="31"/>
      <c r="MCI86" s="31"/>
      <c r="MCJ86" s="31"/>
      <c r="MCK86" s="31"/>
      <c r="MCL86" s="31"/>
      <c r="MCM86" s="31"/>
      <c r="MCN86" s="31"/>
      <c r="MCO86" s="31"/>
      <c r="MCP86" s="31"/>
      <c r="MCQ86" s="31"/>
      <c r="MCR86" s="31"/>
      <c r="MCS86" s="31"/>
      <c r="MCT86" s="31"/>
      <c r="MCU86" s="31"/>
      <c r="MCV86" s="31"/>
      <c r="MCW86" s="31"/>
      <c r="MCX86" s="31"/>
      <c r="MCY86" s="31"/>
      <c r="MCZ86" s="31"/>
      <c r="MDA86" s="31"/>
      <c r="MDB86" s="31"/>
      <c r="MDC86" s="31"/>
      <c r="MDD86" s="31"/>
      <c r="MDE86" s="31"/>
      <c r="MDF86" s="31"/>
      <c r="MDG86" s="31"/>
      <c r="MDH86" s="31"/>
      <c r="MDI86" s="31"/>
      <c r="MDJ86" s="31"/>
      <c r="MDK86" s="31"/>
      <c r="MDL86" s="31"/>
      <c r="MDM86" s="31"/>
      <c r="MDN86" s="31"/>
      <c r="MDO86" s="31"/>
      <c r="MDP86" s="31"/>
      <c r="MDQ86" s="31"/>
      <c r="MDR86" s="31"/>
      <c r="MDS86" s="31"/>
      <c r="MDT86" s="31"/>
      <c r="MDU86" s="31"/>
      <c r="MDV86" s="31"/>
      <c r="MDW86" s="31"/>
      <c r="MDX86" s="31"/>
      <c r="MDY86" s="31"/>
      <c r="MDZ86" s="31"/>
      <c r="MEA86" s="31"/>
      <c r="MEB86" s="31"/>
      <c r="MEC86" s="31"/>
      <c r="MED86" s="31"/>
      <c r="MEE86" s="31"/>
      <c r="MEF86" s="31"/>
      <c r="MEG86" s="31"/>
      <c r="MEH86" s="31"/>
      <c r="MEI86" s="31"/>
      <c r="MEJ86" s="31"/>
      <c r="MEK86" s="31"/>
      <c r="MEL86" s="31"/>
      <c r="MEM86" s="31"/>
      <c r="MEN86" s="31"/>
      <c r="MEO86" s="31"/>
      <c r="MEP86" s="31"/>
      <c r="MEQ86" s="31"/>
      <c r="MER86" s="31"/>
      <c r="MES86" s="31"/>
      <c r="MET86" s="31"/>
      <c r="MEU86" s="31"/>
      <c r="MEV86" s="31"/>
      <c r="MEW86" s="31"/>
      <c r="MEX86" s="31"/>
      <c r="MEY86" s="31"/>
      <c r="MEZ86" s="31"/>
      <c r="MFA86" s="31"/>
      <c r="MFB86" s="31"/>
      <c r="MFC86" s="31"/>
      <c r="MFD86" s="31"/>
      <c r="MFE86" s="31"/>
      <c r="MFF86" s="31"/>
      <c r="MFG86" s="31"/>
      <c r="MFH86" s="31"/>
      <c r="MFI86" s="31"/>
      <c r="MFJ86" s="31"/>
      <c r="MFK86" s="31"/>
      <c r="MFL86" s="31"/>
      <c r="MFM86" s="31"/>
      <c r="MFN86" s="31"/>
      <c r="MFO86" s="31"/>
      <c r="MFP86" s="31"/>
      <c r="MFQ86" s="31"/>
      <c r="MFR86" s="31"/>
      <c r="MFS86" s="31"/>
      <c r="MFT86" s="31"/>
      <c r="MFU86" s="31"/>
      <c r="MFV86" s="31"/>
      <c r="MFW86" s="31"/>
      <c r="MFX86" s="31"/>
      <c r="MFY86" s="31"/>
      <c r="MFZ86" s="31"/>
      <c r="MGA86" s="31"/>
      <c r="MGB86" s="31"/>
      <c r="MGC86" s="31"/>
      <c r="MGD86" s="31"/>
      <c r="MGE86" s="31"/>
      <c r="MGF86" s="31"/>
      <c r="MGG86" s="31"/>
      <c r="MGH86" s="31"/>
      <c r="MGI86" s="31"/>
      <c r="MGJ86" s="31"/>
      <c r="MGK86" s="31"/>
      <c r="MGL86" s="31"/>
      <c r="MGM86" s="31"/>
      <c r="MGN86" s="31"/>
      <c r="MGO86" s="31"/>
      <c r="MGP86" s="31"/>
      <c r="MGQ86" s="31"/>
      <c r="MGR86" s="31"/>
      <c r="MGS86" s="31"/>
      <c r="MGT86" s="31"/>
      <c r="MGU86" s="31"/>
      <c r="MGV86" s="31"/>
      <c r="MGW86" s="31"/>
      <c r="MGX86" s="31"/>
      <c r="MGY86" s="31"/>
      <c r="MGZ86" s="31"/>
      <c r="MHA86" s="31"/>
      <c r="MHB86" s="31"/>
      <c r="MHC86" s="31"/>
      <c r="MHD86" s="31"/>
      <c r="MHE86" s="31"/>
      <c r="MHF86" s="31"/>
      <c r="MHG86" s="31"/>
      <c r="MHH86" s="31"/>
      <c r="MHI86" s="31"/>
      <c r="MHJ86" s="31"/>
      <c r="MHK86" s="31"/>
      <c r="MHL86" s="31"/>
      <c r="MHM86" s="31"/>
      <c r="MHN86" s="31"/>
      <c r="MHO86" s="31"/>
      <c r="MHP86" s="31"/>
      <c r="MHQ86" s="31"/>
      <c r="MHR86" s="31"/>
      <c r="MHS86" s="31"/>
      <c r="MHT86" s="31"/>
      <c r="MHU86" s="31"/>
      <c r="MHV86" s="31"/>
      <c r="MHW86" s="31"/>
      <c r="MHX86" s="31"/>
      <c r="MHY86" s="31"/>
      <c r="MHZ86" s="31"/>
      <c r="MIA86" s="31"/>
      <c r="MIB86" s="31"/>
      <c r="MIC86" s="31"/>
      <c r="MID86" s="31"/>
      <c r="MIE86" s="31"/>
      <c r="MIF86" s="31"/>
      <c r="MIG86" s="31"/>
      <c r="MIH86" s="31"/>
      <c r="MII86" s="31"/>
      <c r="MIJ86" s="31"/>
      <c r="MIK86" s="31"/>
      <c r="MIL86" s="31"/>
      <c r="MIM86" s="31"/>
      <c r="MIN86" s="31"/>
      <c r="MIO86" s="31"/>
      <c r="MIP86" s="31"/>
      <c r="MIQ86" s="31"/>
      <c r="MIR86" s="31"/>
      <c r="MIS86" s="31"/>
      <c r="MIT86" s="31"/>
      <c r="MIU86" s="31"/>
      <c r="MIV86" s="31"/>
      <c r="MIW86" s="31"/>
      <c r="MIX86" s="31"/>
      <c r="MIY86" s="31"/>
      <c r="MIZ86" s="31"/>
      <c r="MJA86" s="31"/>
      <c r="MJB86" s="31"/>
      <c r="MJC86" s="31"/>
      <c r="MJD86" s="31"/>
      <c r="MJE86" s="31"/>
      <c r="MJF86" s="31"/>
      <c r="MJG86" s="31"/>
      <c r="MJH86" s="31"/>
      <c r="MJI86" s="31"/>
      <c r="MJJ86" s="31"/>
      <c r="MJK86" s="31"/>
      <c r="MJL86" s="31"/>
      <c r="MJM86" s="31"/>
      <c r="MJN86" s="31"/>
      <c r="MJO86" s="31"/>
      <c r="MJP86" s="31"/>
      <c r="MJQ86" s="31"/>
      <c r="MJR86" s="31"/>
      <c r="MJS86" s="31"/>
      <c r="MJT86" s="31"/>
      <c r="MJU86" s="31"/>
      <c r="MJV86" s="31"/>
      <c r="MJW86" s="31"/>
      <c r="MJX86" s="31"/>
      <c r="MJY86" s="31"/>
      <c r="MJZ86" s="31"/>
      <c r="MKA86" s="31"/>
      <c r="MKB86" s="31"/>
      <c r="MKC86" s="31"/>
      <c r="MKD86" s="31"/>
      <c r="MKE86" s="31"/>
      <c r="MKF86" s="31"/>
      <c r="MKG86" s="31"/>
      <c r="MKH86" s="31"/>
      <c r="MKI86" s="31"/>
      <c r="MKJ86" s="31"/>
      <c r="MKK86" s="31"/>
      <c r="MKL86" s="31"/>
      <c r="MKM86" s="31"/>
      <c r="MKN86" s="31"/>
      <c r="MKO86" s="31"/>
      <c r="MKP86" s="31"/>
      <c r="MKQ86" s="31"/>
      <c r="MKR86" s="31"/>
      <c r="MKS86" s="31"/>
      <c r="MKT86" s="31"/>
      <c r="MKU86" s="31"/>
      <c r="MKV86" s="31"/>
      <c r="MKW86" s="31"/>
      <c r="MKX86" s="31"/>
      <c r="MKY86" s="31"/>
      <c r="MKZ86" s="31"/>
      <c r="MLA86" s="31"/>
      <c r="MLB86" s="31"/>
      <c r="MLC86" s="31"/>
      <c r="MLD86" s="31"/>
      <c r="MLE86" s="31"/>
      <c r="MLF86" s="31"/>
      <c r="MLG86" s="31"/>
      <c r="MLH86" s="31"/>
      <c r="MLI86" s="31"/>
      <c r="MLJ86" s="31"/>
      <c r="MLK86" s="31"/>
      <c r="MLL86" s="31"/>
      <c r="MLM86" s="31"/>
      <c r="MLN86" s="31"/>
      <c r="MLO86" s="31"/>
      <c r="MLP86" s="31"/>
      <c r="MLQ86" s="31"/>
      <c r="MLR86" s="31"/>
      <c r="MLS86" s="31"/>
      <c r="MLT86" s="31"/>
      <c r="MLU86" s="31"/>
      <c r="MLV86" s="31"/>
      <c r="MLW86" s="31"/>
      <c r="MLX86" s="31"/>
      <c r="MLY86" s="31"/>
      <c r="MLZ86" s="31"/>
      <c r="MMA86" s="31"/>
      <c r="MMB86" s="31"/>
      <c r="MMC86" s="31"/>
      <c r="MMD86" s="31"/>
      <c r="MME86" s="31"/>
      <c r="MMF86" s="31"/>
      <c r="MMG86" s="31"/>
      <c r="MMH86" s="31"/>
      <c r="MMI86" s="31"/>
      <c r="MMJ86" s="31"/>
      <c r="MMK86" s="31"/>
      <c r="MML86" s="31"/>
      <c r="MMM86" s="31"/>
      <c r="MMN86" s="31"/>
      <c r="MMO86" s="31"/>
      <c r="MMP86" s="31"/>
      <c r="MMQ86" s="31"/>
      <c r="MMR86" s="31"/>
      <c r="MMS86" s="31"/>
      <c r="MMT86" s="31"/>
      <c r="MMU86" s="31"/>
      <c r="MMV86" s="31"/>
      <c r="MMW86" s="31"/>
      <c r="MMX86" s="31"/>
      <c r="MMY86" s="31"/>
      <c r="MMZ86" s="31"/>
      <c r="MNA86" s="31"/>
      <c r="MNB86" s="31"/>
      <c r="MNC86" s="31"/>
      <c r="MND86" s="31"/>
      <c r="MNE86" s="31"/>
      <c r="MNF86" s="31"/>
      <c r="MNG86" s="31"/>
      <c r="MNH86" s="31"/>
      <c r="MNI86" s="31"/>
      <c r="MNJ86" s="31"/>
      <c r="MNK86" s="31"/>
      <c r="MNL86" s="31"/>
      <c r="MNM86" s="31"/>
      <c r="MNN86" s="31"/>
      <c r="MNO86" s="31"/>
      <c r="MNP86" s="31"/>
      <c r="MNQ86" s="31"/>
      <c r="MNR86" s="31"/>
      <c r="MNS86" s="31"/>
      <c r="MNT86" s="31"/>
      <c r="MNU86" s="31"/>
      <c r="MNV86" s="31"/>
      <c r="MNW86" s="31"/>
      <c r="MNX86" s="31"/>
      <c r="MNY86" s="31"/>
      <c r="MNZ86" s="31"/>
      <c r="MOA86" s="31"/>
      <c r="MOB86" s="31"/>
      <c r="MOC86" s="31"/>
      <c r="MOD86" s="31"/>
      <c r="MOE86" s="31"/>
      <c r="MOF86" s="31"/>
      <c r="MOG86" s="31"/>
      <c r="MOH86" s="31"/>
      <c r="MOI86" s="31"/>
      <c r="MOJ86" s="31"/>
      <c r="MOK86" s="31"/>
      <c r="MOL86" s="31"/>
      <c r="MOM86" s="31"/>
      <c r="MON86" s="31"/>
      <c r="MOO86" s="31"/>
      <c r="MOP86" s="31"/>
      <c r="MOQ86" s="31"/>
      <c r="MOR86" s="31"/>
      <c r="MOS86" s="31"/>
      <c r="MOT86" s="31"/>
      <c r="MOU86" s="31"/>
      <c r="MOV86" s="31"/>
      <c r="MOW86" s="31"/>
      <c r="MOX86" s="31"/>
      <c r="MOY86" s="31"/>
      <c r="MOZ86" s="31"/>
      <c r="MPA86" s="31"/>
      <c r="MPB86" s="31"/>
      <c r="MPC86" s="31"/>
      <c r="MPD86" s="31"/>
      <c r="MPE86" s="31"/>
      <c r="MPF86" s="31"/>
      <c r="MPG86" s="31"/>
      <c r="MPH86" s="31"/>
      <c r="MPI86" s="31"/>
      <c r="MPJ86" s="31"/>
      <c r="MPK86" s="31"/>
      <c r="MPL86" s="31"/>
      <c r="MPM86" s="31"/>
      <c r="MPN86" s="31"/>
      <c r="MPO86" s="31"/>
      <c r="MPP86" s="31"/>
      <c r="MPQ86" s="31"/>
      <c r="MPR86" s="31"/>
      <c r="MPS86" s="31"/>
      <c r="MPT86" s="31"/>
      <c r="MPU86" s="31"/>
      <c r="MPV86" s="31"/>
      <c r="MPW86" s="31"/>
      <c r="MPX86" s="31"/>
      <c r="MPY86" s="31"/>
      <c r="MPZ86" s="31"/>
      <c r="MQA86" s="31"/>
      <c r="MQB86" s="31"/>
      <c r="MQC86" s="31"/>
      <c r="MQD86" s="31"/>
      <c r="MQE86" s="31"/>
      <c r="MQF86" s="31"/>
      <c r="MQG86" s="31"/>
      <c r="MQH86" s="31"/>
      <c r="MQI86" s="31"/>
      <c r="MQJ86" s="31"/>
      <c r="MQK86" s="31"/>
      <c r="MQL86" s="31"/>
      <c r="MQM86" s="31"/>
      <c r="MQN86" s="31"/>
      <c r="MQO86" s="31"/>
      <c r="MQP86" s="31"/>
      <c r="MQQ86" s="31"/>
      <c r="MQR86" s="31"/>
      <c r="MQS86" s="31"/>
      <c r="MQT86" s="31"/>
      <c r="MQU86" s="31"/>
      <c r="MQV86" s="31"/>
      <c r="MQW86" s="31"/>
      <c r="MQX86" s="31"/>
      <c r="MQY86" s="31"/>
      <c r="MQZ86" s="31"/>
      <c r="MRA86" s="31"/>
      <c r="MRB86" s="31"/>
      <c r="MRC86" s="31"/>
      <c r="MRD86" s="31"/>
      <c r="MRE86" s="31"/>
      <c r="MRF86" s="31"/>
      <c r="MRG86" s="31"/>
      <c r="MRH86" s="31"/>
      <c r="MRI86" s="31"/>
      <c r="MRJ86" s="31"/>
      <c r="MRK86" s="31"/>
      <c r="MRL86" s="31"/>
      <c r="MRM86" s="31"/>
      <c r="MRN86" s="31"/>
      <c r="MRO86" s="31"/>
      <c r="MRP86" s="31"/>
      <c r="MRQ86" s="31"/>
      <c r="MRR86" s="31"/>
      <c r="MRS86" s="31"/>
      <c r="MRT86" s="31"/>
      <c r="MRU86" s="31"/>
      <c r="MRV86" s="31"/>
      <c r="MRW86" s="31"/>
      <c r="MRX86" s="31"/>
      <c r="MRY86" s="31"/>
      <c r="MRZ86" s="31"/>
      <c r="MSA86" s="31"/>
      <c r="MSB86" s="31"/>
      <c r="MSC86" s="31"/>
      <c r="MSD86" s="31"/>
      <c r="MSE86" s="31"/>
      <c r="MSF86" s="31"/>
      <c r="MSG86" s="31"/>
      <c r="MSH86" s="31"/>
      <c r="MSI86" s="31"/>
      <c r="MSJ86" s="31"/>
      <c r="MSK86" s="31"/>
      <c r="MSL86" s="31"/>
      <c r="MSM86" s="31"/>
      <c r="MSN86" s="31"/>
      <c r="MSO86" s="31"/>
      <c r="MSP86" s="31"/>
      <c r="MSQ86" s="31"/>
      <c r="MSR86" s="31"/>
      <c r="MSS86" s="31"/>
      <c r="MST86" s="31"/>
      <c r="MSU86" s="31"/>
      <c r="MSV86" s="31"/>
      <c r="MSW86" s="31"/>
      <c r="MSX86" s="31"/>
      <c r="MSY86" s="31"/>
      <c r="MSZ86" s="31"/>
      <c r="MTA86" s="31"/>
      <c r="MTB86" s="31"/>
      <c r="MTC86" s="31"/>
      <c r="MTD86" s="31"/>
      <c r="MTE86" s="31"/>
      <c r="MTF86" s="31"/>
      <c r="MTG86" s="31"/>
      <c r="MTH86" s="31"/>
      <c r="MTI86" s="31"/>
      <c r="MTJ86" s="31"/>
      <c r="MTK86" s="31"/>
      <c r="MTL86" s="31"/>
      <c r="MTM86" s="31"/>
      <c r="MTN86" s="31"/>
      <c r="MTO86" s="31"/>
      <c r="MTP86" s="31"/>
      <c r="MTQ86" s="31"/>
      <c r="MTR86" s="31"/>
      <c r="MTS86" s="31"/>
      <c r="MTT86" s="31"/>
      <c r="MTU86" s="31"/>
      <c r="MTV86" s="31"/>
      <c r="MTW86" s="31"/>
      <c r="MTX86" s="31"/>
      <c r="MTY86" s="31"/>
      <c r="MTZ86" s="31"/>
      <c r="MUA86" s="31"/>
      <c r="MUB86" s="31"/>
      <c r="MUC86" s="31"/>
      <c r="MUD86" s="31"/>
      <c r="MUE86" s="31"/>
      <c r="MUF86" s="31"/>
      <c r="MUG86" s="31"/>
      <c r="MUH86" s="31"/>
      <c r="MUI86" s="31"/>
      <c r="MUJ86" s="31"/>
      <c r="MUK86" s="31"/>
      <c r="MUL86" s="31"/>
      <c r="MUM86" s="31"/>
      <c r="MUN86" s="31"/>
      <c r="MUO86" s="31"/>
      <c r="MUP86" s="31"/>
      <c r="MUQ86" s="31"/>
      <c r="MUR86" s="31"/>
      <c r="MUS86" s="31"/>
      <c r="MUT86" s="31"/>
      <c r="MUU86" s="31"/>
      <c r="MUV86" s="31"/>
      <c r="MUW86" s="31"/>
      <c r="MUX86" s="31"/>
      <c r="MUY86" s="31"/>
      <c r="MUZ86" s="31"/>
      <c r="MVA86" s="31"/>
      <c r="MVB86" s="31"/>
      <c r="MVC86" s="31"/>
      <c r="MVD86" s="31"/>
      <c r="MVE86" s="31"/>
      <c r="MVF86" s="31"/>
      <c r="MVG86" s="31"/>
      <c r="MVH86" s="31"/>
      <c r="MVI86" s="31"/>
      <c r="MVJ86" s="31"/>
      <c r="MVK86" s="31"/>
      <c r="MVL86" s="31"/>
      <c r="MVM86" s="31"/>
      <c r="MVN86" s="31"/>
      <c r="MVO86" s="31"/>
      <c r="MVP86" s="31"/>
      <c r="MVQ86" s="31"/>
      <c r="MVR86" s="31"/>
      <c r="MVS86" s="31"/>
      <c r="MVT86" s="31"/>
      <c r="MVU86" s="31"/>
      <c r="MVV86" s="31"/>
      <c r="MVW86" s="31"/>
      <c r="MVX86" s="31"/>
      <c r="MVY86" s="31"/>
      <c r="MVZ86" s="31"/>
      <c r="MWA86" s="31"/>
      <c r="MWB86" s="31"/>
      <c r="MWC86" s="31"/>
      <c r="MWD86" s="31"/>
      <c r="MWE86" s="31"/>
      <c r="MWF86" s="31"/>
      <c r="MWG86" s="31"/>
      <c r="MWH86" s="31"/>
      <c r="MWI86" s="31"/>
      <c r="MWJ86" s="31"/>
      <c r="MWK86" s="31"/>
      <c r="MWL86" s="31"/>
      <c r="MWM86" s="31"/>
      <c r="MWN86" s="31"/>
      <c r="MWO86" s="31"/>
      <c r="MWP86" s="31"/>
      <c r="MWQ86" s="31"/>
      <c r="MWR86" s="31"/>
      <c r="MWS86" s="31"/>
      <c r="MWT86" s="31"/>
      <c r="MWU86" s="31"/>
      <c r="MWV86" s="31"/>
      <c r="MWW86" s="31"/>
      <c r="MWX86" s="31"/>
      <c r="MWY86" s="31"/>
      <c r="MWZ86" s="31"/>
      <c r="MXA86" s="31"/>
      <c r="MXB86" s="31"/>
      <c r="MXC86" s="31"/>
      <c r="MXD86" s="31"/>
      <c r="MXE86" s="31"/>
      <c r="MXF86" s="31"/>
      <c r="MXG86" s="31"/>
      <c r="MXH86" s="31"/>
      <c r="MXI86" s="31"/>
      <c r="MXJ86" s="31"/>
      <c r="MXK86" s="31"/>
      <c r="MXL86" s="31"/>
      <c r="MXM86" s="31"/>
      <c r="MXN86" s="31"/>
      <c r="MXO86" s="31"/>
      <c r="MXP86" s="31"/>
      <c r="MXQ86" s="31"/>
      <c r="MXR86" s="31"/>
      <c r="MXS86" s="31"/>
      <c r="MXT86" s="31"/>
      <c r="MXU86" s="31"/>
      <c r="MXV86" s="31"/>
      <c r="MXW86" s="31"/>
      <c r="MXX86" s="31"/>
      <c r="MXY86" s="31"/>
      <c r="MXZ86" s="31"/>
      <c r="MYA86" s="31"/>
      <c r="MYB86" s="31"/>
      <c r="MYC86" s="31"/>
      <c r="MYD86" s="31"/>
      <c r="MYE86" s="31"/>
      <c r="MYF86" s="31"/>
      <c r="MYG86" s="31"/>
      <c r="MYH86" s="31"/>
      <c r="MYI86" s="31"/>
      <c r="MYJ86" s="31"/>
      <c r="MYK86" s="31"/>
      <c r="MYL86" s="31"/>
      <c r="MYM86" s="31"/>
      <c r="MYN86" s="31"/>
      <c r="MYO86" s="31"/>
      <c r="MYP86" s="31"/>
      <c r="MYQ86" s="31"/>
      <c r="MYR86" s="31"/>
      <c r="MYS86" s="31"/>
      <c r="MYT86" s="31"/>
      <c r="MYU86" s="31"/>
      <c r="MYV86" s="31"/>
      <c r="MYW86" s="31"/>
      <c r="MYX86" s="31"/>
      <c r="MYY86" s="31"/>
      <c r="MYZ86" s="31"/>
      <c r="MZA86" s="31"/>
      <c r="MZB86" s="31"/>
      <c r="MZC86" s="31"/>
      <c r="MZD86" s="31"/>
      <c r="MZE86" s="31"/>
      <c r="MZF86" s="31"/>
      <c r="MZG86" s="31"/>
      <c r="MZH86" s="31"/>
      <c r="MZI86" s="31"/>
      <c r="MZJ86" s="31"/>
      <c r="MZK86" s="31"/>
      <c r="MZL86" s="31"/>
      <c r="MZM86" s="31"/>
      <c r="MZN86" s="31"/>
      <c r="MZO86" s="31"/>
      <c r="MZP86" s="31"/>
      <c r="MZQ86" s="31"/>
      <c r="MZR86" s="31"/>
      <c r="MZS86" s="31"/>
      <c r="MZT86" s="31"/>
      <c r="MZU86" s="31"/>
      <c r="MZV86" s="31"/>
      <c r="MZW86" s="31"/>
      <c r="MZX86" s="31"/>
      <c r="MZY86" s="31"/>
      <c r="MZZ86" s="31"/>
      <c r="NAA86" s="31"/>
      <c r="NAB86" s="31"/>
      <c r="NAC86" s="31"/>
      <c r="NAD86" s="31"/>
      <c r="NAE86" s="31"/>
      <c r="NAF86" s="31"/>
      <c r="NAG86" s="31"/>
      <c r="NAH86" s="31"/>
      <c r="NAI86" s="31"/>
      <c r="NAJ86" s="31"/>
      <c r="NAK86" s="31"/>
      <c r="NAL86" s="31"/>
      <c r="NAM86" s="31"/>
      <c r="NAN86" s="31"/>
      <c r="NAO86" s="31"/>
      <c r="NAP86" s="31"/>
      <c r="NAQ86" s="31"/>
      <c r="NAR86" s="31"/>
      <c r="NAS86" s="31"/>
      <c r="NAT86" s="31"/>
      <c r="NAU86" s="31"/>
      <c r="NAV86" s="31"/>
      <c r="NAW86" s="31"/>
      <c r="NAX86" s="31"/>
      <c r="NAY86" s="31"/>
      <c r="NAZ86" s="31"/>
      <c r="NBA86" s="31"/>
      <c r="NBB86" s="31"/>
      <c r="NBC86" s="31"/>
      <c r="NBD86" s="31"/>
      <c r="NBE86" s="31"/>
      <c r="NBF86" s="31"/>
      <c r="NBG86" s="31"/>
      <c r="NBH86" s="31"/>
      <c r="NBI86" s="31"/>
      <c r="NBJ86" s="31"/>
      <c r="NBK86" s="31"/>
      <c r="NBL86" s="31"/>
      <c r="NBM86" s="31"/>
      <c r="NBN86" s="31"/>
      <c r="NBO86" s="31"/>
      <c r="NBP86" s="31"/>
      <c r="NBQ86" s="31"/>
      <c r="NBR86" s="31"/>
      <c r="NBS86" s="31"/>
      <c r="NBT86" s="31"/>
      <c r="NBU86" s="31"/>
      <c r="NBV86" s="31"/>
      <c r="NBW86" s="31"/>
      <c r="NBX86" s="31"/>
      <c r="NBY86" s="31"/>
      <c r="NBZ86" s="31"/>
      <c r="NCA86" s="31"/>
      <c r="NCB86" s="31"/>
      <c r="NCC86" s="31"/>
      <c r="NCD86" s="31"/>
      <c r="NCE86" s="31"/>
      <c r="NCF86" s="31"/>
      <c r="NCG86" s="31"/>
      <c r="NCH86" s="31"/>
      <c r="NCI86" s="31"/>
      <c r="NCJ86" s="31"/>
      <c r="NCK86" s="31"/>
      <c r="NCL86" s="31"/>
      <c r="NCM86" s="31"/>
      <c r="NCN86" s="31"/>
      <c r="NCO86" s="31"/>
      <c r="NCP86" s="31"/>
      <c r="NCQ86" s="31"/>
      <c r="NCR86" s="31"/>
      <c r="NCS86" s="31"/>
      <c r="NCT86" s="31"/>
      <c r="NCU86" s="31"/>
      <c r="NCV86" s="31"/>
      <c r="NCW86" s="31"/>
      <c r="NCX86" s="31"/>
      <c r="NCY86" s="31"/>
      <c r="NCZ86" s="31"/>
      <c r="NDA86" s="31"/>
      <c r="NDB86" s="31"/>
      <c r="NDC86" s="31"/>
      <c r="NDD86" s="31"/>
      <c r="NDE86" s="31"/>
      <c r="NDF86" s="31"/>
      <c r="NDG86" s="31"/>
      <c r="NDH86" s="31"/>
      <c r="NDI86" s="31"/>
      <c r="NDJ86" s="31"/>
      <c r="NDK86" s="31"/>
      <c r="NDL86" s="31"/>
      <c r="NDM86" s="31"/>
      <c r="NDN86" s="31"/>
      <c r="NDO86" s="31"/>
      <c r="NDP86" s="31"/>
      <c r="NDQ86" s="31"/>
      <c r="NDR86" s="31"/>
      <c r="NDS86" s="31"/>
      <c r="NDT86" s="31"/>
      <c r="NDU86" s="31"/>
      <c r="NDV86" s="31"/>
      <c r="NDW86" s="31"/>
      <c r="NDX86" s="31"/>
      <c r="NDY86" s="31"/>
      <c r="NDZ86" s="31"/>
      <c r="NEA86" s="31"/>
      <c r="NEB86" s="31"/>
      <c r="NEC86" s="31"/>
      <c r="NED86" s="31"/>
      <c r="NEE86" s="31"/>
      <c r="NEF86" s="31"/>
      <c r="NEG86" s="31"/>
      <c r="NEH86" s="31"/>
      <c r="NEI86" s="31"/>
      <c r="NEJ86" s="31"/>
      <c r="NEK86" s="31"/>
      <c r="NEL86" s="31"/>
      <c r="NEM86" s="31"/>
      <c r="NEN86" s="31"/>
      <c r="NEO86" s="31"/>
      <c r="NEP86" s="31"/>
      <c r="NEQ86" s="31"/>
      <c r="NER86" s="31"/>
      <c r="NES86" s="31"/>
      <c r="NET86" s="31"/>
      <c r="NEU86" s="31"/>
      <c r="NEV86" s="31"/>
      <c r="NEW86" s="31"/>
      <c r="NEX86" s="31"/>
      <c r="NEY86" s="31"/>
      <c r="NEZ86" s="31"/>
      <c r="NFA86" s="31"/>
      <c r="NFB86" s="31"/>
      <c r="NFC86" s="31"/>
      <c r="NFD86" s="31"/>
      <c r="NFE86" s="31"/>
      <c r="NFF86" s="31"/>
      <c r="NFG86" s="31"/>
      <c r="NFH86" s="31"/>
      <c r="NFI86" s="31"/>
      <c r="NFJ86" s="31"/>
      <c r="NFK86" s="31"/>
      <c r="NFL86" s="31"/>
      <c r="NFM86" s="31"/>
      <c r="NFN86" s="31"/>
      <c r="NFO86" s="31"/>
      <c r="NFP86" s="31"/>
      <c r="NFQ86" s="31"/>
      <c r="NFR86" s="31"/>
      <c r="NFS86" s="31"/>
      <c r="NFT86" s="31"/>
      <c r="NFU86" s="31"/>
      <c r="NFV86" s="31"/>
      <c r="NFW86" s="31"/>
      <c r="NFX86" s="31"/>
      <c r="NFY86" s="31"/>
      <c r="NFZ86" s="31"/>
      <c r="NGA86" s="31"/>
      <c r="NGB86" s="31"/>
      <c r="NGC86" s="31"/>
      <c r="NGD86" s="31"/>
      <c r="NGE86" s="31"/>
      <c r="NGF86" s="31"/>
      <c r="NGG86" s="31"/>
      <c r="NGH86" s="31"/>
      <c r="NGI86" s="31"/>
      <c r="NGJ86" s="31"/>
      <c r="NGK86" s="31"/>
      <c r="NGL86" s="31"/>
      <c r="NGM86" s="31"/>
      <c r="NGN86" s="31"/>
      <c r="NGO86" s="31"/>
      <c r="NGP86" s="31"/>
      <c r="NGQ86" s="31"/>
      <c r="NGR86" s="31"/>
      <c r="NGS86" s="31"/>
      <c r="NGT86" s="31"/>
      <c r="NGU86" s="31"/>
      <c r="NGV86" s="31"/>
      <c r="NGW86" s="31"/>
      <c r="NGX86" s="31"/>
      <c r="NGY86" s="31"/>
      <c r="NGZ86" s="31"/>
      <c r="NHA86" s="31"/>
      <c r="NHB86" s="31"/>
      <c r="NHC86" s="31"/>
      <c r="NHD86" s="31"/>
      <c r="NHE86" s="31"/>
      <c r="NHF86" s="31"/>
      <c r="NHG86" s="31"/>
      <c r="NHH86" s="31"/>
      <c r="NHI86" s="31"/>
      <c r="NHJ86" s="31"/>
      <c r="NHK86" s="31"/>
      <c r="NHL86" s="31"/>
      <c r="NHM86" s="31"/>
      <c r="NHN86" s="31"/>
      <c r="NHO86" s="31"/>
      <c r="NHP86" s="31"/>
      <c r="NHQ86" s="31"/>
      <c r="NHR86" s="31"/>
      <c r="NHS86" s="31"/>
      <c r="NHT86" s="31"/>
      <c r="NHU86" s="31"/>
      <c r="NHV86" s="31"/>
      <c r="NHW86" s="31"/>
      <c r="NHX86" s="31"/>
      <c r="NHY86" s="31"/>
      <c r="NHZ86" s="31"/>
      <c r="NIA86" s="31"/>
      <c r="NIB86" s="31"/>
      <c r="NIC86" s="31"/>
      <c r="NID86" s="31"/>
      <c r="NIE86" s="31"/>
      <c r="NIF86" s="31"/>
      <c r="NIG86" s="31"/>
      <c r="NIH86" s="31"/>
      <c r="NII86" s="31"/>
      <c r="NIJ86" s="31"/>
      <c r="NIK86" s="31"/>
      <c r="NIL86" s="31"/>
      <c r="NIM86" s="31"/>
      <c r="NIN86" s="31"/>
      <c r="NIO86" s="31"/>
      <c r="NIP86" s="31"/>
      <c r="NIQ86" s="31"/>
      <c r="NIR86" s="31"/>
      <c r="NIS86" s="31"/>
      <c r="NIT86" s="31"/>
      <c r="NIU86" s="31"/>
      <c r="NIV86" s="31"/>
      <c r="NIW86" s="31"/>
      <c r="NIX86" s="31"/>
      <c r="NIY86" s="31"/>
      <c r="NIZ86" s="31"/>
      <c r="NJA86" s="31"/>
      <c r="NJB86" s="31"/>
      <c r="NJC86" s="31"/>
      <c r="NJD86" s="31"/>
      <c r="NJE86" s="31"/>
      <c r="NJF86" s="31"/>
      <c r="NJG86" s="31"/>
      <c r="NJH86" s="31"/>
      <c r="NJI86" s="31"/>
      <c r="NJJ86" s="31"/>
      <c r="NJK86" s="31"/>
      <c r="NJL86" s="31"/>
      <c r="NJM86" s="31"/>
      <c r="NJN86" s="31"/>
      <c r="NJO86" s="31"/>
      <c r="NJP86" s="31"/>
      <c r="NJQ86" s="31"/>
      <c r="NJR86" s="31"/>
      <c r="NJS86" s="31"/>
      <c r="NJT86" s="31"/>
      <c r="NJU86" s="31"/>
      <c r="NJV86" s="31"/>
      <c r="NJW86" s="31"/>
      <c r="NJX86" s="31"/>
      <c r="NJY86" s="31"/>
      <c r="NJZ86" s="31"/>
      <c r="NKA86" s="31"/>
      <c r="NKB86" s="31"/>
      <c r="NKC86" s="31"/>
      <c r="NKD86" s="31"/>
      <c r="NKE86" s="31"/>
      <c r="NKF86" s="31"/>
      <c r="NKG86" s="31"/>
      <c r="NKH86" s="31"/>
      <c r="NKI86" s="31"/>
      <c r="NKJ86" s="31"/>
      <c r="NKK86" s="31"/>
      <c r="NKL86" s="31"/>
      <c r="NKM86" s="31"/>
      <c r="NKN86" s="31"/>
      <c r="NKO86" s="31"/>
      <c r="NKP86" s="31"/>
      <c r="NKQ86" s="31"/>
      <c r="NKR86" s="31"/>
      <c r="NKS86" s="31"/>
      <c r="NKT86" s="31"/>
      <c r="NKU86" s="31"/>
      <c r="NKV86" s="31"/>
      <c r="NKW86" s="31"/>
      <c r="NKX86" s="31"/>
      <c r="NKY86" s="31"/>
      <c r="NKZ86" s="31"/>
      <c r="NLA86" s="31"/>
      <c r="NLB86" s="31"/>
      <c r="NLC86" s="31"/>
      <c r="NLD86" s="31"/>
      <c r="NLE86" s="31"/>
      <c r="NLF86" s="31"/>
      <c r="NLG86" s="31"/>
      <c r="NLH86" s="31"/>
      <c r="NLI86" s="31"/>
      <c r="NLJ86" s="31"/>
      <c r="NLK86" s="31"/>
      <c r="NLL86" s="31"/>
      <c r="NLM86" s="31"/>
      <c r="NLN86" s="31"/>
      <c r="NLO86" s="31"/>
      <c r="NLP86" s="31"/>
      <c r="NLQ86" s="31"/>
      <c r="NLR86" s="31"/>
      <c r="NLS86" s="31"/>
      <c r="NLT86" s="31"/>
      <c r="NLU86" s="31"/>
      <c r="NLV86" s="31"/>
      <c r="NLW86" s="31"/>
      <c r="NLX86" s="31"/>
      <c r="NLY86" s="31"/>
      <c r="NLZ86" s="31"/>
      <c r="NMA86" s="31"/>
      <c r="NMB86" s="31"/>
      <c r="NMC86" s="31"/>
      <c r="NMD86" s="31"/>
      <c r="NME86" s="31"/>
      <c r="NMF86" s="31"/>
      <c r="NMG86" s="31"/>
      <c r="NMH86" s="31"/>
      <c r="NMI86" s="31"/>
      <c r="NMJ86" s="31"/>
      <c r="NMK86" s="31"/>
      <c r="NML86" s="31"/>
      <c r="NMM86" s="31"/>
      <c r="NMN86" s="31"/>
      <c r="NMO86" s="31"/>
      <c r="NMP86" s="31"/>
      <c r="NMQ86" s="31"/>
      <c r="NMR86" s="31"/>
      <c r="NMS86" s="31"/>
      <c r="NMT86" s="31"/>
      <c r="NMU86" s="31"/>
      <c r="NMV86" s="31"/>
      <c r="NMW86" s="31"/>
      <c r="NMX86" s="31"/>
      <c r="NMY86" s="31"/>
      <c r="NMZ86" s="31"/>
      <c r="NNA86" s="31"/>
      <c r="NNB86" s="31"/>
      <c r="NNC86" s="31"/>
      <c r="NND86" s="31"/>
      <c r="NNE86" s="31"/>
      <c r="NNF86" s="31"/>
      <c r="NNG86" s="31"/>
      <c r="NNH86" s="31"/>
      <c r="NNI86" s="31"/>
      <c r="NNJ86" s="31"/>
      <c r="NNK86" s="31"/>
      <c r="NNL86" s="31"/>
      <c r="NNM86" s="31"/>
      <c r="NNN86" s="31"/>
      <c r="NNO86" s="31"/>
      <c r="NNP86" s="31"/>
      <c r="NNQ86" s="31"/>
      <c r="NNR86" s="31"/>
      <c r="NNS86" s="31"/>
      <c r="NNT86" s="31"/>
      <c r="NNU86" s="31"/>
      <c r="NNV86" s="31"/>
      <c r="NNW86" s="31"/>
      <c r="NNX86" s="31"/>
      <c r="NNY86" s="31"/>
      <c r="NNZ86" s="31"/>
      <c r="NOA86" s="31"/>
      <c r="NOB86" s="31"/>
      <c r="NOC86" s="31"/>
      <c r="NOD86" s="31"/>
      <c r="NOE86" s="31"/>
      <c r="NOF86" s="31"/>
      <c r="NOG86" s="31"/>
      <c r="NOH86" s="31"/>
      <c r="NOI86" s="31"/>
      <c r="NOJ86" s="31"/>
      <c r="NOK86" s="31"/>
      <c r="NOL86" s="31"/>
      <c r="NOM86" s="31"/>
      <c r="NON86" s="31"/>
      <c r="NOO86" s="31"/>
      <c r="NOP86" s="31"/>
      <c r="NOQ86" s="31"/>
      <c r="NOR86" s="31"/>
      <c r="NOS86" s="31"/>
      <c r="NOT86" s="31"/>
      <c r="NOU86" s="31"/>
      <c r="NOV86" s="31"/>
      <c r="NOW86" s="31"/>
      <c r="NOX86" s="31"/>
      <c r="NOY86" s="31"/>
      <c r="NOZ86" s="31"/>
      <c r="NPA86" s="31"/>
      <c r="NPB86" s="31"/>
      <c r="NPC86" s="31"/>
      <c r="NPD86" s="31"/>
      <c r="NPE86" s="31"/>
      <c r="NPF86" s="31"/>
      <c r="NPG86" s="31"/>
      <c r="NPH86" s="31"/>
      <c r="NPI86" s="31"/>
      <c r="NPJ86" s="31"/>
      <c r="NPK86" s="31"/>
      <c r="NPL86" s="31"/>
      <c r="NPM86" s="31"/>
      <c r="NPN86" s="31"/>
      <c r="NPO86" s="31"/>
      <c r="NPP86" s="31"/>
      <c r="NPQ86" s="31"/>
      <c r="NPR86" s="31"/>
      <c r="NPS86" s="31"/>
      <c r="NPT86" s="31"/>
      <c r="NPU86" s="31"/>
      <c r="NPV86" s="31"/>
      <c r="NPW86" s="31"/>
      <c r="NPX86" s="31"/>
      <c r="NPY86" s="31"/>
      <c r="NPZ86" s="31"/>
      <c r="NQA86" s="31"/>
      <c r="NQB86" s="31"/>
      <c r="NQC86" s="31"/>
      <c r="NQD86" s="31"/>
      <c r="NQE86" s="31"/>
      <c r="NQF86" s="31"/>
      <c r="NQG86" s="31"/>
      <c r="NQH86" s="31"/>
      <c r="NQI86" s="31"/>
      <c r="NQJ86" s="31"/>
      <c r="NQK86" s="31"/>
      <c r="NQL86" s="31"/>
      <c r="NQM86" s="31"/>
      <c r="NQN86" s="31"/>
      <c r="NQO86" s="31"/>
      <c r="NQP86" s="31"/>
      <c r="NQQ86" s="31"/>
      <c r="NQR86" s="31"/>
      <c r="NQS86" s="31"/>
      <c r="NQT86" s="31"/>
      <c r="NQU86" s="31"/>
      <c r="NQV86" s="31"/>
      <c r="NQW86" s="31"/>
      <c r="NQX86" s="31"/>
      <c r="NQY86" s="31"/>
      <c r="NQZ86" s="31"/>
      <c r="NRA86" s="31"/>
      <c r="NRB86" s="31"/>
      <c r="NRC86" s="31"/>
      <c r="NRD86" s="31"/>
      <c r="NRE86" s="31"/>
      <c r="NRF86" s="31"/>
      <c r="NRG86" s="31"/>
      <c r="NRH86" s="31"/>
      <c r="NRI86" s="31"/>
      <c r="NRJ86" s="31"/>
      <c r="NRK86" s="31"/>
      <c r="NRL86" s="31"/>
      <c r="NRM86" s="31"/>
      <c r="NRN86" s="31"/>
      <c r="NRO86" s="31"/>
      <c r="NRP86" s="31"/>
      <c r="NRQ86" s="31"/>
      <c r="NRR86" s="31"/>
      <c r="NRS86" s="31"/>
      <c r="NRT86" s="31"/>
      <c r="NRU86" s="31"/>
      <c r="NRV86" s="31"/>
      <c r="NRW86" s="31"/>
      <c r="NRX86" s="31"/>
      <c r="NRY86" s="31"/>
      <c r="NRZ86" s="31"/>
      <c r="NSA86" s="31"/>
      <c r="NSB86" s="31"/>
      <c r="NSC86" s="31"/>
      <c r="NSD86" s="31"/>
      <c r="NSE86" s="31"/>
      <c r="NSF86" s="31"/>
      <c r="NSG86" s="31"/>
      <c r="NSH86" s="31"/>
      <c r="NSI86" s="31"/>
      <c r="NSJ86" s="31"/>
      <c r="NSK86" s="31"/>
      <c r="NSL86" s="31"/>
      <c r="NSM86" s="31"/>
      <c r="NSN86" s="31"/>
      <c r="NSO86" s="31"/>
      <c r="NSP86" s="31"/>
      <c r="NSQ86" s="31"/>
      <c r="NSR86" s="31"/>
      <c r="NSS86" s="31"/>
      <c r="NST86" s="31"/>
      <c r="NSU86" s="31"/>
      <c r="NSV86" s="31"/>
      <c r="NSW86" s="31"/>
      <c r="NSX86" s="31"/>
      <c r="NSY86" s="31"/>
      <c r="NSZ86" s="31"/>
      <c r="NTA86" s="31"/>
      <c r="NTB86" s="31"/>
      <c r="NTC86" s="31"/>
      <c r="NTD86" s="31"/>
      <c r="NTE86" s="31"/>
      <c r="NTF86" s="31"/>
      <c r="NTG86" s="31"/>
      <c r="NTH86" s="31"/>
      <c r="NTI86" s="31"/>
      <c r="NTJ86" s="31"/>
      <c r="NTK86" s="31"/>
      <c r="NTL86" s="31"/>
      <c r="NTM86" s="31"/>
      <c r="NTN86" s="31"/>
      <c r="NTO86" s="31"/>
      <c r="NTP86" s="31"/>
      <c r="NTQ86" s="31"/>
      <c r="NTR86" s="31"/>
      <c r="NTS86" s="31"/>
      <c r="NTT86" s="31"/>
      <c r="NTU86" s="31"/>
      <c r="NTV86" s="31"/>
      <c r="NTW86" s="31"/>
      <c r="NTX86" s="31"/>
      <c r="NTY86" s="31"/>
      <c r="NTZ86" s="31"/>
      <c r="NUA86" s="31"/>
      <c r="NUB86" s="31"/>
      <c r="NUC86" s="31"/>
      <c r="NUD86" s="31"/>
      <c r="NUE86" s="31"/>
      <c r="NUF86" s="31"/>
      <c r="NUG86" s="31"/>
      <c r="NUH86" s="31"/>
      <c r="NUI86" s="31"/>
      <c r="NUJ86" s="31"/>
      <c r="NUK86" s="31"/>
      <c r="NUL86" s="31"/>
      <c r="NUM86" s="31"/>
      <c r="NUN86" s="31"/>
      <c r="NUO86" s="31"/>
      <c r="NUP86" s="31"/>
      <c r="NUQ86" s="31"/>
      <c r="NUR86" s="31"/>
      <c r="NUS86" s="31"/>
      <c r="NUT86" s="31"/>
      <c r="NUU86" s="31"/>
      <c r="NUV86" s="31"/>
      <c r="NUW86" s="31"/>
      <c r="NUX86" s="31"/>
      <c r="NUY86" s="31"/>
      <c r="NUZ86" s="31"/>
      <c r="NVA86" s="31"/>
      <c r="NVB86" s="31"/>
      <c r="NVC86" s="31"/>
      <c r="NVD86" s="31"/>
      <c r="NVE86" s="31"/>
      <c r="NVF86" s="31"/>
      <c r="NVG86" s="31"/>
      <c r="NVH86" s="31"/>
      <c r="NVI86" s="31"/>
      <c r="NVJ86" s="31"/>
      <c r="NVK86" s="31"/>
      <c r="NVL86" s="31"/>
      <c r="NVM86" s="31"/>
      <c r="NVN86" s="31"/>
      <c r="NVO86" s="31"/>
      <c r="NVP86" s="31"/>
      <c r="NVQ86" s="31"/>
      <c r="NVR86" s="31"/>
      <c r="NVS86" s="31"/>
      <c r="NVT86" s="31"/>
      <c r="NVU86" s="31"/>
      <c r="NVV86" s="31"/>
      <c r="NVW86" s="31"/>
      <c r="NVX86" s="31"/>
      <c r="NVY86" s="31"/>
      <c r="NVZ86" s="31"/>
      <c r="NWA86" s="31"/>
      <c r="NWB86" s="31"/>
      <c r="NWC86" s="31"/>
      <c r="NWD86" s="31"/>
      <c r="NWE86" s="31"/>
      <c r="NWF86" s="31"/>
      <c r="NWG86" s="31"/>
      <c r="NWH86" s="31"/>
      <c r="NWI86" s="31"/>
      <c r="NWJ86" s="31"/>
      <c r="NWK86" s="31"/>
      <c r="NWL86" s="31"/>
      <c r="NWM86" s="31"/>
      <c r="NWN86" s="31"/>
      <c r="NWO86" s="31"/>
      <c r="NWP86" s="31"/>
      <c r="NWQ86" s="31"/>
      <c r="NWR86" s="31"/>
      <c r="NWS86" s="31"/>
      <c r="NWT86" s="31"/>
      <c r="NWU86" s="31"/>
      <c r="NWV86" s="31"/>
      <c r="NWW86" s="31"/>
      <c r="NWX86" s="31"/>
      <c r="NWY86" s="31"/>
      <c r="NWZ86" s="31"/>
      <c r="NXA86" s="31"/>
      <c r="NXB86" s="31"/>
      <c r="NXC86" s="31"/>
      <c r="NXD86" s="31"/>
      <c r="NXE86" s="31"/>
      <c r="NXF86" s="31"/>
      <c r="NXG86" s="31"/>
      <c r="NXH86" s="31"/>
      <c r="NXI86" s="31"/>
      <c r="NXJ86" s="31"/>
      <c r="NXK86" s="31"/>
      <c r="NXL86" s="31"/>
      <c r="NXM86" s="31"/>
      <c r="NXN86" s="31"/>
      <c r="NXO86" s="31"/>
      <c r="NXP86" s="31"/>
      <c r="NXQ86" s="31"/>
      <c r="NXR86" s="31"/>
      <c r="NXS86" s="31"/>
      <c r="NXT86" s="31"/>
      <c r="NXU86" s="31"/>
      <c r="NXV86" s="31"/>
      <c r="NXW86" s="31"/>
      <c r="NXX86" s="31"/>
      <c r="NXY86" s="31"/>
      <c r="NXZ86" s="31"/>
      <c r="NYA86" s="31"/>
      <c r="NYB86" s="31"/>
      <c r="NYC86" s="31"/>
      <c r="NYD86" s="31"/>
      <c r="NYE86" s="31"/>
      <c r="NYF86" s="31"/>
      <c r="NYG86" s="31"/>
      <c r="NYH86" s="31"/>
      <c r="NYI86" s="31"/>
      <c r="NYJ86" s="31"/>
      <c r="NYK86" s="31"/>
      <c r="NYL86" s="31"/>
      <c r="NYM86" s="31"/>
      <c r="NYN86" s="31"/>
      <c r="NYO86" s="31"/>
      <c r="NYP86" s="31"/>
      <c r="NYQ86" s="31"/>
      <c r="NYR86" s="31"/>
      <c r="NYS86" s="31"/>
      <c r="NYT86" s="31"/>
      <c r="NYU86" s="31"/>
      <c r="NYV86" s="31"/>
      <c r="NYW86" s="31"/>
      <c r="NYX86" s="31"/>
      <c r="NYY86" s="31"/>
      <c r="NYZ86" s="31"/>
      <c r="NZA86" s="31"/>
      <c r="NZB86" s="31"/>
      <c r="NZC86" s="31"/>
      <c r="NZD86" s="31"/>
      <c r="NZE86" s="31"/>
      <c r="NZF86" s="31"/>
      <c r="NZG86" s="31"/>
      <c r="NZH86" s="31"/>
      <c r="NZI86" s="31"/>
      <c r="NZJ86" s="31"/>
      <c r="NZK86" s="31"/>
      <c r="NZL86" s="31"/>
      <c r="NZM86" s="31"/>
      <c r="NZN86" s="31"/>
      <c r="NZO86" s="31"/>
      <c r="NZP86" s="31"/>
      <c r="NZQ86" s="31"/>
      <c r="NZR86" s="31"/>
      <c r="NZS86" s="31"/>
      <c r="NZT86" s="31"/>
      <c r="NZU86" s="31"/>
      <c r="NZV86" s="31"/>
      <c r="NZW86" s="31"/>
      <c r="NZX86" s="31"/>
      <c r="NZY86" s="31"/>
      <c r="NZZ86" s="31"/>
      <c r="OAA86" s="31"/>
      <c r="OAB86" s="31"/>
      <c r="OAC86" s="31"/>
      <c r="OAD86" s="31"/>
      <c r="OAE86" s="31"/>
      <c r="OAF86" s="31"/>
      <c r="OAG86" s="31"/>
      <c r="OAH86" s="31"/>
      <c r="OAI86" s="31"/>
      <c r="OAJ86" s="31"/>
      <c r="OAK86" s="31"/>
      <c r="OAL86" s="31"/>
      <c r="OAM86" s="31"/>
      <c r="OAN86" s="31"/>
      <c r="OAO86" s="31"/>
      <c r="OAP86" s="31"/>
      <c r="OAQ86" s="31"/>
      <c r="OAR86" s="31"/>
      <c r="OAS86" s="31"/>
      <c r="OAT86" s="31"/>
      <c r="OAU86" s="31"/>
      <c r="OAV86" s="31"/>
      <c r="OAW86" s="31"/>
      <c r="OAX86" s="31"/>
      <c r="OAY86" s="31"/>
      <c r="OAZ86" s="31"/>
      <c r="OBA86" s="31"/>
      <c r="OBB86" s="31"/>
      <c r="OBC86" s="31"/>
      <c r="OBD86" s="31"/>
      <c r="OBE86" s="31"/>
      <c r="OBF86" s="31"/>
      <c r="OBG86" s="31"/>
      <c r="OBH86" s="31"/>
      <c r="OBI86" s="31"/>
      <c r="OBJ86" s="31"/>
      <c r="OBK86" s="31"/>
      <c r="OBL86" s="31"/>
      <c r="OBM86" s="31"/>
      <c r="OBN86" s="31"/>
      <c r="OBO86" s="31"/>
      <c r="OBP86" s="31"/>
      <c r="OBQ86" s="31"/>
      <c r="OBR86" s="31"/>
      <c r="OBS86" s="31"/>
      <c r="OBT86" s="31"/>
      <c r="OBU86" s="31"/>
      <c r="OBV86" s="31"/>
      <c r="OBW86" s="31"/>
      <c r="OBX86" s="31"/>
      <c r="OBY86" s="31"/>
      <c r="OBZ86" s="31"/>
      <c r="OCA86" s="31"/>
      <c r="OCB86" s="31"/>
      <c r="OCC86" s="31"/>
      <c r="OCD86" s="31"/>
      <c r="OCE86" s="31"/>
      <c r="OCF86" s="31"/>
      <c r="OCG86" s="31"/>
      <c r="OCH86" s="31"/>
      <c r="OCI86" s="31"/>
      <c r="OCJ86" s="31"/>
      <c r="OCK86" s="31"/>
      <c r="OCL86" s="31"/>
      <c r="OCM86" s="31"/>
      <c r="OCN86" s="31"/>
      <c r="OCO86" s="31"/>
      <c r="OCP86" s="31"/>
      <c r="OCQ86" s="31"/>
      <c r="OCR86" s="31"/>
      <c r="OCS86" s="31"/>
      <c r="OCT86" s="31"/>
      <c r="OCU86" s="31"/>
      <c r="OCV86" s="31"/>
      <c r="OCW86" s="31"/>
      <c r="OCX86" s="31"/>
      <c r="OCY86" s="31"/>
      <c r="OCZ86" s="31"/>
      <c r="ODA86" s="31"/>
      <c r="ODB86" s="31"/>
      <c r="ODC86" s="31"/>
      <c r="ODD86" s="31"/>
      <c r="ODE86" s="31"/>
      <c r="ODF86" s="31"/>
      <c r="ODG86" s="31"/>
      <c r="ODH86" s="31"/>
      <c r="ODI86" s="31"/>
      <c r="ODJ86" s="31"/>
      <c r="ODK86" s="31"/>
      <c r="ODL86" s="31"/>
      <c r="ODM86" s="31"/>
      <c r="ODN86" s="31"/>
      <c r="ODO86" s="31"/>
      <c r="ODP86" s="31"/>
      <c r="ODQ86" s="31"/>
      <c r="ODR86" s="31"/>
      <c r="ODS86" s="31"/>
      <c r="ODT86" s="31"/>
      <c r="ODU86" s="31"/>
      <c r="ODV86" s="31"/>
      <c r="ODW86" s="31"/>
      <c r="ODX86" s="31"/>
      <c r="ODY86" s="31"/>
      <c r="ODZ86" s="31"/>
      <c r="OEA86" s="31"/>
      <c r="OEB86" s="31"/>
      <c r="OEC86" s="31"/>
      <c r="OED86" s="31"/>
      <c r="OEE86" s="31"/>
      <c r="OEF86" s="31"/>
      <c r="OEG86" s="31"/>
      <c r="OEH86" s="31"/>
      <c r="OEI86" s="31"/>
      <c r="OEJ86" s="31"/>
      <c r="OEK86" s="31"/>
      <c r="OEL86" s="31"/>
      <c r="OEM86" s="31"/>
      <c r="OEN86" s="31"/>
      <c r="OEO86" s="31"/>
      <c r="OEP86" s="31"/>
      <c r="OEQ86" s="31"/>
      <c r="OER86" s="31"/>
      <c r="OES86" s="31"/>
      <c r="OET86" s="31"/>
      <c r="OEU86" s="31"/>
      <c r="OEV86" s="31"/>
      <c r="OEW86" s="31"/>
      <c r="OEX86" s="31"/>
      <c r="OEY86" s="31"/>
      <c r="OEZ86" s="31"/>
      <c r="OFA86" s="31"/>
      <c r="OFB86" s="31"/>
      <c r="OFC86" s="31"/>
      <c r="OFD86" s="31"/>
      <c r="OFE86" s="31"/>
      <c r="OFF86" s="31"/>
      <c r="OFG86" s="31"/>
      <c r="OFH86" s="31"/>
      <c r="OFI86" s="31"/>
      <c r="OFJ86" s="31"/>
      <c r="OFK86" s="31"/>
      <c r="OFL86" s="31"/>
      <c r="OFM86" s="31"/>
      <c r="OFN86" s="31"/>
      <c r="OFO86" s="31"/>
      <c r="OFP86" s="31"/>
      <c r="OFQ86" s="31"/>
      <c r="OFR86" s="31"/>
      <c r="OFS86" s="31"/>
      <c r="OFT86" s="31"/>
      <c r="OFU86" s="31"/>
      <c r="OFV86" s="31"/>
      <c r="OFW86" s="31"/>
      <c r="OFX86" s="31"/>
      <c r="OFY86" s="31"/>
      <c r="OFZ86" s="31"/>
      <c r="OGA86" s="31"/>
      <c r="OGB86" s="31"/>
      <c r="OGC86" s="31"/>
      <c r="OGD86" s="31"/>
      <c r="OGE86" s="31"/>
      <c r="OGF86" s="31"/>
      <c r="OGG86" s="31"/>
      <c r="OGH86" s="31"/>
      <c r="OGI86" s="31"/>
      <c r="OGJ86" s="31"/>
      <c r="OGK86" s="31"/>
      <c r="OGL86" s="31"/>
      <c r="OGM86" s="31"/>
      <c r="OGN86" s="31"/>
      <c r="OGO86" s="31"/>
      <c r="OGP86" s="31"/>
      <c r="OGQ86" s="31"/>
      <c r="OGR86" s="31"/>
      <c r="OGS86" s="31"/>
      <c r="OGT86" s="31"/>
      <c r="OGU86" s="31"/>
      <c r="OGV86" s="31"/>
      <c r="OGW86" s="31"/>
      <c r="OGX86" s="31"/>
      <c r="OGY86" s="31"/>
      <c r="OGZ86" s="31"/>
      <c r="OHA86" s="31"/>
      <c r="OHB86" s="31"/>
      <c r="OHC86" s="31"/>
      <c r="OHD86" s="31"/>
      <c r="OHE86" s="31"/>
      <c r="OHF86" s="31"/>
      <c r="OHG86" s="31"/>
      <c r="OHH86" s="31"/>
      <c r="OHI86" s="31"/>
      <c r="OHJ86" s="31"/>
      <c r="OHK86" s="31"/>
      <c r="OHL86" s="31"/>
      <c r="OHM86" s="31"/>
      <c r="OHN86" s="31"/>
      <c r="OHO86" s="31"/>
      <c r="OHP86" s="31"/>
      <c r="OHQ86" s="31"/>
      <c r="OHR86" s="31"/>
      <c r="OHS86" s="31"/>
      <c r="OHT86" s="31"/>
      <c r="OHU86" s="31"/>
      <c r="OHV86" s="31"/>
      <c r="OHW86" s="31"/>
      <c r="OHX86" s="31"/>
      <c r="OHY86" s="31"/>
      <c r="OHZ86" s="31"/>
      <c r="OIA86" s="31"/>
      <c r="OIB86" s="31"/>
      <c r="OIC86" s="31"/>
      <c r="OID86" s="31"/>
      <c r="OIE86" s="31"/>
      <c r="OIF86" s="31"/>
      <c r="OIG86" s="31"/>
      <c r="OIH86" s="31"/>
      <c r="OII86" s="31"/>
      <c r="OIJ86" s="31"/>
      <c r="OIK86" s="31"/>
      <c r="OIL86" s="31"/>
      <c r="OIM86" s="31"/>
      <c r="OIN86" s="31"/>
      <c r="OIO86" s="31"/>
      <c r="OIP86" s="31"/>
      <c r="OIQ86" s="31"/>
      <c r="OIR86" s="31"/>
      <c r="OIS86" s="31"/>
      <c r="OIT86" s="31"/>
      <c r="OIU86" s="31"/>
      <c r="OIV86" s="31"/>
      <c r="OIW86" s="31"/>
      <c r="OIX86" s="31"/>
      <c r="OIY86" s="31"/>
      <c r="OIZ86" s="31"/>
      <c r="OJA86" s="31"/>
      <c r="OJB86" s="31"/>
      <c r="OJC86" s="31"/>
      <c r="OJD86" s="31"/>
      <c r="OJE86" s="31"/>
      <c r="OJF86" s="31"/>
      <c r="OJG86" s="31"/>
      <c r="OJH86" s="31"/>
      <c r="OJI86" s="31"/>
      <c r="OJJ86" s="31"/>
      <c r="OJK86" s="31"/>
      <c r="OJL86" s="31"/>
      <c r="OJM86" s="31"/>
      <c r="OJN86" s="31"/>
      <c r="OJO86" s="31"/>
      <c r="OJP86" s="31"/>
      <c r="OJQ86" s="31"/>
      <c r="OJR86" s="31"/>
      <c r="OJS86" s="31"/>
      <c r="OJT86" s="31"/>
      <c r="OJU86" s="31"/>
      <c r="OJV86" s="31"/>
      <c r="OJW86" s="31"/>
      <c r="OJX86" s="31"/>
      <c r="OJY86" s="31"/>
      <c r="OJZ86" s="31"/>
      <c r="OKA86" s="31"/>
      <c r="OKB86" s="31"/>
      <c r="OKC86" s="31"/>
      <c r="OKD86" s="31"/>
      <c r="OKE86" s="31"/>
      <c r="OKF86" s="31"/>
      <c r="OKG86" s="31"/>
      <c r="OKH86" s="31"/>
      <c r="OKI86" s="31"/>
      <c r="OKJ86" s="31"/>
      <c r="OKK86" s="31"/>
      <c r="OKL86" s="31"/>
      <c r="OKM86" s="31"/>
      <c r="OKN86" s="31"/>
      <c r="OKO86" s="31"/>
      <c r="OKP86" s="31"/>
      <c r="OKQ86" s="31"/>
      <c r="OKR86" s="31"/>
      <c r="OKS86" s="31"/>
      <c r="OKT86" s="31"/>
      <c r="OKU86" s="31"/>
      <c r="OKV86" s="31"/>
      <c r="OKW86" s="31"/>
      <c r="OKX86" s="31"/>
      <c r="OKY86" s="31"/>
      <c r="OKZ86" s="31"/>
      <c r="OLA86" s="31"/>
      <c r="OLB86" s="31"/>
      <c r="OLC86" s="31"/>
      <c r="OLD86" s="31"/>
      <c r="OLE86" s="31"/>
      <c r="OLF86" s="31"/>
      <c r="OLG86" s="31"/>
      <c r="OLH86" s="31"/>
      <c r="OLI86" s="31"/>
      <c r="OLJ86" s="31"/>
      <c r="OLK86" s="31"/>
      <c r="OLL86" s="31"/>
      <c r="OLM86" s="31"/>
      <c r="OLN86" s="31"/>
      <c r="OLO86" s="31"/>
      <c r="OLP86" s="31"/>
      <c r="OLQ86" s="31"/>
      <c r="OLR86" s="31"/>
      <c r="OLS86" s="31"/>
      <c r="OLT86" s="31"/>
      <c r="OLU86" s="31"/>
      <c r="OLV86" s="31"/>
      <c r="OLW86" s="31"/>
      <c r="OLX86" s="31"/>
      <c r="OLY86" s="31"/>
      <c r="OLZ86" s="31"/>
      <c r="OMA86" s="31"/>
      <c r="OMB86" s="31"/>
      <c r="OMC86" s="31"/>
      <c r="OMD86" s="31"/>
      <c r="OME86" s="31"/>
      <c r="OMF86" s="31"/>
      <c r="OMG86" s="31"/>
      <c r="OMH86" s="31"/>
      <c r="OMI86" s="31"/>
      <c r="OMJ86" s="31"/>
      <c r="OMK86" s="31"/>
      <c r="OML86" s="31"/>
      <c r="OMM86" s="31"/>
      <c r="OMN86" s="31"/>
      <c r="OMO86" s="31"/>
      <c r="OMP86" s="31"/>
      <c r="OMQ86" s="31"/>
      <c r="OMR86" s="31"/>
      <c r="OMS86" s="31"/>
      <c r="OMT86" s="31"/>
      <c r="OMU86" s="31"/>
      <c r="OMV86" s="31"/>
      <c r="OMW86" s="31"/>
      <c r="OMX86" s="31"/>
      <c r="OMY86" s="31"/>
      <c r="OMZ86" s="31"/>
      <c r="ONA86" s="31"/>
      <c r="ONB86" s="31"/>
      <c r="ONC86" s="31"/>
      <c r="OND86" s="31"/>
      <c r="ONE86" s="31"/>
      <c r="ONF86" s="31"/>
      <c r="ONG86" s="31"/>
      <c r="ONH86" s="31"/>
      <c r="ONI86" s="31"/>
      <c r="ONJ86" s="31"/>
      <c r="ONK86" s="31"/>
      <c r="ONL86" s="31"/>
      <c r="ONM86" s="31"/>
      <c r="ONN86" s="31"/>
      <c r="ONO86" s="31"/>
      <c r="ONP86" s="31"/>
      <c r="ONQ86" s="31"/>
      <c r="ONR86" s="31"/>
      <c r="ONS86" s="31"/>
      <c r="ONT86" s="31"/>
      <c r="ONU86" s="31"/>
      <c r="ONV86" s="31"/>
      <c r="ONW86" s="31"/>
      <c r="ONX86" s="31"/>
      <c r="ONY86" s="31"/>
      <c r="ONZ86" s="31"/>
      <c r="OOA86" s="31"/>
      <c r="OOB86" s="31"/>
      <c r="OOC86" s="31"/>
      <c r="OOD86" s="31"/>
      <c r="OOE86" s="31"/>
      <c r="OOF86" s="31"/>
      <c r="OOG86" s="31"/>
      <c r="OOH86" s="31"/>
      <c r="OOI86" s="31"/>
      <c r="OOJ86" s="31"/>
      <c r="OOK86" s="31"/>
      <c r="OOL86" s="31"/>
      <c r="OOM86" s="31"/>
      <c r="OON86" s="31"/>
      <c r="OOO86" s="31"/>
      <c r="OOP86" s="31"/>
      <c r="OOQ86" s="31"/>
      <c r="OOR86" s="31"/>
      <c r="OOS86" s="31"/>
      <c r="OOT86" s="31"/>
      <c r="OOU86" s="31"/>
      <c r="OOV86" s="31"/>
      <c r="OOW86" s="31"/>
      <c r="OOX86" s="31"/>
      <c r="OOY86" s="31"/>
      <c r="OOZ86" s="31"/>
      <c r="OPA86" s="31"/>
      <c r="OPB86" s="31"/>
      <c r="OPC86" s="31"/>
      <c r="OPD86" s="31"/>
      <c r="OPE86" s="31"/>
      <c r="OPF86" s="31"/>
      <c r="OPG86" s="31"/>
      <c r="OPH86" s="31"/>
      <c r="OPI86" s="31"/>
      <c r="OPJ86" s="31"/>
      <c r="OPK86" s="31"/>
      <c r="OPL86" s="31"/>
      <c r="OPM86" s="31"/>
      <c r="OPN86" s="31"/>
      <c r="OPO86" s="31"/>
      <c r="OPP86" s="31"/>
      <c r="OPQ86" s="31"/>
      <c r="OPR86" s="31"/>
      <c r="OPS86" s="31"/>
      <c r="OPT86" s="31"/>
      <c r="OPU86" s="31"/>
      <c r="OPV86" s="31"/>
      <c r="OPW86" s="31"/>
      <c r="OPX86" s="31"/>
      <c r="OPY86" s="31"/>
      <c r="OPZ86" s="31"/>
      <c r="OQA86" s="31"/>
      <c r="OQB86" s="31"/>
      <c r="OQC86" s="31"/>
      <c r="OQD86" s="31"/>
      <c r="OQE86" s="31"/>
      <c r="OQF86" s="31"/>
      <c r="OQG86" s="31"/>
      <c r="OQH86" s="31"/>
      <c r="OQI86" s="31"/>
      <c r="OQJ86" s="31"/>
      <c r="OQK86" s="31"/>
      <c r="OQL86" s="31"/>
      <c r="OQM86" s="31"/>
      <c r="OQN86" s="31"/>
      <c r="OQO86" s="31"/>
      <c r="OQP86" s="31"/>
      <c r="OQQ86" s="31"/>
      <c r="OQR86" s="31"/>
      <c r="OQS86" s="31"/>
      <c r="OQT86" s="31"/>
      <c r="OQU86" s="31"/>
      <c r="OQV86" s="31"/>
      <c r="OQW86" s="31"/>
      <c r="OQX86" s="31"/>
      <c r="OQY86" s="31"/>
      <c r="OQZ86" s="31"/>
      <c r="ORA86" s="31"/>
      <c r="ORB86" s="31"/>
      <c r="ORC86" s="31"/>
      <c r="ORD86" s="31"/>
      <c r="ORE86" s="31"/>
      <c r="ORF86" s="31"/>
      <c r="ORG86" s="31"/>
      <c r="ORH86" s="31"/>
      <c r="ORI86" s="31"/>
      <c r="ORJ86" s="31"/>
      <c r="ORK86" s="31"/>
      <c r="ORL86" s="31"/>
      <c r="ORM86" s="31"/>
      <c r="ORN86" s="31"/>
      <c r="ORO86" s="31"/>
      <c r="ORP86" s="31"/>
      <c r="ORQ86" s="31"/>
      <c r="ORR86" s="31"/>
      <c r="ORS86" s="31"/>
      <c r="ORT86" s="31"/>
      <c r="ORU86" s="31"/>
      <c r="ORV86" s="31"/>
      <c r="ORW86" s="31"/>
      <c r="ORX86" s="31"/>
      <c r="ORY86" s="31"/>
      <c r="ORZ86" s="31"/>
      <c r="OSA86" s="31"/>
      <c r="OSB86" s="31"/>
      <c r="OSC86" s="31"/>
      <c r="OSD86" s="31"/>
      <c r="OSE86" s="31"/>
      <c r="OSF86" s="31"/>
      <c r="OSG86" s="31"/>
      <c r="OSH86" s="31"/>
      <c r="OSI86" s="31"/>
      <c r="OSJ86" s="31"/>
      <c r="OSK86" s="31"/>
      <c r="OSL86" s="31"/>
      <c r="OSM86" s="31"/>
      <c r="OSN86" s="31"/>
      <c r="OSO86" s="31"/>
      <c r="OSP86" s="31"/>
      <c r="OSQ86" s="31"/>
      <c r="OSR86" s="31"/>
      <c r="OSS86" s="31"/>
      <c r="OST86" s="31"/>
      <c r="OSU86" s="31"/>
      <c r="OSV86" s="31"/>
      <c r="OSW86" s="31"/>
      <c r="OSX86" s="31"/>
      <c r="OSY86" s="31"/>
      <c r="OSZ86" s="31"/>
      <c r="OTA86" s="31"/>
      <c r="OTB86" s="31"/>
      <c r="OTC86" s="31"/>
      <c r="OTD86" s="31"/>
      <c r="OTE86" s="31"/>
      <c r="OTF86" s="31"/>
      <c r="OTG86" s="31"/>
      <c r="OTH86" s="31"/>
      <c r="OTI86" s="31"/>
      <c r="OTJ86" s="31"/>
      <c r="OTK86" s="31"/>
      <c r="OTL86" s="31"/>
      <c r="OTM86" s="31"/>
      <c r="OTN86" s="31"/>
      <c r="OTO86" s="31"/>
      <c r="OTP86" s="31"/>
      <c r="OTQ86" s="31"/>
      <c r="OTR86" s="31"/>
      <c r="OTS86" s="31"/>
      <c r="OTT86" s="31"/>
      <c r="OTU86" s="31"/>
      <c r="OTV86" s="31"/>
      <c r="OTW86" s="31"/>
      <c r="OTX86" s="31"/>
      <c r="OTY86" s="31"/>
      <c r="OTZ86" s="31"/>
      <c r="OUA86" s="31"/>
      <c r="OUB86" s="31"/>
      <c r="OUC86" s="31"/>
      <c r="OUD86" s="31"/>
      <c r="OUE86" s="31"/>
      <c r="OUF86" s="31"/>
      <c r="OUG86" s="31"/>
      <c r="OUH86" s="31"/>
      <c r="OUI86" s="31"/>
      <c r="OUJ86" s="31"/>
      <c r="OUK86" s="31"/>
      <c r="OUL86" s="31"/>
      <c r="OUM86" s="31"/>
      <c r="OUN86" s="31"/>
      <c r="OUO86" s="31"/>
      <c r="OUP86" s="31"/>
      <c r="OUQ86" s="31"/>
      <c r="OUR86" s="31"/>
      <c r="OUS86" s="31"/>
      <c r="OUT86" s="31"/>
      <c r="OUU86" s="31"/>
      <c r="OUV86" s="31"/>
      <c r="OUW86" s="31"/>
      <c r="OUX86" s="31"/>
      <c r="OUY86" s="31"/>
      <c r="OUZ86" s="31"/>
      <c r="OVA86" s="31"/>
      <c r="OVB86" s="31"/>
      <c r="OVC86" s="31"/>
      <c r="OVD86" s="31"/>
      <c r="OVE86" s="31"/>
      <c r="OVF86" s="31"/>
      <c r="OVG86" s="31"/>
      <c r="OVH86" s="31"/>
      <c r="OVI86" s="31"/>
      <c r="OVJ86" s="31"/>
      <c r="OVK86" s="31"/>
      <c r="OVL86" s="31"/>
      <c r="OVM86" s="31"/>
      <c r="OVN86" s="31"/>
      <c r="OVO86" s="31"/>
      <c r="OVP86" s="31"/>
      <c r="OVQ86" s="31"/>
      <c r="OVR86" s="31"/>
      <c r="OVS86" s="31"/>
      <c r="OVT86" s="31"/>
      <c r="OVU86" s="31"/>
      <c r="OVV86" s="31"/>
      <c r="OVW86" s="31"/>
      <c r="OVX86" s="31"/>
      <c r="OVY86" s="31"/>
      <c r="OVZ86" s="31"/>
      <c r="OWA86" s="31"/>
      <c r="OWB86" s="31"/>
      <c r="OWC86" s="31"/>
      <c r="OWD86" s="31"/>
      <c r="OWE86" s="31"/>
      <c r="OWF86" s="31"/>
      <c r="OWG86" s="31"/>
      <c r="OWH86" s="31"/>
      <c r="OWI86" s="31"/>
      <c r="OWJ86" s="31"/>
      <c r="OWK86" s="31"/>
      <c r="OWL86" s="31"/>
      <c r="OWM86" s="31"/>
      <c r="OWN86" s="31"/>
      <c r="OWO86" s="31"/>
      <c r="OWP86" s="31"/>
      <c r="OWQ86" s="31"/>
      <c r="OWR86" s="31"/>
      <c r="OWS86" s="31"/>
      <c r="OWT86" s="31"/>
      <c r="OWU86" s="31"/>
      <c r="OWV86" s="31"/>
      <c r="OWW86" s="31"/>
      <c r="OWX86" s="31"/>
      <c r="OWY86" s="31"/>
      <c r="OWZ86" s="31"/>
      <c r="OXA86" s="31"/>
      <c r="OXB86" s="31"/>
      <c r="OXC86" s="31"/>
      <c r="OXD86" s="31"/>
      <c r="OXE86" s="31"/>
      <c r="OXF86" s="31"/>
      <c r="OXG86" s="31"/>
      <c r="OXH86" s="31"/>
      <c r="OXI86" s="31"/>
      <c r="OXJ86" s="31"/>
      <c r="OXK86" s="31"/>
      <c r="OXL86" s="31"/>
      <c r="OXM86" s="31"/>
      <c r="OXN86" s="31"/>
      <c r="OXO86" s="31"/>
      <c r="OXP86" s="31"/>
      <c r="OXQ86" s="31"/>
      <c r="OXR86" s="31"/>
      <c r="OXS86" s="31"/>
      <c r="OXT86" s="31"/>
      <c r="OXU86" s="31"/>
      <c r="OXV86" s="31"/>
      <c r="OXW86" s="31"/>
      <c r="OXX86" s="31"/>
      <c r="OXY86" s="31"/>
      <c r="OXZ86" s="31"/>
      <c r="OYA86" s="31"/>
      <c r="OYB86" s="31"/>
      <c r="OYC86" s="31"/>
      <c r="OYD86" s="31"/>
      <c r="OYE86" s="31"/>
      <c r="OYF86" s="31"/>
      <c r="OYG86" s="31"/>
      <c r="OYH86" s="31"/>
      <c r="OYI86" s="31"/>
      <c r="OYJ86" s="31"/>
      <c r="OYK86" s="31"/>
      <c r="OYL86" s="31"/>
      <c r="OYM86" s="31"/>
      <c r="OYN86" s="31"/>
      <c r="OYO86" s="31"/>
      <c r="OYP86" s="31"/>
      <c r="OYQ86" s="31"/>
      <c r="OYR86" s="31"/>
      <c r="OYS86" s="31"/>
      <c r="OYT86" s="31"/>
      <c r="OYU86" s="31"/>
      <c r="OYV86" s="31"/>
      <c r="OYW86" s="31"/>
      <c r="OYX86" s="31"/>
      <c r="OYY86" s="31"/>
      <c r="OYZ86" s="31"/>
      <c r="OZA86" s="31"/>
      <c r="OZB86" s="31"/>
      <c r="OZC86" s="31"/>
      <c r="OZD86" s="31"/>
      <c r="OZE86" s="31"/>
      <c r="OZF86" s="31"/>
      <c r="OZG86" s="31"/>
      <c r="OZH86" s="31"/>
      <c r="OZI86" s="31"/>
      <c r="OZJ86" s="31"/>
      <c r="OZK86" s="31"/>
      <c r="OZL86" s="31"/>
      <c r="OZM86" s="31"/>
      <c r="OZN86" s="31"/>
      <c r="OZO86" s="31"/>
      <c r="OZP86" s="31"/>
      <c r="OZQ86" s="31"/>
      <c r="OZR86" s="31"/>
      <c r="OZS86" s="31"/>
      <c r="OZT86" s="31"/>
      <c r="OZU86" s="31"/>
      <c r="OZV86" s="31"/>
      <c r="OZW86" s="31"/>
      <c r="OZX86" s="31"/>
      <c r="OZY86" s="31"/>
      <c r="OZZ86" s="31"/>
      <c r="PAA86" s="31"/>
      <c r="PAB86" s="31"/>
      <c r="PAC86" s="31"/>
      <c r="PAD86" s="31"/>
      <c r="PAE86" s="31"/>
      <c r="PAF86" s="31"/>
      <c r="PAG86" s="31"/>
      <c r="PAH86" s="31"/>
      <c r="PAI86" s="31"/>
      <c r="PAJ86" s="31"/>
      <c r="PAK86" s="31"/>
      <c r="PAL86" s="31"/>
      <c r="PAM86" s="31"/>
      <c r="PAN86" s="31"/>
      <c r="PAO86" s="31"/>
      <c r="PAP86" s="31"/>
      <c r="PAQ86" s="31"/>
      <c r="PAR86" s="31"/>
      <c r="PAS86" s="31"/>
      <c r="PAT86" s="31"/>
      <c r="PAU86" s="31"/>
      <c r="PAV86" s="31"/>
      <c r="PAW86" s="31"/>
      <c r="PAX86" s="31"/>
      <c r="PAY86" s="31"/>
      <c r="PAZ86" s="31"/>
      <c r="PBA86" s="31"/>
      <c r="PBB86" s="31"/>
      <c r="PBC86" s="31"/>
      <c r="PBD86" s="31"/>
      <c r="PBE86" s="31"/>
      <c r="PBF86" s="31"/>
      <c r="PBG86" s="31"/>
      <c r="PBH86" s="31"/>
      <c r="PBI86" s="31"/>
      <c r="PBJ86" s="31"/>
      <c r="PBK86" s="31"/>
      <c r="PBL86" s="31"/>
      <c r="PBM86" s="31"/>
      <c r="PBN86" s="31"/>
      <c r="PBO86" s="31"/>
      <c r="PBP86" s="31"/>
      <c r="PBQ86" s="31"/>
      <c r="PBR86" s="31"/>
      <c r="PBS86" s="31"/>
      <c r="PBT86" s="31"/>
      <c r="PBU86" s="31"/>
      <c r="PBV86" s="31"/>
      <c r="PBW86" s="31"/>
      <c r="PBX86" s="31"/>
      <c r="PBY86" s="31"/>
      <c r="PBZ86" s="31"/>
      <c r="PCA86" s="31"/>
      <c r="PCB86" s="31"/>
      <c r="PCC86" s="31"/>
      <c r="PCD86" s="31"/>
      <c r="PCE86" s="31"/>
      <c r="PCF86" s="31"/>
      <c r="PCG86" s="31"/>
      <c r="PCH86" s="31"/>
      <c r="PCI86" s="31"/>
      <c r="PCJ86" s="31"/>
      <c r="PCK86" s="31"/>
      <c r="PCL86" s="31"/>
      <c r="PCM86" s="31"/>
      <c r="PCN86" s="31"/>
      <c r="PCO86" s="31"/>
      <c r="PCP86" s="31"/>
      <c r="PCQ86" s="31"/>
      <c r="PCR86" s="31"/>
      <c r="PCS86" s="31"/>
      <c r="PCT86" s="31"/>
      <c r="PCU86" s="31"/>
      <c r="PCV86" s="31"/>
      <c r="PCW86" s="31"/>
      <c r="PCX86" s="31"/>
      <c r="PCY86" s="31"/>
      <c r="PCZ86" s="31"/>
      <c r="PDA86" s="31"/>
      <c r="PDB86" s="31"/>
      <c r="PDC86" s="31"/>
      <c r="PDD86" s="31"/>
      <c r="PDE86" s="31"/>
      <c r="PDF86" s="31"/>
      <c r="PDG86" s="31"/>
      <c r="PDH86" s="31"/>
      <c r="PDI86" s="31"/>
      <c r="PDJ86" s="31"/>
      <c r="PDK86" s="31"/>
      <c r="PDL86" s="31"/>
      <c r="PDM86" s="31"/>
      <c r="PDN86" s="31"/>
      <c r="PDO86" s="31"/>
      <c r="PDP86" s="31"/>
      <c r="PDQ86" s="31"/>
      <c r="PDR86" s="31"/>
      <c r="PDS86" s="31"/>
      <c r="PDT86" s="31"/>
      <c r="PDU86" s="31"/>
      <c r="PDV86" s="31"/>
      <c r="PDW86" s="31"/>
      <c r="PDX86" s="31"/>
      <c r="PDY86" s="31"/>
      <c r="PDZ86" s="31"/>
      <c r="PEA86" s="31"/>
      <c r="PEB86" s="31"/>
      <c r="PEC86" s="31"/>
      <c r="PED86" s="31"/>
      <c r="PEE86" s="31"/>
      <c r="PEF86" s="31"/>
      <c r="PEG86" s="31"/>
      <c r="PEH86" s="31"/>
      <c r="PEI86" s="31"/>
      <c r="PEJ86" s="31"/>
      <c r="PEK86" s="31"/>
      <c r="PEL86" s="31"/>
      <c r="PEM86" s="31"/>
      <c r="PEN86" s="31"/>
      <c r="PEO86" s="31"/>
      <c r="PEP86" s="31"/>
      <c r="PEQ86" s="31"/>
      <c r="PER86" s="31"/>
      <c r="PES86" s="31"/>
      <c r="PET86" s="31"/>
      <c r="PEU86" s="31"/>
      <c r="PEV86" s="31"/>
      <c r="PEW86" s="31"/>
      <c r="PEX86" s="31"/>
      <c r="PEY86" s="31"/>
      <c r="PEZ86" s="31"/>
      <c r="PFA86" s="31"/>
      <c r="PFB86" s="31"/>
      <c r="PFC86" s="31"/>
      <c r="PFD86" s="31"/>
      <c r="PFE86" s="31"/>
      <c r="PFF86" s="31"/>
      <c r="PFG86" s="31"/>
      <c r="PFH86" s="31"/>
      <c r="PFI86" s="31"/>
      <c r="PFJ86" s="31"/>
      <c r="PFK86" s="31"/>
      <c r="PFL86" s="31"/>
      <c r="PFM86" s="31"/>
      <c r="PFN86" s="31"/>
      <c r="PFO86" s="31"/>
      <c r="PFP86" s="31"/>
      <c r="PFQ86" s="31"/>
      <c r="PFR86" s="31"/>
      <c r="PFS86" s="31"/>
      <c r="PFT86" s="31"/>
      <c r="PFU86" s="31"/>
      <c r="PFV86" s="31"/>
      <c r="PFW86" s="31"/>
      <c r="PFX86" s="31"/>
      <c r="PFY86" s="31"/>
      <c r="PFZ86" s="31"/>
      <c r="PGA86" s="31"/>
      <c r="PGB86" s="31"/>
      <c r="PGC86" s="31"/>
      <c r="PGD86" s="31"/>
      <c r="PGE86" s="31"/>
      <c r="PGF86" s="31"/>
      <c r="PGG86" s="31"/>
      <c r="PGH86" s="31"/>
      <c r="PGI86" s="31"/>
      <c r="PGJ86" s="31"/>
      <c r="PGK86" s="31"/>
      <c r="PGL86" s="31"/>
      <c r="PGM86" s="31"/>
      <c r="PGN86" s="31"/>
      <c r="PGO86" s="31"/>
      <c r="PGP86" s="31"/>
      <c r="PGQ86" s="31"/>
      <c r="PGR86" s="31"/>
      <c r="PGS86" s="31"/>
      <c r="PGT86" s="31"/>
      <c r="PGU86" s="31"/>
      <c r="PGV86" s="31"/>
      <c r="PGW86" s="31"/>
      <c r="PGX86" s="31"/>
      <c r="PGY86" s="31"/>
      <c r="PGZ86" s="31"/>
      <c r="PHA86" s="31"/>
      <c r="PHB86" s="31"/>
      <c r="PHC86" s="31"/>
      <c r="PHD86" s="31"/>
      <c r="PHE86" s="31"/>
      <c r="PHF86" s="31"/>
      <c r="PHG86" s="31"/>
      <c r="PHH86" s="31"/>
      <c r="PHI86" s="31"/>
      <c r="PHJ86" s="31"/>
      <c r="PHK86" s="31"/>
      <c r="PHL86" s="31"/>
      <c r="PHM86" s="31"/>
      <c r="PHN86" s="31"/>
      <c r="PHO86" s="31"/>
      <c r="PHP86" s="31"/>
      <c r="PHQ86" s="31"/>
      <c r="PHR86" s="31"/>
      <c r="PHS86" s="31"/>
      <c r="PHT86" s="31"/>
      <c r="PHU86" s="31"/>
      <c r="PHV86" s="31"/>
      <c r="PHW86" s="31"/>
      <c r="PHX86" s="31"/>
      <c r="PHY86" s="31"/>
      <c r="PHZ86" s="31"/>
      <c r="PIA86" s="31"/>
      <c r="PIB86" s="31"/>
      <c r="PIC86" s="31"/>
      <c r="PID86" s="31"/>
      <c r="PIE86" s="31"/>
      <c r="PIF86" s="31"/>
      <c r="PIG86" s="31"/>
      <c r="PIH86" s="31"/>
      <c r="PII86" s="31"/>
      <c r="PIJ86" s="31"/>
      <c r="PIK86" s="31"/>
      <c r="PIL86" s="31"/>
      <c r="PIM86" s="31"/>
      <c r="PIN86" s="31"/>
      <c r="PIO86" s="31"/>
      <c r="PIP86" s="31"/>
      <c r="PIQ86" s="31"/>
      <c r="PIR86" s="31"/>
      <c r="PIS86" s="31"/>
      <c r="PIT86" s="31"/>
      <c r="PIU86" s="31"/>
      <c r="PIV86" s="31"/>
      <c r="PIW86" s="31"/>
      <c r="PIX86" s="31"/>
      <c r="PIY86" s="31"/>
      <c r="PIZ86" s="31"/>
      <c r="PJA86" s="31"/>
      <c r="PJB86" s="31"/>
      <c r="PJC86" s="31"/>
      <c r="PJD86" s="31"/>
      <c r="PJE86" s="31"/>
      <c r="PJF86" s="31"/>
      <c r="PJG86" s="31"/>
      <c r="PJH86" s="31"/>
      <c r="PJI86" s="31"/>
      <c r="PJJ86" s="31"/>
      <c r="PJK86" s="31"/>
      <c r="PJL86" s="31"/>
      <c r="PJM86" s="31"/>
      <c r="PJN86" s="31"/>
      <c r="PJO86" s="31"/>
      <c r="PJP86" s="31"/>
      <c r="PJQ86" s="31"/>
      <c r="PJR86" s="31"/>
      <c r="PJS86" s="31"/>
      <c r="PJT86" s="31"/>
      <c r="PJU86" s="31"/>
      <c r="PJV86" s="31"/>
      <c r="PJW86" s="31"/>
      <c r="PJX86" s="31"/>
      <c r="PJY86" s="31"/>
      <c r="PJZ86" s="31"/>
      <c r="PKA86" s="31"/>
      <c r="PKB86" s="31"/>
      <c r="PKC86" s="31"/>
      <c r="PKD86" s="31"/>
      <c r="PKE86" s="31"/>
      <c r="PKF86" s="31"/>
      <c r="PKG86" s="31"/>
      <c r="PKH86" s="31"/>
      <c r="PKI86" s="31"/>
      <c r="PKJ86" s="31"/>
      <c r="PKK86" s="31"/>
      <c r="PKL86" s="31"/>
      <c r="PKM86" s="31"/>
      <c r="PKN86" s="31"/>
      <c r="PKO86" s="31"/>
      <c r="PKP86" s="31"/>
      <c r="PKQ86" s="31"/>
      <c r="PKR86" s="31"/>
      <c r="PKS86" s="31"/>
      <c r="PKT86" s="31"/>
      <c r="PKU86" s="31"/>
      <c r="PKV86" s="31"/>
      <c r="PKW86" s="31"/>
      <c r="PKX86" s="31"/>
      <c r="PKY86" s="31"/>
      <c r="PKZ86" s="31"/>
      <c r="PLA86" s="31"/>
      <c r="PLB86" s="31"/>
      <c r="PLC86" s="31"/>
      <c r="PLD86" s="31"/>
      <c r="PLE86" s="31"/>
      <c r="PLF86" s="31"/>
      <c r="PLG86" s="31"/>
      <c r="PLH86" s="31"/>
      <c r="PLI86" s="31"/>
      <c r="PLJ86" s="31"/>
      <c r="PLK86" s="31"/>
      <c r="PLL86" s="31"/>
      <c r="PLM86" s="31"/>
      <c r="PLN86" s="31"/>
      <c r="PLO86" s="31"/>
      <c r="PLP86" s="31"/>
      <c r="PLQ86" s="31"/>
      <c r="PLR86" s="31"/>
      <c r="PLS86" s="31"/>
      <c r="PLT86" s="31"/>
      <c r="PLU86" s="31"/>
      <c r="PLV86" s="31"/>
      <c r="PLW86" s="31"/>
      <c r="PLX86" s="31"/>
      <c r="PLY86" s="31"/>
      <c r="PLZ86" s="31"/>
      <c r="PMA86" s="31"/>
      <c r="PMB86" s="31"/>
      <c r="PMC86" s="31"/>
      <c r="PMD86" s="31"/>
      <c r="PME86" s="31"/>
      <c r="PMF86" s="31"/>
      <c r="PMG86" s="31"/>
      <c r="PMH86" s="31"/>
      <c r="PMI86" s="31"/>
      <c r="PMJ86" s="31"/>
      <c r="PMK86" s="31"/>
      <c r="PML86" s="31"/>
      <c r="PMM86" s="31"/>
      <c r="PMN86" s="31"/>
      <c r="PMO86" s="31"/>
      <c r="PMP86" s="31"/>
      <c r="PMQ86" s="31"/>
      <c r="PMR86" s="31"/>
      <c r="PMS86" s="31"/>
      <c r="PMT86" s="31"/>
      <c r="PMU86" s="31"/>
      <c r="PMV86" s="31"/>
      <c r="PMW86" s="31"/>
      <c r="PMX86" s="31"/>
      <c r="PMY86" s="31"/>
      <c r="PMZ86" s="31"/>
      <c r="PNA86" s="31"/>
      <c r="PNB86" s="31"/>
      <c r="PNC86" s="31"/>
      <c r="PND86" s="31"/>
      <c r="PNE86" s="31"/>
      <c r="PNF86" s="31"/>
      <c r="PNG86" s="31"/>
      <c r="PNH86" s="31"/>
      <c r="PNI86" s="31"/>
      <c r="PNJ86" s="31"/>
      <c r="PNK86" s="31"/>
      <c r="PNL86" s="31"/>
      <c r="PNM86" s="31"/>
      <c r="PNN86" s="31"/>
      <c r="PNO86" s="31"/>
      <c r="PNP86" s="31"/>
      <c r="PNQ86" s="31"/>
      <c r="PNR86" s="31"/>
      <c r="PNS86" s="31"/>
      <c r="PNT86" s="31"/>
      <c r="PNU86" s="31"/>
      <c r="PNV86" s="31"/>
      <c r="PNW86" s="31"/>
      <c r="PNX86" s="31"/>
      <c r="PNY86" s="31"/>
      <c r="PNZ86" s="31"/>
      <c r="POA86" s="31"/>
      <c r="POB86" s="31"/>
      <c r="POC86" s="31"/>
      <c r="POD86" s="31"/>
      <c r="POE86" s="31"/>
      <c r="POF86" s="31"/>
      <c r="POG86" s="31"/>
      <c r="POH86" s="31"/>
      <c r="POI86" s="31"/>
      <c r="POJ86" s="31"/>
      <c r="POK86" s="31"/>
      <c r="POL86" s="31"/>
      <c r="POM86" s="31"/>
      <c r="PON86" s="31"/>
      <c r="POO86" s="31"/>
      <c r="POP86" s="31"/>
      <c r="POQ86" s="31"/>
      <c r="POR86" s="31"/>
      <c r="POS86" s="31"/>
      <c r="POT86" s="31"/>
      <c r="POU86" s="31"/>
      <c r="POV86" s="31"/>
      <c r="POW86" s="31"/>
      <c r="POX86" s="31"/>
      <c r="POY86" s="31"/>
      <c r="POZ86" s="31"/>
      <c r="PPA86" s="31"/>
      <c r="PPB86" s="31"/>
      <c r="PPC86" s="31"/>
      <c r="PPD86" s="31"/>
      <c r="PPE86" s="31"/>
      <c r="PPF86" s="31"/>
      <c r="PPG86" s="31"/>
      <c r="PPH86" s="31"/>
      <c r="PPI86" s="31"/>
      <c r="PPJ86" s="31"/>
      <c r="PPK86" s="31"/>
      <c r="PPL86" s="31"/>
      <c r="PPM86" s="31"/>
      <c r="PPN86" s="31"/>
      <c r="PPO86" s="31"/>
      <c r="PPP86" s="31"/>
      <c r="PPQ86" s="31"/>
      <c r="PPR86" s="31"/>
      <c r="PPS86" s="31"/>
      <c r="PPT86" s="31"/>
      <c r="PPU86" s="31"/>
      <c r="PPV86" s="31"/>
      <c r="PPW86" s="31"/>
      <c r="PPX86" s="31"/>
      <c r="PPY86" s="31"/>
      <c r="PPZ86" s="31"/>
      <c r="PQA86" s="31"/>
      <c r="PQB86" s="31"/>
      <c r="PQC86" s="31"/>
      <c r="PQD86" s="31"/>
      <c r="PQE86" s="31"/>
      <c r="PQF86" s="31"/>
      <c r="PQG86" s="31"/>
      <c r="PQH86" s="31"/>
      <c r="PQI86" s="31"/>
      <c r="PQJ86" s="31"/>
      <c r="PQK86" s="31"/>
      <c r="PQL86" s="31"/>
      <c r="PQM86" s="31"/>
      <c r="PQN86" s="31"/>
      <c r="PQO86" s="31"/>
      <c r="PQP86" s="31"/>
      <c r="PQQ86" s="31"/>
      <c r="PQR86" s="31"/>
      <c r="PQS86" s="31"/>
      <c r="PQT86" s="31"/>
      <c r="PQU86" s="31"/>
      <c r="PQV86" s="31"/>
      <c r="PQW86" s="31"/>
      <c r="PQX86" s="31"/>
      <c r="PQY86" s="31"/>
      <c r="PQZ86" s="31"/>
      <c r="PRA86" s="31"/>
      <c r="PRB86" s="31"/>
      <c r="PRC86" s="31"/>
      <c r="PRD86" s="31"/>
      <c r="PRE86" s="31"/>
      <c r="PRF86" s="31"/>
      <c r="PRG86" s="31"/>
      <c r="PRH86" s="31"/>
      <c r="PRI86" s="31"/>
      <c r="PRJ86" s="31"/>
      <c r="PRK86" s="31"/>
      <c r="PRL86" s="31"/>
      <c r="PRM86" s="31"/>
      <c r="PRN86" s="31"/>
      <c r="PRO86" s="31"/>
      <c r="PRP86" s="31"/>
      <c r="PRQ86" s="31"/>
      <c r="PRR86" s="31"/>
      <c r="PRS86" s="31"/>
      <c r="PRT86" s="31"/>
      <c r="PRU86" s="31"/>
      <c r="PRV86" s="31"/>
      <c r="PRW86" s="31"/>
      <c r="PRX86" s="31"/>
      <c r="PRY86" s="31"/>
      <c r="PRZ86" s="31"/>
      <c r="PSA86" s="31"/>
      <c r="PSB86" s="31"/>
      <c r="PSC86" s="31"/>
      <c r="PSD86" s="31"/>
      <c r="PSE86" s="31"/>
      <c r="PSF86" s="31"/>
      <c r="PSG86" s="31"/>
      <c r="PSH86" s="31"/>
      <c r="PSI86" s="31"/>
      <c r="PSJ86" s="31"/>
      <c r="PSK86" s="31"/>
      <c r="PSL86" s="31"/>
      <c r="PSM86" s="31"/>
      <c r="PSN86" s="31"/>
      <c r="PSO86" s="31"/>
      <c r="PSP86" s="31"/>
      <c r="PSQ86" s="31"/>
      <c r="PSR86" s="31"/>
      <c r="PSS86" s="31"/>
      <c r="PST86" s="31"/>
      <c r="PSU86" s="31"/>
      <c r="PSV86" s="31"/>
      <c r="PSW86" s="31"/>
      <c r="PSX86" s="31"/>
      <c r="PSY86" s="31"/>
      <c r="PSZ86" s="31"/>
      <c r="PTA86" s="31"/>
      <c r="PTB86" s="31"/>
      <c r="PTC86" s="31"/>
      <c r="PTD86" s="31"/>
      <c r="PTE86" s="31"/>
      <c r="PTF86" s="31"/>
      <c r="PTG86" s="31"/>
      <c r="PTH86" s="31"/>
      <c r="PTI86" s="31"/>
      <c r="PTJ86" s="31"/>
      <c r="PTK86" s="31"/>
      <c r="PTL86" s="31"/>
      <c r="PTM86" s="31"/>
      <c r="PTN86" s="31"/>
      <c r="PTO86" s="31"/>
      <c r="PTP86" s="31"/>
      <c r="PTQ86" s="31"/>
      <c r="PTR86" s="31"/>
      <c r="PTS86" s="31"/>
      <c r="PTT86" s="31"/>
      <c r="PTU86" s="31"/>
      <c r="PTV86" s="31"/>
      <c r="PTW86" s="31"/>
      <c r="PTX86" s="31"/>
      <c r="PTY86" s="31"/>
      <c r="PTZ86" s="31"/>
      <c r="PUA86" s="31"/>
      <c r="PUB86" s="31"/>
      <c r="PUC86" s="31"/>
      <c r="PUD86" s="31"/>
      <c r="PUE86" s="31"/>
      <c r="PUF86" s="31"/>
      <c r="PUG86" s="31"/>
      <c r="PUH86" s="31"/>
      <c r="PUI86" s="31"/>
      <c r="PUJ86" s="31"/>
      <c r="PUK86" s="31"/>
      <c r="PUL86" s="31"/>
      <c r="PUM86" s="31"/>
      <c r="PUN86" s="31"/>
      <c r="PUO86" s="31"/>
      <c r="PUP86" s="31"/>
      <c r="PUQ86" s="31"/>
      <c r="PUR86" s="31"/>
      <c r="PUS86" s="31"/>
      <c r="PUT86" s="31"/>
      <c r="PUU86" s="31"/>
      <c r="PUV86" s="31"/>
      <c r="PUW86" s="31"/>
      <c r="PUX86" s="31"/>
      <c r="PUY86" s="31"/>
      <c r="PUZ86" s="31"/>
      <c r="PVA86" s="31"/>
      <c r="PVB86" s="31"/>
      <c r="PVC86" s="31"/>
      <c r="PVD86" s="31"/>
      <c r="PVE86" s="31"/>
      <c r="PVF86" s="31"/>
      <c r="PVG86" s="31"/>
      <c r="PVH86" s="31"/>
      <c r="PVI86" s="31"/>
      <c r="PVJ86" s="31"/>
      <c r="PVK86" s="31"/>
      <c r="PVL86" s="31"/>
      <c r="PVM86" s="31"/>
      <c r="PVN86" s="31"/>
      <c r="PVO86" s="31"/>
      <c r="PVP86" s="31"/>
      <c r="PVQ86" s="31"/>
      <c r="PVR86" s="31"/>
      <c r="PVS86" s="31"/>
      <c r="PVT86" s="31"/>
      <c r="PVU86" s="31"/>
      <c r="PVV86" s="31"/>
      <c r="PVW86" s="31"/>
      <c r="PVX86" s="31"/>
      <c r="PVY86" s="31"/>
      <c r="PVZ86" s="31"/>
      <c r="PWA86" s="31"/>
      <c r="PWB86" s="31"/>
      <c r="PWC86" s="31"/>
      <c r="PWD86" s="31"/>
      <c r="PWE86" s="31"/>
      <c r="PWF86" s="31"/>
      <c r="PWG86" s="31"/>
      <c r="PWH86" s="31"/>
      <c r="PWI86" s="31"/>
      <c r="PWJ86" s="31"/>
      <c r="PWK86" s="31"/>
      <c r="PWL86" s="31"/>
      <c r="PWM86" s="31"/>
      <c r="PWN86" s="31"/>
      <c r="PWO86" s="31"/>
      <c r="PWP86" s="31"/>
      <c r="PWQ86" s="31"/>
      <c r="PWR86" s="31"/>
      <c r="PWS86" s="31"/>
      <c r="PWT86" s="31"/>
      <c r="PWU86" s="31"/>
      <c r="PWV86" s="31"/>
      <c r="PWW86" s="31"/>
      <c r="PWX86" s="31"/>
      <c r="PWY86" s="31"/>
      <c r="PWZ86" s="31"/>
      <c r="PXA86" s="31"/>
      <c r="PXB86" s="31"/>
      <c r="PXC86" s="31"/>
      <c r="PXD86" s="31"/>
      <c r="PXE86" s="31"/>
      <c r="PXF86" s="31"/>
      <c r="PXG86" s="31"/>
      <c r="PXH86" s="31"/>
      <c r="PXI86" s="31"/>
      <c r="PXJ86" s="31"/>
      <c r="PXK86" s="31"/>
      <c r="PXL86" s="31"/>
      <c r="PXM86" s="31"/>
      <c r="PXN86" s="31"/>
      <c r="PXO86" s="31"/>
      <c r="PXP86" s="31"/>
      <c r="PXQ86" s="31"/>
      <c r="PXR86" s="31"/>
      <c r="PXS86" s="31"/>
      <c r="PXT86" s="31"/>
      <c r="PXU86" s="31"/>
      <c r="PXV86" s="31"/>
      <c r="PXW86" s="31"/>
      <c r="PXX86" s="31"/>
      <c r="PXY86" s="31"/>
      <c r="PXZ86" s="31"/>
      <c r="PYA86" s="31"/>
      <c r="PYB86" s="31"/>
      <c r="PYC86" s="31"/>
      <c r="PYD86" s="31"/>
      <c r="PYE86" s="31"/>
      <c r="PYF86" s="31"/>
      <c r="PYG86" s="31"/>
      <c r="PYH86" s="31"/>
      <c r="PYI86" s="31"/>
      <c r="PYJ86" s="31"/>
      <c r="PYK86" s="31"/>
      <c r="PYL86" s="31"/>
      <c r="PYM86" s="31"/>
      <c r="PYN86" s="31"/>
      <c r="PYO86" s="31"/>
      <c r="PYP86" s="31"/>
      <c r="PYQ86" s="31"/>
      <c r="PYR86" s="31"/>
      <c r="PYS86" s="31"/>
      <c r="PYT86" s="31"/>
      <c r="PYU86" s="31"/>
      <c r="PYV86" s="31"/>
      <c r="PYW86" s="31"/>
      <c r="PYX86" s="31"/>
      <c r="PYY86" s="31"/>
      <c r="PYZ86" s="31"/>
      <c r="PZA86" s="31"/>
      <c r="PZB86" s="31"/>
      <c r="PZC86" s="31"/>
      <c r="PZD86" s="31"/>
      <c r="PZE86" s="31"/>
      <c r="PZF86" s="31"/>
      <c r="PZG86" s="31"/>
      <c r="PZH86" s="31"/>
      <c r="PZI86" s="31"/>
      <c r="PZJ86" s="31"/>
      <c r="PZK86" s="31"/>
      <c r="PZL86" s="31"/>
      <c r="PZM86" s="31"/>
      <c r="PZN86" s="31"/>
      <c r="PZO86" s="31"/>
      <c r="PZP86" s="31"/>
      <c r="PZQ86" s="31"/>
      <c r="PZR86" s="31"/>
      <c r="PZS86" s="31"/>
      <c r="PZT86" s="31"/>
      <c r="PZU86" s="31"/>
      <c r="PZV86" s="31"/>
      <c r="PZW86" s="31"/>
      <c r="PZX86" s="31"/>
      <c r="PZY86" s="31"/>
      <c r="PZZ86" s="31"/>
      <c r="QAA86" s="31"/>
      <c r="QAB86" s="31"/>
      <c r="QAC86" s="31"/>
      <c r="QAD86" s="31"/>
      <c r="QAE86" s="31"/>
      <c r="QAF86" s="31"/>
      <c r="QAG86" s="31"/>
      <c r="QAH86" s="31"/>
      <c r="QAI86" s="31"/>
      <c r="QAJ86" s="31"/>
      <c r="QAK86" s="31"/>
      <c r="QAL86" s="31"/>
      <c r="QAM86" s="31"/>
      <c r="QAN86" s="31"/>
      <c r="QAO86" s="31"/>
      <c r="QAP86" s="31"/>
      <c r="QAQ86" s="31"/>
      <c r="QAR86" s="31"/>
      <c r="QAS86" s="31"/>
      <c r="QAT86" s="31"/>
      <c r="QAU86" s="31"/>
      <c r="QAV86" s="31"/>
      <c r="QAW86" s="31"/>
      <c r="QAX86" s="31"/>
      <c r="QAY86" s="31"/>
      <c r="QAZ86" s="31"/>
      <c r="QBA86" s="31"/>
      <c r="QBB86" s="31"/>
      <c r="QBC86" s="31"/>
      <c r="QBD86" s="31"/>
      <c r="QBE86" s="31"/>
      <c r="QBF86" s="31"/>
      <c r="QBG86" s="31"/>
      <c r="QBH86" s="31"/>
      <c r="QBI86" s="31"/>
      <c r="QBJ86" s="31"/>
      <c r="QBK86" s="31"/>
      <c r="QBL86" s="31"/>
      <c r="QBM86" s="31"/>
      <c r="QBN86" s="31"/>
      <c r="QBO86" s="31"/>
      <c r="QBP86" s="31"/>
      <c r="QBQ86" s="31"/>
      <c r="QBR86" s="31"/>
      <c r="QBS86" s="31"/>
      <c r="QBT86" s="31"/>
      <c r="QBU86" s="31"/>
      <c r="QBV86" s="31"/>
      <c r="QBW86" s="31"/>
      <c r="QBX86" s="31"/>
      <c r="QBY86" s="31"/>
      <c r="QBZ86" s="31"/>
      <c r="QCA86" s="31"/>
      <c r="QCB86" s="31"/>
      <c r="QCC86" s="31"/>
      <c r="QCD86" s="31"/>
      <c r="QCE86" s="31"/>
      <c r="QCF86" s="31"/>
      <c r="QCG86" s="31"/>
      <c r="QCH86" s="31"/>
      <c r="QCI86" s="31"/>
      <c r="QCJ86" s="31"/>
      <c r="QCK86" s="31"/>
      <c r="QCL86" s="31"/>
      <c r="QCM86" s="31"/>
      <c r="QCN86" s="31"/>
      <c r="QCO86" s="31"/>
      <c r="QCP86" s="31"/>
      <c r="QCQ86" s="31"/>
      <c r="QCR86" s="31"/>
      <c r="QCS86" s="31"/>
      <c r="QCT86" s="31"/>
      <c r="QCU86" s="31"/>
      <c r="QCV86" s="31"/>
      <c r="QCW86" s="31"/>
      <c r="QCX86" s="31"/>
      <c r="QCY86" s="31"/>
      <c r="QCZ86" s="31"/>
      <c r="QDA86" s="31"/>
      <c r="QDB86" s="31"/>
      <c r="QDC86" s="31"/>
      <c r="QDD86" s="31"/>
      <c r="QDE86" s="31"/>
      <c r="QDF86" s="31"/>
      <c r="QDG86" s="31"/>
      <c r="QDH86" s="31"/>
      <c r="QDI86" s="31"/>
      <c r="QDJ86" s="31"/>
      <c r="QDK86" s="31"/>
      <c r="QDL86" s="31"/>
      <c r="QDM86" s="31"/>
      <c r="QDN86" s="31"/>
      <c r="QDO86" s="31"/>
      <c r="QDP86" s="31"/>
      <c r="QDQ86" s="31"/>
      <c r="QDR86" s="31"/>
      <c r="QDS86" s="31"/>
      <c r="QDT86" s="31"/>
      <c r="QDU86" s="31"/>
      <c r="QDV86" s="31"/>
      <c r="QDW86" s="31"/>
      <c r="QDX86" s="31"/>
      <c r="QDY86" s="31"/>
      <c r="QDZ86" s="31"/>
      <c r="QEA86" s="31"/>
      <c r="QEB86" s="31"/>
      <c r="QEC86" s="31"/>
      <c r="QED86" s="31"/>
      <c r="QEE86" s="31"/>
      <c r="QEF86" s="31"/>
      <c r="QEG86" s="31"/>
      <c r="QEH86" s="31"/>
      <c r="QEI86" s="31"/>
      <c r="QEJ86" s="31"/>
      <c r="QEK86" s="31"/>
      <c r="QEL86" s="31"/>
      <c r="QEM86" s="31"/>
      <c r="QEN86" s="31"/>
      <c r="QEO86" s="31"/>
      <c r="QEP86" s="31"/>
      <c r="QEQ86" s="31"/>
      <c r="QER86" s="31"/>
      <c r="QES86" s="31"/>
      <c r="QET86" s="31"/>
      <c r="QEU86" s="31"/>
      <c r="QEV86" s="31"/>
      <c r="QEW86" s="31"/>
      <c r="QEX86" s="31"/>
      <c r="QEY86" s="31"/>
      <c r="QEZ86" s="31"/>
      <c r="QFA86" s="31"/>
      <c r="QFB86" s="31"/>
      <c r="QFC86" s="31"/>
      <c r="QFD86" s="31"/>
      <c r="QFE86" s="31"/>
      <c r="QFF86" s="31"/>
      <c r="QFG86" s="31"/>
      <c r="QFH86" s="31"/>
      <c r="QFI86" s="31"/>
      <c r="QFJ86" s="31"/>
      <c r="QFK86" s="31"/>
      <c r="QFL86" s="31"/>
      <c r="QFM86" s="31"/>
      <c r="QFN86" s="31"/>
      <c r="QFO86" s="31"/>
      <c r="QFP86" s="31"/>
      <c r="QFQ86" s="31"/>
      <c r="QFR86" s="31"/>
      <c r="QFS86" s="31"/>
      <c r="QFT86" s="31"/>
      <c r="QFU86" s="31"/>
      <c r="QFV86" s="31"/>
      <c r="QFW86" s="31"/>
      <c r="QFX86" s="31"/>
      <c r="QFY86" s="31"/>
      <c r="QFZ86" s="31"/>
      <c r="QGA86" s="31"/>
      <c r="QGB86" s="31"/>
      <c r="QGC86" s="31"/>
      <c r="QGD86" s="31"/>
      <c r="QGE86" s="31"/>
      <c r="QGF86" s="31"/>
      <c r="QGG86" s="31"/>
      <c r="QGH86" s="31"/>
      <c r="QGI86" s="31"/>
      <c r="QGJ86" s="31"/>
      <c r="QGK86" s="31"/>
      <c r="QGL86" s="31"/>
      <c r="QGM86" s="31"/>
      <c r="QGN86" s="31"/>
      <c r="QGO86" s="31"/>
      <c r="QGP86" s="31"/>
      <c r="QGQ86" s="31"/>
      <c r="QGR86" s="31"/>
      <c r="QGS86" s="31"/>
      <c r="QGT86" s="31"/>
      <c r="QGU86" s="31"/>
      <c r="QGV86" s="31"/>
      <c r="QGW86" s="31"/>
      <c r="QGX86" s="31"/>
      <c r="QGY86" s="31"/>
      <c r="QGZ86" s="31"/>
      <c r="QHA86" s="31"/>
      <c r="QHB86" s="31"/>
      <c r="QHC86" s="31"/>
      <c r="QHD86" s="31"/>
      <c r="QHE86" s="31"/>
      <c r="QHF86" s="31"/>
      <c r="QHG86" s="31"/>
      <c r="QHH86" s="31"/>
      <c r="QHI86" s="31"/>
      <c r="QHJ86" s="31"/>
      <c r="QHK86" s="31"/>
      <c r="QHL86" s="31"/>
      <c r="QHM86" s="31"/>
      <c r="QHN86" s="31"/>
      <c r="QHO86" s="31"/>
      <c r="QHP86" s="31"/>
      <c r="QHQ86" s="31"/>
      <c r="QHR86" s="31"/>
      <c r="QHS86" s="31"/>
      <c r="QHT86" s="31"/>
      <c r="QHU86" s="31"/>
      <c r="QHV86" s="31"/>
      <c r="QHW86" s="31"/>
      <c r="QHX86" s="31"/>
      <c r="QHY86" s="31"/>
      <c r="QHZ86" s="31"/>
      <c r="QIA86" s="31"/>
      <c r="QIB86" s="31"/>
      <c r="QIC86" s="31"/>
      <c r="QID86" s="31"/>
      <c r="QIE86" s="31"/>
      <c r="QIF86" s="31"/>
      <c r="QIG86" s="31"/>
      <c r="QIH86" s="31"/>
      <c r="QII86" s="31"/>
      <c r="QIJ86" s="31"/>
      <c r="QIK86" s="31"/>
      <c r="QIL86" s="31"/>
      <c r="QIM86" s="31"/>
      <c r="QIN86" s="31"/>
      <c r="QIO86" s="31"/>
      <c r="QIP86" s="31"/>
      <c r="QIQ86" s="31"/>
      <c r="QIR86" s="31"/>
      <c r="QIS86" s="31"/>
      <c r="QIT86" s="31"/>
      <c r="QIU86" s="31"/>
      <c r="QIV86" s="31"/>
      <c r="QIW86" s="31"/>
      <c r="QIX86" s="31"/>
      <c r="QIY86" s="31"/>
      <c r="QIZ86" s="31"/>
      <c r="QJA86" s="31"/>
      <c r="QJB86" s="31"/>
      <c r="QJC86" s="31"/>
      <c r="QJD86" s="31"/>
      <c r="QJE86" s="31"/>
      <c r="QJF86" s="31"/>
      <c r="QJG86" s="31"/>
      <c r="QJH86" s="31"/>
      <c r="QJI86" s="31"/>
      <c r="QJJ86" s="31"/>
      <c r="QJK86" s="31"/>
      <c r="QJL86" s="31"/>
      <c r="QJM86" s="31"/>
      <c r="QJN86" s="31"/>
      <c r="QJO86" s="31"/>
      <c r="QJP86" s="31"/>
      <c r="QJQ86" s="31"/>
      <c r="QJR86" s="31"/>
      <c r="QJS86" s="31"/>
      <c r="QJT86" s="31"/>
      <c r="QJU86" s="31"/>
      <c r="QJV86" s="31"/>
      <c r="QJW86" s="31"/>
      <c r="QJX86" s="31"/>
      <c r="QJY86" s="31"/>
      <c r="QJZ86" s="31"/>
      <c r="QKA86" s="31"/>
      <c r="QKB86" s="31"/>
      <c r="QKC86" s="31"/>
      <c r="QKD86" s="31"/>
      <c r="QKE86" s="31"/>
      <c r="QKF86" s="31"/>
      <c r="QKG86" s="31"/>
      <c r="QKH86" s="31"/>
      <c r="QKI86" s="31"/>
      <c r="QKJ86" s="31"/>
      <c r="QKK86" s="31"/>
      <c r="QKL86" s="31"/>
      <c r="QKM86" s="31"/>
      <c r="QKN86" s="31"/>
      <c r="QKO86" s="31"/>
      <c r="QKP86" s="31"/>
      <c r="QKQ86" s="31"/>
      <c r="QKR86" s="31"/>
      <c r="QKS86" s="31"/>
      <c r="QKT86" s="31"/>
      <c r="QKU86" s="31"/>
      <c r="QKV86" s="31"/>
      <c r="QKW86" s="31"/>
      <c r="QKX86" s="31"/>
      <c r="QKY86" s="31"/>
      <c r="QKZ86" s="31"/>
      <c r="QLA86" s="31"/>
      <c r="QLB86" s="31"/>
      <c r="QLC86" s="31"/>
      <c r="QLD86" s="31"/>
      <c r="QLE86" s="31"/>
      <c r="QLF86" s="31"/>
      <c r="QLG86" s="31"/>
      <c r="QLH86" s="31"/>
      <c r="QLI86" s="31"/>
      <c r="QLJ86" s="31"/>
      <c r="QLK86" s="31"/>
      <c r="QLL86" s="31"/>
      <c r="QLM86" s="31"/>
      <c r="QLN86" s="31"/>
      <c r="QLO86" s="31"/>
      <c r="QLP86" s="31"/>
      <c r="QLQ86" s="31"/>
      <c r="QLR86" s="31"/>
      <c r="QLS86" s="31"/>
      <c r="QLT86" s="31"/>
      <c r="QLU86" s="31"/>
      <c r="QLV86" s="31"/>
      <c r="QLW86" s="31"/>
      <c r="QLX86" s="31"/>
      <c r="QLY86" s="31"/>
      <c r="QLZ86" s="31"/>
      <c r="QMA86" s="31"/>
      <c r="QMB86" s="31"/>
      <c r="QMC86" s="31"/>
      <c r="QMD86" s="31"/>
      <c r="QME86" s="31"/>
      <c r="QMF86" s="31"/>
      <c r="QMG86" s="31"/>
      <c r="QMH86" s="31"/>
      <c r="QMI86" s="31"/>
      <c r="QMJ86" s="31"/>
      <c r="QMK86" s="31"/>
      <c r="QML86" s="31"/>
      <c r="QMM86" s="31"/>
      <c r="QMN86" s="31"/>
      <c r="QMO86" s="31"/>
      <c r="QMP86" s="31"/>
      <c r="QMQ86" s="31"/>
      <c r="QMR86" s="31"/>
      <c r="QMS86" s="31"/>
      <c r="QMT86" s="31"/>
      <c r="QMU86" s="31"/>
      <c r="QMV86" s="31"/>
      <c r="QMW86" s="31"/>
      <c r="QMX86" s="31"/>
      <c r="QMY86" s="31"/>
      <c r="QMZ86" s="31"/>
      <c r="QNA86" s="31"/>
      <c r="QNB86" s="31"/>
      <c r="QNC86" s="31"/>
      <c r="QND86" s="31"/>
      <c r="QNE86" s="31"/>
      <c r="QNF86" s="31"/>
      <c r="QNG86" s="31"/>
      <c r="QNH86" s="31"/>
      <c r="QNI86" s="31"/>
      <c r="QNJ86" s="31"/>
      <c r="QNK86" s="31"/>
      <c r="QNL86" s="31"/>
      <c r="QNM86" s="31"/>
      <c r="QNN86" s="31"/>
      <c r="QNO86" s="31"/>
      <c r="QNP86" s="31"/>
      <c r="QNQ86" s="31"/>
      <c r="QNR86" s="31"/>
      <c r="QNS86" s="31"/>
      <c r="QNT86" s="31"/>
      <c r="QNU86" s="31"/>
      <c r="QNV86" s="31"/>
      <c r="QNW86" s="31"/>
      <c r="QNX86" s="31"/>
      <c r="QNY86" s="31"/>
      <c r="QNZ86" s="31"/>
      <c r="QOA86" s="31"/>
      <c r="QOB86" s="31"/>
      <c r="QOC86" s="31"/>
      <c r="QOD86" s="31"/>
      <c r="QOE86" s="31"/>
      <c r="QOF86" s="31"/>
      <c r="QOG86" s="31"/>
      <c r="QOH86" s="31"/>
      <c r="QOI86" s="31"/>
      <c r="QOJ86" s="31"/>
      <c r="QOK86" s="31"/>
      <c r="QOL86" s="31"/>
      <c r="QOM86" s="31"/>
      <c r="QON86" s="31"/>
      <c r="QOO86" s="31"/>
      <c r="QOP86" s="31"/>
      <c r="QOQ86" s="31"/>
      <c r="QOR86" s="31"/>
      <c r="QOS86" s="31"/>
      <c r="QOT86" s="31"/>
      <c r="QOU86" s="31"/>
      <c r="QOV86" s="31"/>
      <c r="QOW86" s="31"/>
      <c r="QOX86" s="31"/>
      <c r="QOY86" s="31"/>
      <c r="QOZ86" s="31"/>
      <c r="QPA86" s="31"/>
      <c r="QPB86" s="31"/>
      <c r="QPC86" s="31"/>
      <c r="QPD86" s="31"/>
      <c r="QPE86" s="31"/>
      <c r="QPF86" s="31"/>
      <c r="QPG86" s="31"/>
      <c r="QPH86" s="31"/>
      <c r="QPI86" s="31"/>
      <c r="QPJ86" s="31"/>
      <c r="QPK86" s="31"/>
      <c r="QPL86" s="31"/>
      <c r="QPM86" s="31"/>
      <c r="QPN86" s="31"/>
      <c r="QPO86" s="31"/>
      <c r="QPP86" s="31"/>
      <c r="QPQ86" s="31"/>
      <c r="QPR86" s="31"/>
      <c r="QPS86" s="31"/>
      <c r="QPT86" s="31"/>
      <c r="QPU86" s="31"/>
      <c r="QPV86" s="31"/>
      <c r="QPW86" s="31"/>
      <c r="QPX86" s="31"/>
      <c r="QPY86" s="31"/>
      <c r="QPZ86" s="31"/>
      <c r="QQA86" s="31"/>
      <c r="QQB86" s="31"/>
      <c r="QQC86" s="31"/>
      <c r="QQD86" s="31"/>
      <c r="QQE86" s="31"/>
      <c r="QQF86" s="31"/>
      <c r="QQG86" s="31"/>
      <c r="QQH86" s="31"/>
      <c r="QQI86" s="31"/>
      <c r="QQJ86" s="31"/>
      <c r="QQK86" s="31"/>
      <c r="QQL86" s="31"/>
      <c r="QQM86" s="31"/>
      <c r="QQN86" s="31"/>
      <c r="QQO86" s="31"/>
      <c r="QQP86" s="31"/>
      <c r="QQQ86" s="31"/>
      <c r="QQR86" s="31"/>
      <c r="QQS86" s="31"/>
      <c r="QQT86" s="31"/>
      <c r="QQU86" s="31"/>
      <c r="QQV86" s="31"/>
      <c r="QQW86" s="31"/>
      <c r="QQX86" s="31"/>
      <c r="QQY86" s="31"/>
      <c r="QQZ86" s="31"/>
      <c r="QRA86" s="31"/>
      <c r="QRB86" s="31"/>
      <c r="QRC86" s="31"/>
      <c r="QRD86" s="31"/>
      <c r="QRE86" s="31"/>
      <c r="QRF86" s="31"/>
      <c r="QRG86" s="31"/>
      <c r="QRH86" s="31"/>
      <c r="QRI86" s="31"/>
      <c r="QRJ86" s="31"/>
      <c r="QRK86" s="31"/>
      <c r="QRL86" s="31"/>
      <c r="QRM86" s="31"/>
      <c r="QRN86" s="31"/>
      <c r="QRO86" s="31"/>
      <c r="QRP86" s="31"/>
      <c r="QRQ86" s="31"/>
      <c r="QRR86" s="31"/>
      <c r="QRS86" s="31"/>
      <c r="QRT86" s="31"/>
      <c r="QRU86" s="31"/>
      <c r="QRV86" s="31"/>
      <c r="QRW86" s="31"/>
      <c r="QRX86" s="31"/>
      <c r="QRY86" s="31"/>
      <c r="QRZ86" s="31"/>
      <c r="QSA86" s="31"/>
      <c r="QSB86" s="31"/>
      <c r="QSC86" s="31"/>
      <c r="QSD86" s="31"/>
      <c r="QSE86" s="31"/>
      <c r="QSF86" s="31"/>
      <c r="QSG86" s="31"/>
      <c r="QSH86" s="31"/>
      <c r="QSI86" s="31"/>
      <c r="QSJ86" s="31"/>
      <c r="QSK86" s="31"/>
      <c r="QSL86" s="31"/>
      <c r="QSM86" s="31"/>
      <c r="QSN86" s="31"/>
      <c r="QSO86" s="31"/>
      <c r="QSP86" s="31"/>
      <c r="QSQ86" s="31"/>
      <c r="QSR86" s="31"/>
      <c r="QSS86" s="31"/>
      <c r="QST86" s="31"/>
      <c r="QSU86" s="31"/>
      <c r="QSV86" s="31"/>
      <c r="QSW86" s="31"/>
      <c r="QSX86" s="31"/>
      <c r="QSY86" s="31"/>
      <c r="QSZ86" s="31"/>
      <c r="QTA86" s="31"/>
      <c r="QTB86" s="31"/>
      <c r="QTC86" s="31"/>
      <c r="QTD86" s="31"/>
      <c r="QTE86" s="31"/>
      <c r="QTF86" s="31"/>
      <c r="QTG86" s="31"/>
      <c r="QTH86" s="31"/>
      <c r="QTI86" s="31"/>
      <c r="QTJ86" s="31"/>
      <c r="QTK86" s="31"/>
      <c r="QTL86" s="31"/>
      <c r="QTM86" s="31"/>
      <c r="QTN86" s="31"/>
      <c r="QTO86" s="31"/>
      <c r="QTP86" s="31"/>
      <c r="QTQ86" s="31"/>
      <c r="QTR86" s="31"/>
      <c r="QTS86" s="31"/>
      <c r="QTT86" s="31"/>
      <c r="QTU86" s="31"/>
      <c r="QTV86" s="31"/>
      <c r="QTW86" s="31"/>
      <c r="QTX86" s="31"/>
      <c r="QTY86" s="31"/>
      <c r="QTZ86" s="31"/>
      <c r="QUA86" s="31"/>
      <c r="QUB86" s="31"/>
      <c r="QUC86" s="31"/>
      <c r="QUD86" s="31"/>
      <c r="QUE86" s="31"/>
      <c r="QUF86" s="31"/>
      <c r="QUG86" s="31"/>
      <c r="QUH86" s="31"/>
      <c r="QUI86" s="31"/>
      <c r="QUJ86" s="31"/>
      <c r="QUK86" s="31"/>
      <c r="QUL86" s="31"/>
      <c r="QUM86" s="31"/>
      <c r="QUN86" s="31"/>
      <c r="QUO86" s="31"/>
      <c r="QUP86" s="31"/>
      <c r="QUQ86" s="31"/>
      <c r="QUR86" s="31"/>
      <c r="QUS86" s="31"/>
      <c r="QUT86" s="31"/>
      <c r="QUU86" s="31"/>
      <c r="QUV86" s="31"/>
      <c r="QUW86" s="31"/>
      <c r="QUX86" s="31"/>
      <c r="QUY86" s="31"/>
      <c r="QUZ86" s="31"/>
      <c r="QVA86" s="31"/>
      <c r="QVB86" s="31"/>
      <c r="QVC86" s="31"/>
      <c r="QVD86" s="31"/>
      <c r="QVE86" s="31"/>
      <c r="QVF86" s="31"/>
      <c r="QVG86" s="31"/>
      <c r="QVH86" s="31"/>
      <c r="QVI86" s="31"/>
      <c r="QVJ86" s="31"/>
      <c r="QVK86" s="31"/>
      <c r="QVL86" s="31"/>
      <c r="QVM86" s="31"/>
      <c r="QVN86" s="31"/>
      <c r="QVO86" s="31"/>
      <c r="QVP86" s="31"/>
      <c r="QVQ86" s="31"/>
      <c r="QVR86" s="31"/>
      <c r="QVS86" s="31"/>
      <c r="QVT86" s="31"/>
      <c r="QVU86" s="31"/>
      <c r="QVV86" s="31"/>
      <c r="QVW86" s="31"/>
      <c r="QVX86" s="31"/>
      <c r="QVY86" s="31"/>
      <c r="QVZ86" s="31"/>
      <c r="QWA86" s="31"/>
      <c r="QWB86" s="31"/>
      <c r="QWC86" s="31"/>
      <c r="QWD86" s="31"/>
      <c r="QWE86" s="31"/>
      <c r="QWF86" s="31"/>
      <c r="QWG86" s="31"/>
      <c r="QWH86" s="31"/>
      <c r="QWI86" s="31"/>
      <c r="QWJ86" s="31"/>
      <c r="QWK86" s="31"/>
      <c r="QWL86" s="31"/>
      <c r="QWM86" s="31"/>
      <c r="QWN86" s="31"/>
      <c r="QWO86" s="31"/>
      <c r="QWP86" s="31"/>
      <c r="QWQ86" s="31"/>
      <c r="QWR86" s="31"/>
      <c r="QWS86" s="31"/>
      <c r="QWT86" s="31"/>
      <c r="QWU86" s="31"/>
      <c r="QWV86" s="31"/>
      <c r="QWW86" s="31"/>
      <c r="QWX86" s="31"/>
      <c r="QWY86" s="31"/>
      <c r="QWZ86" s="31"/>
      <c r="QXA86" s="31"/>
      <c r="QXB86" s="31"/>
      <c r="QXC86" s="31"/>
      <c r="QXD86" s="31"/>
      <c r="QXE86" s="31"/>
      <c r="QXF86" s="31"/>
      <c r="QXG86" s="31"/>
      <c r="QXH86" s="31"/>
      <c r="QXI86" s="31"/>
      <c r="QXJ86" s="31"/>
      <c r="QXK86" s="31"/>
      <c r="QXL86" s="31"/>
      <c r="QXM86" s="31"/>
      <c r="QXN86" s="31"/>
      <c r="QXO86" s="31"/>
      <c r="QXP86" s="31"/>
      <c r="QXQ86" s="31"/>
      <c r="QXR86" s="31"/>
      <c r="QXS86" s="31"/>
      <c r="QXT86" s="31"/>
      <c r="QXU86" s="31"/>
      <c r="QXV86" s="31"/>
      <c r="QXW86" s="31"/>
      <c r="QXX86" s="31"/>
      <c r="QXY86" s="31"/>
      <c r="QXZ86" s="31"/>
      <c r="QYA86" s="31"/>
      <c r="QYB86" s="31"/>
      <c r="QYC86" s="31"/>
      <c r="QYD86" s="31"/>
      <c r="QYE86" s="31"/>
      <c r="QYF86" s="31"/>
      <c r="QYG86" s="31"/>
      <c r="QYH86" s="31"/>
      <c r="QYI86" s="31"/>
      <c r="QYJ86" s="31"/>
      <c r="QYK86" s="31"/>
      <c r="QYL86" s="31"/>
      <c r="QYM86" s="31"/>
      <c r="QYN86" s="31"/>
      <c r="QYO86" s="31"/>
      <c r="QYP86" s="31"/>
      <c r="QYQ86" s="31"/>
      <c r="QYR86" s="31"/>
      <c r="QYS86" s="31"/>
      <c r="QYT86" s="31"/>
      <c r="QYU86" s="31"/>
      <c r="QYV86" s="31"/>
      <c r="QYW86" s="31"/>
      <c r="QYX86" s="31"/>
      <c r="QYY86" s="31"/>
      <c r="QYZ86" s="31"/>
      <c r="QZA86" s="31"/>
      <c r="QZB86" s="31"/>
      <c r="QZC86" s="31"/>
      <c r="QZD86" s="31"/>
      <c r="QZE86" s="31"/>
      <c r="QZF86" s="31"/>
      <c r="QZG86" s="31"/>
      <c r="QZH86" s="31"/>
      <c r="QZI86" s="31"/>
      <c r="QZJ86" s="31"/>
      <c r="QZK86" s="31"/>
      <c r="QZL86" s="31"/>
      <c r="QZM86" s="31"/>
      <c r="QZN86" s="31"/>
      <c r="QZO86" s="31"/>
      <c r="QZP86" s="31"/>
      <c r="QZQ86" s="31"/>
      <c r="QZR86" s="31"/>
      <c r="QZS86" s="31"/>
      <c r="QZT86" s="31"/>
      <c r="QZU86" s="31"/>
      <c r="QZV86" s="31"/>
      <c r="QZW86" s="31"/>
      <c r="QZX86" s="31"/>
      <c r="QZY86" s="31"/>
      <c r="QZZ86" s="31"/>
      <c r="RAA86" s="31"/>
      <c r="RAB86" s="31"/>
      <c r="RAC86" s="31"/>
      <c r="RAD86" s="31"/>
      <c r="RAE86" s="31"/>
      <c r="RAF86" s="31"/>
      <c r="RAG86" s="31"/>
      <c r="RAH86" s="31"/>
      <c r="RAI86" s="31"/>
      <c r="RAJ86" s="31"/>
      <c r="RAK86" s="31"/>
      <c r="RAL86" s="31"/>
      <c r="RAM86" s="31"/>
      <c r="RAN86" s="31"/>
      <c r="RAO86" s="31"/>
      <c r="RAP86" s="31"/>
      <c r="RAQ86" s="31"/>
      <c r="RAR86" s="31"/>
      <c r="RAS86" s="31"/>
      <c r="RAT86" s="31"/>
      <c r="RAU86" s="31"/>
      <c r="RAV86" s="31"/>
      <c r="RAW86" s="31"/>
      <c r="RAX86" s="31"/>
      <c r="RAY86" s="31"/>
      <c r="RAZ86" s="31"/>
      <c r="RBA86" s="31"/>
      <c r="RBB86" s="31"/>
      <c r="RBC86" s="31"/>
      <c r="RBD86" s="31"/>
      <c r="RBE86" s="31"/>
      <c r="RBF86" s="31"/>
      <c r="RBG86" s="31"/>
      <c r="RBH86" s="31"/>
      <c r="RBI86" s="31"/>
      <c r="RBJ86" s="31"/>
      <c r="RBK86" s="31"/>
      <c r="RBL86" s="31"/>
      <c r="RBM86" s="31"/>
      <c r="RBN86" s="31"/>
      <c r="RBO86" s="31"/>
      <c r="RBP86" s="31"/>
      <c r="RBQ86" s="31"/>
      <c r="RBR86" s="31"/>
      <c r="RBS86" s="31"/>
      <c r="RBT86" s="31"/>
      <c r="RBU86" s="31"/>
      <c r="RBV86" s="31"/>
      <c r="RBW86" s="31"/>
      <c r="RBX86" s="31"/>
      <c r="RBY86" s="31"/>
      <c r="RBZ86" s="31"/>
      <c r="RCA86" s="31"/>
      <c r="RCB86" s="31"/>
      <c r="RCC86" s="31"/>
      <c r="RCD86" s="31"/>
      <c r="RCE86" s="31"/>
      <c r="RCF86" s="31"/>
      <c r="RCG86" s="31"/>
      <c r="RCH86" s="31"/>
      <c r="RCI86" s="31"/>
      <c r="RCJ86" s="31"/>
      <c r="RCK86" s="31"/>
      <c r="RCL86" s="31"/>
      <c r="RCM86" s="31"/>
      <c r="RCN86" s="31"/>
      <c r="RCO86" s="31"/>
      <c r="RCP86" s="31"/>
      <c r="RCQ86" s="31"/>
      <c r="RCR86" s="31"/>
      <c r="RCS86" s="31"/>
      <c r="RCT86" s="31"/>
      <c r="RCU86" s="31"/>
      <c r="RCV86" s="31"/>
      <c r="RCW86" s="31"/>
      <c r="RCX86" s="31"/>
      <c r="RCY86" s="31"/>
      <c r="RCZ86" s="31"/>
      <c r="RDA86" s="31"/>
      <c r="RDB86" s="31"/>
      <c r="RDC86" s="31"/>
      <c r="RDD86" s="31"/>
      <c r="RDE86" s="31"/>
      <c r="RDF86" s="31"/>
      <c r="RDG86" s="31"/>
      <c r="RDH86" s="31"/>
      <c r="RDI86" s="31"/>
      <c r="RDJ86" s="31"/>
      <c r="RDK86" s="31"/>
      <c r="RDL86" s="31"/>
      <c r="RDM86" s="31"/>
      <c r="RDN86" s="31"/>
      <c r="RDO86" s="31"/>
      <c r="RDP86" s="31"/>
      <c r="RDQ86" s="31"/>
      <c r="RDR86" s="31"/>
      <c r="RDS86" s="31"/>
      <c r="RDT86" s="31"/>
      <c r="RDU86" s="31"/>
      <c r="RDV86" s="31"/>
      <c r="RDW86" s="31"/>
      <c r="RDX86" s="31"/>
      <c r="RDY86" s="31"/>
      <c r="RDZ86" s="31"/>
      <c r="REA86" s="31"/>
      <c r="REB86" s="31"/>
      <c r="REC86" s="31"/>
      <c r="RED86" s="31"/>
      <c r="REE86" s="31"/>
      <c r="REF86" s="31"/>
      <c r="REG86" s="31"/>
      <c r="REH86" s="31"/>
      <c r="REI86" s="31"/>
      <c r="REJ86" s="31"/>
      <c r="REK86" s="31"/>
      <c r="REL86" s="31"/>
      <c r="REM86" s="31"/>
      <c r="REN86" s="31"/>
      <c r="REO86" s="31"/>
      <c r="REP86" s="31"/>
      <c r="REQ86" s="31"/>
      <c r="RER86" s="31"/>
      <c r="RES86" s="31"/>
      <c r="RET86" s="31"/>
      <c r="REU86" s="31"/>
      <c r="REV86" s="31"/>
      <c r="REW86" s="31"/>
      <c r="REX86" s="31"/>
      <c r="REY86" s="31"/>
      <c r="REZ86" s="31"/>
      <c r="RFA86" s="31"/>
      <c r="RFB86" s="31"/>
      <c r="RFC86" s="31"/>
      <c r="RFD86" s="31"/>
      <c r="RFE86" s="31"/>
      <c r="RFF86" s="31"/>
      <c r="RFG86" s="31"/>
      <c r="RFH86" s="31"/>
      <c r="RFI86" s="31"/>
      <c r="RFJ86" s="31"/>
      <c r="RFK86" s="31"/>
      <c r="RFL86" s="31"/>
      <c r="RFM86" s="31"/>
      <c r="RFN86" s="31"/>
      <c r="RFO86" s="31"/>
      <c r="RFP86" s="31"/>
      <c r="RFQ86" s="31"/>
      <c r="RFR86" s="31"/>
      <c r="RFS86" s="31"/>
      <c r="RFT86" s="31"/>
      <c r="RFU86" s="31"/>
      <c r="RFV86" s="31"/>
      <c r="RFW86" s="31"/>
      <c r="RFX86" s="31"/>
      <c r="RFY86" s="31"/>
      <c r="RFZ86" s="31"/>
      <c r="RGA86" s="31"/>
      <c r="RGB86" s="31"/>
      <c r="RGC86" s="31"/>
      <c r="RGD86" s="31"/>
      <c r="RGE86" s="31"/>
      <c r="RGF86" s="31"/>
      <c r="RGG86" s="31"/>
      <c r="RGH86" s="31"/>
      <c r="RGI86" s="31"/>
      <c r="RGJ86" s="31"/>
      <c r="RGK86" s="31"/>
      <c r="RGL86" s="31"/>
      <c r="RGM86" s="31"/>
      <c r="RGN86" s="31"/>
      <c r="RGO86" s="31"/>
      <c r="RGP86" s="31"/>
      <c r="RGQ86" s="31"/>
      <c r="RGR86" s="31"/>
      <c r="RGS86" s="31"/>
      <c r="RGT86" s="31"/>
      <c r="RGU86" s="31"/>
      <c r="RGV86" s="31"/>
      <c r="RGW86" s="31"/>
      <c r="RGX86" s="31"/>
      <c r="RGY86" s="31"/>
      <c r="RGZ86" s="31"/>
      <c r="RHA86" s="31"/>
      <c r="RHB86" s="31"/>
      <c r="RHC86" s="31"/>
      <c r="RHD86" s="31"/>
      <c r="RHE86" s="31"/>
      <c r="RHF86" s="31"/>
      <c r="RHG86" s="31"/>
      <c r="RHH86" s="31"/>
      <c r="RHI86" s="31"/>
      <c r="RHJ86" s="31"/>
      <c r="RHK86" s="31"/>
      <c r="RHL86" s="31"/>
      <c r="RHM86" s="31"/>
      <c r="RHN86" s="31"/>
      <c r="RHO86" s="31"/>
      <c r="RHP86" s="31"/>
      <c r="RHQ86" s="31"/>
      <c r="RHR86" s="31"/>
      <c r="RHS86" s="31"/>
      <c r="RHT86" s="31"/>
      <c r="RHU86" s="31"/>
      <c r="RHV86" s="31"/>
      <c r="RHW86" s="31"/>
      <c r="RHX86" s="31"/>
      <c r="RHY86" s="31"/>
      <c r="RHZ86" s="31"/>
      <c r="RIA86" s="31"/>
      <c r="RIB86" s="31"/>
      <c r="RIC86" s="31"/>
      <c r="RID86" s="31"/>
      <c r="RIE86" s="31"/>
      <c r="RIF86" s="31"/>
      <c r="RIG86" s="31"/>
      <c r="RIH86" s="31"/>
      <c r="RII86" s="31"/>
      <c r="RIJ86" s="31"/>
      <c r="RIK86" s="31"/>
      <c r="RIL86" s="31"/>
      <c r="RIM86" s="31"/>
      <c r="RIN86" s="31"/>
      <c r="RIO86" s="31"/>
      <c r="RIP86" s="31"/>
      <c r="RIQ86" s="31"/>
      <c r="RIR86" s="31"/>
      <c r="RIS86" s="31"/>
      <c r="RIT86" s="31"/>
      <c r="RIU86" s="31"/>
      <c r="RIV86" s="31"/>
      <c r="RIW86" s="31"/>
      <c r="RIX86" s="31"/>
      <c r="RIY86" s="31"/>
      <c r="RIZ86" s="31"/>
      <c r="RJA86" s="31"/>
      <c r="RJB86" s="31"/>
      <c r="RJC86" s="31"/>
      <c r="RJD86" s="31"/>
      <c r="RJE86" s="31"/>
      <c r="RJF86" s="31"/>
      <c r="RJG86" s="31"/>
      <c r="RJH86" s="31"/>
      <c r="RJI86" s="31"/>
      <c r="RJJ86" s="31"/>
      <c r="RJK86" s="31"/>
      <c r="RJL86" s="31"/>
      <c r="RJM86" s="31"/>
      <c r="RJN86" s="31"/>
      <c r="RJO86" s="31"/>
      <c r="RJP86" s="31"/>
      <c r="RJQ86" s="31"/>
      <c r="RJR86" s="31"/>
      <c r="RJS86" s="31"/>
      <c r="RJT86" s="31"/>
      <c r="RJU86" s="31"/>
      <c r="RJV86" s="31"/>
      <c r="RJW86" s="31"/>
      <c r="RJX86" s="31"/>
      <c r="RJY86" s="31"/>
      <c r="RJZ86" s="31"/>
      <c r="RKA86" s="31"/>
      <c r="RKB86" s="31"/>
      <c r="RKC86" s="31"/>
      <c r="RKD86" s="31"/>
      <c r="RKE86" s="31"/>
      <c r="RKF86" s="31"/>
      <c r="RKG86" s="31"/>
      <c r="RKH86" s="31"/>
      <c r="RKI86" s="31"/>
      <c r="RKJ86" s="31"/>
      <c r="RKK86" s="31"/>
      <c r="RKL86" s="31"/>
      <c r="RKM86" s="31"/>
      <c r="RKN86" s="31"/>
      <c r="RKO86" s="31"/>
      <c r="RKP86" s="31"/>
      <c r="RKQ86" s="31"/>
      <c r="RKR86" s="31"/>
      <c r="RKS86" s="31"/>
      <c r="RKT86" s="31"/>
      <c r="RKU86" s="31"/>
      <c r="RKV86" s="31"/>
      <c r="RKW86" s="31"/>
      <c r="RKX86" s="31"/>
      <c r="RKY86" s="31"/>
      <c r="RKZ86" s="31"/>
      <c r="RLA86" s="31"/>
      <c r="RLB86" s="31"/>
      <c r="RLC86" s="31"/>
      <c r="RLD86" s="31"/>
      <c r="RLE86" s="31"/>
      <c r="RLF86" s="31"/>
      <c r="RLG86" s="31"/>
      <c r="RLH86" s="31"/>
      <c r="RLI86" s="31"/>
      <c r="RLJ86" s="31"/>
      <c r="RLK86" s="31"/>
      <c r="RLL86" s="31"/>
      <c r="RLM86" s="31"/>
      <c r="RLN86" s="31"/>
      <c r="RLO86" s="31"/>
      <c r="RLP86" s="31"/>
      <c r="RLQ86" s="31"/>
      <c r="RLR86" s="31"/>
      <c r="RLS86" s="31"/>
      <c r="RLT86" s="31"/>
      <c r="RLU86" s="31"/>
      <c r="RLV86" s="31"/>
      <c r="RLW86" s="31"/>
      <c r="RLX86" s="31"/>
      <c r="RLY86" s="31"/>
      <c r="RLZ86" s="31"/>
      <c r="RMA86" s="31"/>
      <c r="RMB86" s="31"/>
      <c r="RMC86" s="31"/>
      <c r="RMD86" s="31"/>
      <c r="RME86" s="31"/>
      <c r="RMF86" s="31"/>
      <c r="RMG86" s="31"/>
      <c r="RMH86" s="31"/>
      <c r="RMI86" s="31"/>
      <c r="RMJ86" s="31"/>
      <c r="RMK86" s="31"/>
      <c r="RML86" s="31"/>
      <c r="RMM86" s="31"/>
      <c r="RMN86" s="31"/>
      <c r="RMO86" s="31"/>
      <c r="RMP86" s="31"/>
      <c r="RMQ86" s="31"/>
      <c r="RMR86" s="31"/>
      <c r="RMS86" s="31"/>
      <c r="RMT86" s="31"/>
      <c r="RMU86" s="31"/>
      <c r="RMV86" s="31"/>
      <c r="RMW86" s="31"/>
      <c r="RMX86" s="31"/>
      <c r="RMY86" s="31"/>
      <c r="RMZ86" s="31"/>
      <c r="RNA86" s="31"/>
      <c r="RNB86" s="31"/>
      <c r="RNC86" s="31"/>
      <c r="RND86" s="31"/>
      <c r="RNE86" s="31"/>
      <c r="RNF86" s="31"/>
      <c r="RNG86" s="31"/>
      <c r="RNH86" s="31"/>
      <c r="RNI86" s="31"/>
      <c r="RNJ86" s="31"/>
      <c r="RNK86" s="31"/>
      <c r="RNL86" s="31"/>
      <c r="RNM86" s="31"/>
      <c r="RNN86" s="31"/>
      <c r="RNO86" s="31"/>
      <c r="RNP86" s="31"/>
      <c r="RNQ86" s="31"/>
      <c r="RNR86" s="31"/>
      <c r="RNS86" s="31"/>
      <c r="RNT86" s="31"/>
      <c r="RNU86" s="31"/>
      <c r="RNV86" s="31"/>
      <c r="RNW86" s="31"/>
      <c r="RNX86" s="31"/>
      <c r="RNY86" s="31"/>
      <c r="RNZ86" s="31"/>
      <c r="ROA86" s="31"/>
      <c r="ROB86" s="31"/>
      <c r="ROC86" s="31"/>
      <c r="ROD86" s="31"/>
      <c r="ROE86" s="31"/>
      <c r="ROF86" s="31"/>
      <c r="ROG86" s="31"/>
      <c r="ROH86" s="31"/>
      <c r="ROI86" s="31"/>
      <c r="ROJ86" s="31"/>
      <c r="ROK86" s="31"/>
      <c r="ROL86" s="31"/>
      <c r="ROM86" s="31"/>
      <c r="RON86" s="31"/>
      <c r="ROO86" s="31"/>
      <c r="ROP86" s="31"/>
      <c r="ROQ86" s="31"/>
      <c r="ROR86" s="31"/>
      <c r="ROS86" s="31"/>
      <c r="ROT86" s="31"/>
      <c r="ROU86" s="31"/>
      <c r="ROV86" s="31"/>
      <c r="ROW86" s="31"/>
      <c r="ROX86" s="31"/>
      <c r="ROY86" s="31"/>
      <c r="ROZ86" s="31"/>
      <c r="RPA86" s="31"/>
      <c r="RPB86" s="31"/>
      <c r="RPC86" s="31"/>
      <c r="RPD86" s="31"/>
      <c r="RPE86" s="31"/>
      <c r="RPF86" s="31"/>
      <c r="RPG86" s="31"/>
      <c r="RPH86" s="31"/>
      <c r="RPI86" s="31"/>
      <c r="RPJ86" s="31"/>
      <c r="RPK86" s="31"/>
      <c r="RPL86" s="31"/>
      <c r="RPM86" s="31"/>
      <c r="RPN86" s="31"/>
      <c r="RPO86" s="31"/>
      <c r="RPP86" s="31"/>
      <c r="RPQ86" s="31"/>
      <c r="RPR86" s="31"/>
      <c r="RPS86" s="31"/>
      <c r="RPT86" s="31"/>
      <c r="RPU86" s="31"/>
      <c r="RPV86" s="31"/>
      <c r="RPW86" s="31"/>
      <c r="RPX86" s="31"/>
      <c r="RPY86" s="31"/>
      <c r="RPZ86" s="31"/>
      <c r="RQA86" s="31"/>
      <c r="RQB86" s="31"/>
      <c r="RQC86" s="31"/>
      <c r="RQD86" s="31"/>
      <c r="RQE86" s="31"/>
      <c r="RQF86" s="31"/>
      <c r="RQG86" s="31"/>
      <c r="RQH86" s="31"/>
      <c r="RQI86" s="31"/>
      <c r="RQJ86" s="31"/>
      <c r="RQK86" s="31"/>
      <c r="RQL86" s="31"/>
      <c r="RQM86" s="31"/>
      <c r="RQN86" s="31"/>
      <c r="RQO86" s="31"/>
      <c r="RQP86" s="31"/>
      <c r="RQQ86" s="31"/>
      <c r="RQR86" s="31"/>
      <c r="RQS86" s="31"/>
      <c r="RQT86" s="31"/>
      <c r="RQU86" s="31"/>
      <c r="RQV86" s="31"/>
      <c r="RQW86" s="31"/>
      <c r="RQX86" s="31"/>
      <c r="RQY86" s="31"/>
      <c r="RQZ86" s="31"/>
      <c r="RRA86" s="31"/>
      <c r="RRB86" s="31"/>
      <c r="RRC86" s="31"/>
      <c r="RRD86" s="31"/>
      <c r="RRE86" s="31"/>
      <c r="RRF86" s="31"/>
      <c r="RRG86" s="31"/>
      <c r="RRH86" s="31"/>
      <c r="RRI86" s="31"/>
      <c r="RRJ86" s="31"/>
      <c r="RRK86" s="31"/>
      <c r="RRL86" s="31"/>
      <c r="RRM86" s="31"/>
      <c r="RRN86" s="31"/>
      <c r="RRO86" s="31"/>
      <c r="RRP86" s="31"/>
      <c r="RRQ86" s="31"/>
      <c r="RRR86" s="31"/>
      <c r="RRS86" s="31"/>
      <c r="RRT86" s="31"/>
      <c r="RRU86" s="31"/>
      <c r="RRV86" s="31"/>
      <c r="RRW86" s="31"/>
      <c r="RRX86" s="31"/>
      <c r="RRY86" s="31"/>
      <c r="RRZ86" s="31"/>
      <c r="RSA86" s="31"/>
      <c r="RSB86" s="31"/>
      <c r="RSC86" s="31"/>
      <c r="RSD86" s="31"/>
      <c r="RSE86" s="31"/>
      <c r="RSF86" s="31"/>
      <c r="RSG86" s="31"/>
      <c r="RSH86" s="31"/>
      <c r="RSI86" s="31"/>
      <c r="RSJ86" s="31"/>
      <c r="RSK86" s="31"/>
      <c r="RSL86" s="31"/>
      <c r="RSM86" s="31"/>
      <c r="RSN86" s="31"/>
      <c r="RSO86" s="31"/>
      <c r="RSP86" s="31"/>
      <c r="RSQ86" s="31"/>
      <c r="RSR86" s="31"/>
      <c r="RSS86" s="31"/>
      <c r="RST86" s="31"/>
      <c r="RSU86" s="31"/>
      <c r="RSV86" s="31"/>
      <c r="RSW86" s="31"/>
      <c r="RSX86" s="31"/>
      <c r="RSY86" s="31"/>
      <c r="RSZ86" s="31"/>
      <c r="RTA86" s="31"/>
      <c r="RTB86" s="31"/>
      <c r="RTC86" s="31"/>
      <c r="RTD86" s="31"/>
      <c r="RTE86" s="31"/>
      <c r="RTF86" s="31"/>
      <c r="RTG86" s="31"/>
      <c r="RTH86" s="31"/>
      <c r="RTI86" s="31"/>
      <c r="RTJ86" s="31"/>
      <c r="RTK86" s="31"/>
      <c r="RTL86" s="31"/>
      <c r="RTM86" s="31"/>
      <c r="RTN86" s="31"/>
      <c r="RTO86" s="31"/>
      <c r="RTP86" s="31"/>
      <c r="RTQ86" s="31"/>
      <c r="RTR86" s="31"/>
      <c r="RTS86" s="31"/>
      <c r="RTT86" s="31"/>
      <c r="RTU86" s="31"/>
      <c r="RTV86" s="31"/>
      <c r="RTW86" s="31"/>
      <c r="RTX86" s="31"/>
      <c r="RTY86" s="31"/>
      <c r="RTZ86" s="31"/>
      <c r="RUA86" s="31"/>
      <c r="RUB86" s="31"/>
      <c r="RUC86" s="31"/>
      <c r="RUD86" s="31"/>
      <c r="RUE86" s="31"/>
      <c r="RUF86" s="31"/>
      <c r="RUG86" s="31"/>
      <c r="RUH86" s="31"/>
      <c r="RUI86" s="31"/>
      <c r="RUJ86" s="31"/>
      <c r="RUK86" s="31"/>
      <c r="RUL86" s="31"/>
      <c r="RUM86" s="31"/>
      <c r="RUN86" s="31"/>
      <c r="RUO86" s="31"/>
      <c r="RUP86" s="31"/>
      <c r="RUQ86" s="31"/>
      <c r="RUR86" s="31"/>
      <c r="RUS86" s="31"/>
      <c r="RUT86" s="31"/>
      <c r="RUU86" s="31"/>
      <c r="RUV86" s="31"/>
      <c r="RUW86" s="31"/>
      <c r="RUX86" s="31"/>
      <c r="RUY86" s="31"/>
      <c r="RUZ86" s="31"/>
      <c r="RVA86" s="31"/>
      <c r="RVB86" s="31"/>
      <c r="RVC86" s="31"/>
      <c r="RVD86" s="31"/>
      <c r="RVE86" s="31"/>
      <c r="RVF86" s="31"/>
      <c r="RVG86" s="31"/>
      <c r="RVH86" s="31"/>
      <c r="RVI86" s="31"/>
      <c r="RVJ86" s="31"/>
      <c r="RVK86" s="31"/>
      <c r="RVL86" s="31"/>
      <c r="RVM86" s="31"/>
      <c r="RVN86" s="31"/>
      <c r="RVO86" s="31"/>
      <c r="RVP86" s="31"/>
      <c r="RVQ86" s="31"/>
      <c r="RVR86" s="31"/>
      <c r="RVS86" s="31"/>
      <c r="RVT86" s="31"/>
      <c r="RVU86" s="31"/>
      <c r="RVV86" s="31"/>
      <c r="RVW86" s="31"/>
      <c r="RVX86" s="31"/>
      <c r="RVY86" s="31"/>
      <c r="RVZ86" s="31"/>
      <c r="RWA86" s="31"/>
      <c r="RWB86" s="31"/>
      <c r="RWC86" s="31"/>
      <c r="RWD86" s="31"/>
      <c r="RWE86" s="31"/>
      <c r="RWF86" s="31"/>
      <c r="RWG86" s="31"/>
      <c r="RWH86" s="31"/>
      <c r="RWI86" s="31"/>
      <c r="RWJ86" s="31"/>
      <c r="RWK86" s="31"/>
      <c r="RWL86" s="31"/>
      <c r="RWM86" s="31"/>
      <c r="RWN86" s="31"/>
      <c r="RWO86" s="31"/>
      <c r="RWP86" s="31"/>
      <c r="RWQ86" s="31"/>
      <c r="RWR86" s="31"/>
      <c r="RWS86" s="31"/>
      <c r="RWT86" s="31"/>
      <c r="RWU86" s="31"/>
      <c r="RWV86" s="31"/>
      <c r="RWW86" s="31"/>
      <c r="RWX86" s="31"/>
      <c r="RWY86" s="31"/>
      <c r="RWZ86" s="31"/>
      <c r="RXA86" s="31"/>
      <c r="RXB86" s="31"/>
      <c r="RXC86" s="31"/>
      <c r="RXD86" s="31"/>
      <c r="RXE86" s="31"/>
      <c r="RXF86" s="31"/>
      <c r="RXG86" s="31"/>
      <c r="RXH86" s="31"/>
      <c r="RXI86" s="31"/>
      <c r="RXJ86" s="31"/>
      <c r="RXK86" s="31"/>
      <c r="RXL86" s="31"/>
      <c r="RXM86" s="31"/>
      <c r="RXN86" s="31"/>
      <c r="RXO86" s="31"/>
      <c r="RXP86" s="31"/>
      <c r="RXQ86" s="31"/>
      <c r="RXR86" s="31"/>
      <c r="RXS86" s="31"/>
      <c r="RXT86" s="31"/>
      <c r="RXU86" s="31"/>
      <c r="RXV86" s="31"/>
      <c r="RXW86" s="31"/>
      <c r="RXX86" s="31"/>
      <c r="RXY86" s="31"/>
      <c r="RXZ86" s="31"/>
      <c r="RYA86" s="31"/>
      <c r="RYB86" s="31"/>
      <c r="RYC86" s="31"/>
      <c r="RYD86" s="31"/>
      <c r="RYE86" s="31"/>
      <c r="RYF86" s="31"/>
      <c r="RYG86" s="31"/>
      <c r="RYH86" s="31"/>
      <c r="RYI86" s="31"/>
      <c r="RYJ86" s="31"/>
      <c r="RYK86" s="31"/>
      <c r="RYL86" s="31"/>
      <c r="RYM86" s="31"/>
      <c r="RYN86" s="31"/>
      <c r="RYO86" s="31"/>
      <c r="RYP86" s="31"/>
      <c r="RYQ86" s="31"/>
      <c r="RYR86" s="31"/>
      <c r="RYS86" s="31"/>
      <c r="RYT86" s="31"/>
      <c r="RYU86" s="31"/>
      <c r="RYV86" s="31"/>
      <c r="RYW86" s="31"/>
      <c r="RYX86" s="31"/>
      <c r="RYY86" s="31"/>
      <c r="RYZ86" s="31"/>
      <c r="RZA86" s="31"/>
      <c r="RZB86" s="31"/>
      <c r="RZC86" s="31"/>
      <c r="RZD86" s="31"/>
      <c r="RZE86" s="31"/>
      <c r="RZF86" s="31"/>
      <c r="RZG86" s="31"/>
      <c r="RZH86" s="31"/>
      <c r="RZI86" s="31"/>
      <c r="RZJ86" s="31"/>
      <c r="RZK86" s="31"/>
      <c r="RZL86" s="31"/>
      <c r="RZM86" s="31"/>
      <c r="RZN86" s="31"/>
      <c r="RZO86" s="31"/>
      <c r="RZP86" s="31"/>
      <c r="RZQ86" s="31"/>
      <c r="RZR86" s="31"/>
      <c r="RZS86" s="31"/>
      <c r="RZT86" s="31"/>
      <c r="RZU86" s="31"/>
      <c r="RZV86" s="31"/>
      <c r="RZW86" s="31"/>
      <c r="RZX86" s="31"/>
      <c r="RZY86" s="31"/>
      <c r="RZZ86" s="31"/>
      <c r="SAA86" s="31"/>
      <c r="SAB86" s="31"/>
      <c r="SAC86" s="31"/>
      <c r="SAD86" s="31"/>
      <c r="SAE86" s="31"/>
      <c r="SAF86" s="31"/>
      <c r="SAG86" s="31"/>
      <c r="SAH86" s="31"/>
      <c r="SAI86" s="31"/>
      <c r="SAJ86" s="31"/>
      <c r="SAK86" s="31"/>
      <c r="SAL86" s="31"/>
      <c r="SAM86" s="31"/>
      <c r="SAN86" s="31"/>
      <c r="SAO86" s="31"/>
      <c r="SAP86" s="31"/>
      <c r="SAQ86" s="31"/>
      <c r="SAR86" s="31"/>
      <c r="SAS86" s="31"/>
      <c r="SAT86" s="31"/>
      <c r="SAU86" s="31"/>
      <c r="SAV86" s="31"/>
      <c r="SAW86" s="31"/>
      <c r="SAX86" s="31"/>
      <c r="SAY86" s="31"/>
      <c r="SAZ86" s="31"/>
      <c r="SBA86" s="31"/>
      <c r="SBB86" s="31"/>
      <c r="SBC86" s="31"/>
      <c r="SBD86" s="31"/>
      <c r="SBE86" s="31"/>
      <c r="SBF86" s="31"/>
      <c r="SBG86" s="31"/>
      <c r="SBH86" s="31"/>
      <c r="SBI86" s="31"/>
      <c r="SBJ86" s="31"/>
      <c r="SBK86" s="31"/>
      <c r="SBL86" s="31"/>
      <c r="SBM86" s="31"/>
      <c r="SBN86" s="31"/>
      <c r="SBO86" s="31"/>
      <c r="SBP86" s="31"/>
      <c r="SBQ86" s="31"/>
      <c r="SBR86" s="31"/>
      <c r="SBS86" s="31"/>
      <c r="SBT86" s="31"/>
      <c r="SBU86" s="31"/>
      <c r="SBV86" s="31"/>
      <c r="SBW86" s="31"/>
      <c r="SBX86" s="31"/>
      <c r="SBY86" s="31"/>
      <c r="SBZ86" s="31"/>
      <c r="SCA86" s="31"/>
      <c r="SCB86" s="31"/>
      <c r="SCC86" s="31"/>
      <c r="SCD86" s="31"/>
      <c r="SCE86" s="31"/>
      <c r="SCF86" s="31"/>
      <c r="SCG86" s="31"/>
      <c r="SCH86" s="31"/>
      <c r="SCI86" s="31"/>
      <c r="SCJ86" s="31"/>
      <c r="SCK86" s="31"/>
      <c r="SCL86" s="31"/>
      <c r="SCM86" s="31"/>
      <c r="SCN86" s="31"/>
      <c r="SCO86" s="31"/>
      <c r="SCP86" s="31"/>
      <c r="SCQ86" s="31"/>
      <c r="SCR86" s="31"/>
      <c r="SCS86" s="31"/>
      <c r="SCT86" s="31"/>
      <c r="SCU86" s="31"/>
      <c r="SCV86" s="31"/>
      <c r="SCW86" s="31"/>
      <c r="SCX86" s="31"/>
      <c r="SCY86" s="31"/>
      <c r="SCZ86" s="31"/>
      <c r="SDA86" s="31"/>
      <c r="SDB86" s="31"/>
      <c r="SDC86" s="31"/>
      <c r="SDD86" s="31"/>
      <c r="SDE86" s="31"/>
      <c r="SDF86" s="31"/>
      <c r="SDG86" s="31"/>
      <c r="SDH86" s="31"/>
      <c r="SDI86" s="31"/>
      <c r="SDJ86" s="31"/>
      <c r="SDK86" s="31"/>
      <c r="SDL86" s="31"/>
      <c r="SDM86" s="31"/>
      <c r="SDN86" s="31"/>
      <c r="SDO86" s="31"/>
      <c r="SDP86" s="31"/>
      <c r="SDQ86" s="31"/>
      <c r="SDR86" s="31"/>
      <c r="SDS86" s="31"/>
      <c r="SDT86" s="31"/>
      <c r="SDU86" s="31"/>
      <c r="SDV86" s="31"/>
      <c r="SDW86" s="31"/>
      <c r="SDX86" s="31"/>
      <c r="SDY86" s="31"/>
      <c r="SDZ86" s="31"/>
      <c r="SEA86" s="31"/>
      <c r="SEB86" s="31"/>
      <c r="SEC86" s="31"/>
      <c r="SED86" s="31"/>
      <c r="SEE86" s="31"/>
      <c r="SEF86" s="31"/>
      <c r="SEG86" s="31"/>
      <c r="SEH86" s="31"/>
      <c r="SEI86" s="31"/>
      <c r="SEJ86" s="31"/>
      <c r="SEK86" s="31"/>
      <c r="SEL86" s="31"/>
      <c r="SEM86" s="31"/>
      <c r="SEN86" s="31"/>
      <c r="SEO86" s="31"/>
      <c r="SEP86" s="31"/>
      <c r="SEQ86" s="31"/>
      <c r="SER86" s="31"/>
      <c r="SES86" s="31"/>
      <c r="SET86" s="31"/>
      <c r="SEU86" s="31"/>
      <c r="SEV86" s="31"/>
      <c r="SEW86" s="31"/>
      <c r="SEX86" s="31"/>
      <c r="SEY86" s="31"/>
      <c r="SEZ86" s="31"/>
      <c r="SFA86" s="31"/>
      <c r="SFB86" s="31"/>
      <c r="SFC86" s="31"/>
      <c r="SFD86" s="31"/>
      <c r="SFE86" s="31"/>
      <c r="SFF86" s="31"/>
      <c r="SFG86" s="31"/>
      <c r="SFH86" s="31"/>
      <c r="SFI86" s="31"/>
      <c r="SFJ86" s="31"/>
      <c r="SFK86" s="31"/>
      <c r="SFL86" s="31"/>
      <c r="SFM86" s="31"/>
      <c r="SFN86" s="31"/>
      <c r="SFO86" s="31"/>
      <c r="SFP86" s="31"/>
      <c r="SFQ86" s="31"/>
      <c r="SFR86" s="31"/>
      <c r="SFS86" s="31"/>
      <c r="SFT86" s="31"/>
      <c r="SFU86" s="31"/>
      <c r="SFV86" s="31"/>
      <c r="SFW86" s="31"/>
      <c r="SFX86" s="31"/>
      <c r="SFY86" s="31"/>
      <c r="SFZ86" s="31"/>
      <c r="SGA86" s="31"/>
      <c r="SGB86" s="31"/>
      <c r="SGC86" s="31"/>
      <c r="SGD86" s="31"/>
      <c r="SGE86" s="31"/>
      <c r="SGF86" s="31"/>
      <c r="SGG86" s="31"/>
      <c r="SGH86" s="31"/>
      <c r="SGI86" s="31"/>
      <c r="SGJ86" s="31"/>
      <c r="SGK86" s="31"/>
      <c r="SGL86" s="31"/>
      <c r="SGM86" s="31"/>
      <c r="SGN86" s="31"/>
      <c r="SGO86" s="31"/>
      <c r="SGP86" s="31"/>
      <c r="SGQ86" s="31"/>
      <c r="SGR86" s="31"/>
      <c r="SGS86" s="31"/>
      <c r="SGT86" s="31"/>
      <c r="SGU86" s="31"/>
      <c r="SGV86" s="31"/>
      <c r="SGW86" s="31"/>
      <c r="SGX86" s="31"/>
      <c r="SGY86" s="31"/>
      <c r="SGZ86" s="31"/>
      <c r="SHA86" s="31"/>
      <c r="SHB86" s="31"/>
      <c r="SHC86" s="31"/>
      <c r="SHD86" s="31"/>
      <c r="SHE86" s="31"/>
      <c r="SHF86" s="31"/>
      <c r="SHG86" s="31"/>
      <c r="SHH86" s="31"/>
      <c r="SHI86" s="31"/>
      <c r="SHJ86" s="31"/>
      <c r="SHK86" s="31"/>
      <c r="SHL86" s="31"/>
      <c r="SHM86" s="31"/>
      <c r="SHN86" s="31"/>
      <c r="SHO86" s="31"/>
      <c r="SHP86" s="31"/>
      <c r="SHQ86" s="31"/>
      <c r="SHR86" s="31"/>
      <c r="SHS86" s="31"/>
      <c r="SHT86" s="31"/>
      <c r="SHU86" s="31"/>
      <c r="SHV86" s="31"/>
      <c r="SHW86" s="31"/>
      <c r="SHX86" s="31"/>
      <c r="SHY86" s="31"/>
      <c r="SHZ86" s="31"/>
      <c r="SIA86" s="31"/>
      <c r="SIB86" s="31"/>
      <c r="SIC86" s="31"/>
      <c r="SID86" s="31"/>
      <c r="SIE86" s="31"/>
      <c r="SIF86" s="31"/>
      <c r="SIG86" s="31"/>
      <c r="SIH86" s="31"/>
      <c r="SII86" s="31"/>
      <c r="SIJ86" s="31"/>
      <c r="SIK86" s="31"/>
      <c r="SIL86" s="31"/>
      <c r="SIM86" s="31"/>
      <c r="SIN86" s="31"/>
      <c r="SIO86" s="31"/>
      <c r="SIP86" s="31"/>
      <c r="SIQ86" s="31"/>
      <c r="SIR86" s="31"/>
      <c r="SIS86" s="31"/>
      <c r="SIT86" s="31"/>
      <c r="SIU86" s="31"/>
      <c r="SIV86" s="31"/>
      <c r="SIW86" s="31"/>
      <c r="SIX86" s="31"/>
      <c r="SIY86" s="31"/>
      <c r="SIZ86" s="31"/>
      <c r="SJA86" s="31"/>
      <c r="SJB86" s="31"/>
      <c r="SJC86" s="31"/>
      <c r="SJD86" s="31"/>
      <c r="SJE86" s="31"/>
      <c r="SJF86" s="31"/>
      <c r="SJG86" s="31"/>
      <c r="SJH86" s="31"/>
      <c r="SJI86" s="31"/>
      <c r="SJJ86" s="31"/>
      <c r="SJK86" s="31"/>
      <c r="SJL86" s="31"/>
      <c r="SJM86" s="31"/>
      <c r="SJN86" s="31"/>
      <c r="SJO86" s="31"/>
      <c r="SJP86" s="31"/>
      <c r="SJQ86" s="31"/>
      <c r="SJR86" s="31"/>
      <c r="SJS86" s="31"/>
      <c r="SJT86" s="31"/>
      <c r="SJU86" s="31"/>
      <c r="SJV86" s="31"/>
      <c r="SJW86" s="31"/>
      <c r="SJX86" s="31"/>
      <c r="SJY86" s="31"/>
      <c r="SJZ86" s="31"/>
      <c r="SKA86" s="31"/>
      <c r="SKB86" s="31"/>
      <c r="SKC86" s="31"/>
      <c r="SKD86" s="31"/>
      <c r="SKE86" s="31"/>
      <c r="SKF86" s="31"/>
      <c r="SKG86" s="31"/>
      <c r="SKH86" s="31"/>
      <c r="SKI86" s="31"/>
      <c r="SKJ86" s="31"/>
      <c r="SKK86" s="31"/>
      <c r="SKL86" s="31"/>
      <c r="SKM86" s="31"/>
      <c r="SKN86" s="31"/>
      <c r="SKO86" s="31"/>
      <c r="SKP86" s="31"/>
      <c r="SKQ86" s="31"/>
      <c r="SKR86" s="31"/>
      <c r="SKS86" s="31"/>
      <c r="SKT86" s="31"/>
      <c r="SKU86" s="31"/>
      <c r="SKV86" s="31"/>
      <c r="SKW86" s="31"/>
      <c r="SKX86" s="31"/>
      <c r="SKY86" s="31"/>
      <c r="SKZ86" s="31"/>
      <c r="SLA86" s="31"/>
      <c r="SLB86" s="31"/>
      <c r="SLC86" s="31"/>
      <c r="SLD86" s="31"/>
      <c r="SLE86" s="31"/>
      <c r="SLF86" s="31"/>
      <c r="SLG86" s="31"/>
      <c r="SLH86" s="31"/>
      <c r="SLI86" s="31"/>
      <c r="SLJ86" s="31"/>
      <c r="SLK86" s="31"/>
      <c r="SLL86" s="31"/>
      <c r="SLM86" s="31"/>
      <c r="SLN86" s="31"/>
      <c r="SLO86" s="31"/>
      <c r="SLP86" s="31"/>
      <c r="SLQ86" s="31"/>
      <c r="SLR86" s="31"/>
      <c r="SLS86" s="31"/>
      <c r="SLT86" s="31"/>
      <c r="SLU86" s="31"/>
      <c r="SLV86" s="31"/>
      <c r="SLW86" s="31"/>
      <c r="SLX86" s="31"/>
      <c r="SLY86" s="31"/>
      <c r="SLZ86" s="31"/>
      <c r="SMA86" s="31"/>
      <c r="SMB86" s="31"/>
      <c r="SMC86" s="31"/>
      <c r="SMD86" s="31"/>
      <c r="SME86" s="31"/>
      <c r="SMF86" s="31"/>
      <c r="SMG86" s="31"/>
      <c r="SMH86" s="31"/>
      <c r="SMI86" s="31"/>
      <c r="SMJ86" s="31"/>
      <c r="SMK86" s="31"/>
      <c r="SML86" s="31"/>
      <c r="SMM86" s="31"/>
      <c r="SMN86" s="31"/>
      <c r="SMO86" s="31"/>
      <c r="SMP86" s="31"/>
      <c r="SMQ86" s="31"/>
      <c r="SMR86" s="31"/>
      <c r="SMS86" s="31"/>
      <c r="SMT86" s="31"/>
      <c r="SMU86" s="31"/>
      <c r="SMV86" s="31"/>
      <c r="SMW86" s="31"/>
      <c r="SMX86" s="31"/>
      <c r="SMY86" s="31"/>
      <c r="SMZ86" s="31"/>
      <c r="SNA86" s="31"/>
      <c r="SNB86" s="31"/>
      <c r="SNC86" s="31"/>
      <c r="SND86" s="31"/>
      <c r="SNE86" s="31"/>
      <c r="SNF86" s="31"/>
      <c r="SNG86" s="31"/>
      <c r="SNH86" s="31"/>
      <c r="SNI86" s="31"/>
      <c r="SNJ86" s="31"/>
      <c r="SNK86" s="31"/>
      <c r="SNL86" s="31"/>
      <c r="SNM86" s="31"/>
      <c r="SNN86" s="31"/>
      <c r="SNO86" s="31"/>
      <c r="SNP86" s="31"/>
      <c r="SNQ86" s="31"/>
      <c r="SNR86" s="31"/>
      <c r="SNS86" s="31"/>
      <c r="SNT86" s="31"/>
      <c r="SNU86" s="31"/>
      <c r="SNV86" s="31"/>
      <c r="SNW86" s="31"/>
      <c r="SNX86" s="31"/>
      <c r="SNY86" s="31"/>
      <c r="SNZ86" s="31"/>
      <c r="SOA86" s="31"/>
      <c r="SOB86" s="31"/>
      <c r="SOC86" s="31"/>
      <c r="SOD86" s="31"/>
      <c r="SOE86" s="31"/>
      <c r="SOF86" s="31"/>
      <c r="SOG86" s="31"/>
      <c r="SOH86" s="31"/>
      <c r="SOI86" s="31"/>
      <c r="SOJ86" s="31"/>
      <c r="SOK86" s="31"/>
      <c r="SOL86" s="31"/>
      <c r="SOM86" s="31"/>
      <c r="SON86" s="31"/>
      <c r="SOO86" s="31"/>
      <c r="SOP86" s="31"/>
      <c r="SOQ86" s="31"/>
      <c r="SOR86" s="31"/>
      <c r="SOS86" s="31"/>
      <c r="SOT86" s="31"/>
      <c r="SOU86" s="31"/>
      <c r="SOV86" s="31"/>
      <c r="SOW86" s="31"/>
      <c r="SOX86" s="31"/>
      <c r="SOY86" s="31"/>
      <c r="SOZ86" s="31"/>
      <c r="SPA86" s="31"/>
      <c r="SPB86" s="31"/>
      <c r="SPC86" s="31"/>
      <c r="SPD86" s="31"/>
      <c r="SPE86" s="31"/>
      <c r="SPF86" s="31"/>
      <c r="SPG86" s="31"/>
      <c r="SPH86" s="31"/>
      <c r="SPI86" s="31"/>
      <c r="SPJ86" s="31"/>
      <c r="SPK86" s="31"/>
      <c r="SPL86" s="31"/>
      <c r="SPM86" s="31"/>
      <c r="SPN86" s="31"/>
      <c r="SPO86" s="31"/>
      <c r="SPP86" s="31"/>
      <c r="SPQ86" s="31"/>
      <c r="SPR86" s="31"/>
      <c r="SPS86" s="31"/>
      <c r="SPT86" s="31"/>
      <c r="SPU86" s="31"/>
      <c r="SPV86" s="31"/>
      <c r="SPW86" s="31"/>
      <c r="SPX86" s="31"/>
      <c r="SPY86" s="31"/>
      <c r="SPZ86" s="31"/>
      <c r="SQA86" s="31"/>
      <c r="SQB86" s="31"/>
      <c r="SQC86" s="31"/>
      <c r="SQD86" s="31"/>
      <c r="SQE86" s="31"/>
      <c r="SQF86" s="31"/>
      <c r="SQG86" s="31"/>
      <c r="SQH86" s="31"/>
      <c r="SQI86" s="31"/>
      <c r="SQJ86" s="31"/>
      <c r="SQK86" s="31"/>
      <c r="SQL86" s="31"/>
      <c r="SQM86" s="31"/>
      <c r="SQN86" s="31"/>
      <c r="SQO86" s="31"/>
      <c r="SQP86" s="31"/>
      <c r="SQQ86" s="31"/>
      <c r="SQR86" s="31"/>
      <c r="SQS86" s="31"/>
      <c r="SQT86" s="31"/>
      <c r="SQU86" s="31"/>
      <c r="SQV86" s="31"/>
      <c r="SQW86" s="31"/>
      <c r="SQX86" s="31"/>
      <c r="SQY86" s="31"/>
      <c r="SQZ86" s="31"/>
      <c r="SRA86" s="31"/>
      <c r="SRB86" s="31"/>
      <c r="SRC86" s="31"/>
      <c r="SRD86" s="31"/>
      <c r="SRE86" s="31"/>
      <c r="SRF86" s="31"/>
      <c r="SRG86" s="31"/>
      <c r="SRH86" s="31"/>
      <c r="SRI86" s="31"/>
      <c r="SRJ86" s="31"/>
      <c r="SRK86" s="31"/>
      <c r="SRL86" s="31"/>
      <c r="SRM86" s="31"/>
      <c r="SRN86" s="31"/>
      <c r="SRO86" s="31"/>
      <c r="SRP86" s="31"/>
      <c r="SRQ86" s="31"/>
      <c r="SRR86" s="31"/>
      <c r="SRS86" s="31"/>
      <c r="SRT86" s="31"/>
      <c r="SRU86" s="31"/>
      <c r="SRV86" s="31"/>
      <c r="SRW86" s="31"/>
      <c r="SRX86" s="31"/>
      <c r="SRY86" s="31"/>
      <c r="SRZ86" s="31"/>
      <c r="SSA86" s="31"/>
      <c r="SSB86" s="31"/>
      <c r="SSC86" s="31"/>
      <c r="SSD86" s="31"/>
      <c r="SSE86" s="31"/>
      <c r="SSF86" s="31"/>
      <c r="SSG86" s="31"/>
      <c r="SSH86" s="31"/>
      <c r="SSI86" s="31"/>
      <c r="SSJ86" s="31"/>
      <c r="SSK86" s="31"/>
      <c r="SSL86" s="31"/>
      <c r="SSM86" s="31"/>
      <c r="SSN86" s="31"/>
      <c r="SSO86" s="31"/>
      <c r="SSP86" s="31"/>
      <c r="SSQ86" s="31"/>
      <c r="SSR86" s="31"/>
      <c r="SSS86" s="31"/>
      <c r="SST86" s="31"/>
      <c r="SSU86" s="31"/>
      <c r="SSV86" s="31"/>
      <c r="SSW86" s="31"/>
      <c r="SSX86" s="31"/>
      <c r="SSY86" s="31"/>
      <c r="SSZ86" s="31"/>
      <c r="STA86" s="31"/>
      <c r="STB86" s="31"/>
      <c r="STC86" s="31"/>
      <c r="STD86" s="31"/>
      <c r="STE86" s="31"/>
      <c r="STF86" s="31"/>
      <c r="STG86" s="31"/>
      <c r="STH86" s="31"/>
      <c r="STI86" s="31"/>
      <c r="STJ86" s="31"/>
      <c r="STK86" s="31"/>
      <c r="STL86" s="31"/>
      <c r="STM86" s="31"/>
      <c r="STN86" s="31"/>
      <c r="STO86" s="31"/>
      <c r="STP86" s="31"/>
      <c r="STQ86" s="31"/>
      <c r="STR86" s="31"/>
      <c r="STS86" s="31"/>
      <c r="STT86" s="31"/>
      <c r="STU86" s="31"/>
      <c r="STV86" s="31"/>
      <c r="STW86" s="31"/>
      <c r="STX86" s="31"/>
      <c r="STY86" s="31"/>
      <c r="STZ86" s="31"/>
      <c r="SUA86" s="31"/>
      <c r="SUB86" s="31"/>
      <c r="SUC86" s="31"/>
      <c r="SUD86" s="31"/>
      <c r="SUE86" s="31"/>
      <c r="SUF86" s="31"/>
      <c r="SUG86" s="31"/>
      <c r="SUH86" s="31"/>
      <c r="SUI86" s="31"/>
      <c r="SUJ86" s="31"/>
      <c r="SUK86" s="31"/>
      <c r="SUL86" s="31"/>
      <c r="SUM86" s="31"/>
      <c r="SUN86" s="31"/>
      <c r="SUO86" s="31"/>
      <c r="SUP86" s="31"/>
      <c r="SUQ86" s="31"/>
      <c r="SUR86" s="31"/>
      <c r="SUS86" s="31"/>
      <c r="SUT86" s="31"/>
      <c r="SUU86" s="31"/>
      <c r="SUV86" s="31"/>
      <c r="SUW86" s="31"/>
      <c r="SUX86" s="31"/>
      <c r="SUY86" s="31"/>
      <c r="SUZ86" s="31"/>
      <c r="SVA86" s="31"/>
      <c r="SVB86" s="31"/>
      <c r="SVC86" s="31"/>
      <c r="SVD86" s="31"/>
      <c r="SVE86" s="31"/>
      <c r="SVF86" s="31"/>
      <c r="SVG86" s="31"/>
      <c r="SVH86" s="31"/>
      <c r="SVI86" s="31"/>
      <c r="SVJ86" s="31"/>
      <c r="SVK86" s="31"/>
      <c r="SVL86" s="31"/>
      <c r="SVM86" s="31"/>
      <c r="SVN86" s="31"/>
      <c r="SVO86" s="31"/>
      <c r="SVP86" s="31"/>
      <c r="SVQ86" s="31"/>
      <c r="SVR86" s="31"/>
      <c r="SVS86" s="31"/>
      <c r="SVT86" s="31"/>
      <c r="SVU86" s="31"/>
      <c r="SVV86" s="31"/>
      <c r="SVW86" s="31"/>
      <c r="SVX86" s="31"/>
      <c r="SVY86" s="31"/>
      <c r="SVZ86" s="31"/>
      <c r="SWA86" s="31"/>
      <c r="SWB86" s="31"/>
      <c r="SWC86" s="31"/>
      <c r="SWD86" s="31"/>
      <c r="SWE86" s="31"/>
      <c r="SWF86" s="31"/>
      <c r="SWG86" s="31"/>
      <c r="SWH86" s="31"/>
      <c r="SWI86" s="31"/>
      <c r="SWJ86" s="31"/>
      <c r="SWK86" s="31"/>
      <c r="SWL86" s="31"/>
      <c r="SWM86" s="31"/>
      <c r="SWN86" s="31"/>
      <c r="SWO86" s="31"/>
      <c r="SWP86" s="31"/>
      <c r="SWQ86" s="31"/>
      <c r="SWR86" s="31"/>
      <c r="SWS86" s="31"/>
      <c r="SWT86" s="31"/>
      <c r="SWU86" s="31"/>
      <c r="SWV86" s="31"/>
      <c r="SWW86" s="31"/>
      <c r="SWX86" s="31"/>
      <c r="SWY86" s="31"/>
      <c r="SWZ86" s="31"/>
      <c r="SXA86" s="31"/>
      <c r="SXB86" s="31"/>
      <c r="SXC86" s="31"/>
      <c r="SXD86" s="31"/>
      <c r="SXE86" s="31"/>
      <c r="SXF86" s="31"/>
      <c r="SXG86" s="31"/>
      <c r="SXH86" s="31"/>
      <c r="SXI86" s="31"/>
      <c r="SXJ86" s="31"/>
      <c r="SXK86" s="31"/>
      <c r="SXL86" s="31"/>
      <c r="SXM86" s="31"/>
      <c r="SXN86" s="31"/>
      <c r="SXO86" s="31"/>
      <c r="SXP86" s="31"/>
      <c r="SXQ86" s="31"/>
      <c r="SXR86" s="31"/>
      <c r="SXS86" s="31"/>
      <c r="SXT86" s="31"/>
      <c r="SXU86" s="31"/>
      <c r="SXV86" s="31"/>
      <c r="SXW86" s="31"/>
      <c r="SXX86" s="31"/>
      <c r="SXY86" s="31"/>
      <c r="SXZ86" s="31"/>
      <c r="SYA86" s="31"/>
      <c r="SYB86" s="31"/>
      <c r="SYC86" s="31"/>
      <c r="SYD86" s="31"/>
      <c r="SYE86" s="31"/>
      <c r="SYF86" s="31"/>
      <c r="SYG86" s="31"/>
      <c r="SYH86" s="31"/>
      <c r="SYI86" s="31"/>
      <c r="SYJ86" s="31"/>
      <c r="SYK86" s="31"/>
      <c r="SYL86" s="31"/>
      <c r="SYM86" s="31"/>
      <c r="SYN86" s="31"/>
      <c r="SYO86" s="31"/>
      <c r="SYP86" s="31"/>
      <c r="SYQ86" s="31"/>
      <c r="SYR86" s="31"/>
      <c r="SYS86" s="31"/>
      <c r="SYT86" s="31"/>
      <c r="SYU86" s="31"/>
      <c r="SYV86" s="31"/>
      <c r="SYW86" s="31"/>
      <c r="SYX86" s="31"/>
      <c r="SYY86" s="31"/>
      <c r="SYZ86" s="31"/>
      <c r="SZA86" s="31"/>
      <c r="SZB86" s="31"/>
      <c r="SZC86" s="31"/>
      <c r="SZD86" s="31"/>
      <c r="SZE86" s="31"/>
      <c r="SZF86" s="31"/>
      <c r="SZG86" s="31"/>
      <c r="SZH86" s="31"/>
      <c r="SZI86" s="31"/>
      <c r="SZJ86" s="31"/>
      <c r="SZK86" s="31"/>
      <c r="SZL86" s="31"/>
      <c r="SZM86" s="31"/>
      <c r="SZN86" s="31"/>
      <c r="SZO86" s="31"/>
      <c r="SZP86" s="31"/>
      <c r="SZQ86" s="31"/>
      <c r="SZR86" s="31"/>
      <c r="SZS86" s="31"/>
      <c r="SZT86" s="31"/>
      <c r="SZU86" s="31"/>
      <c r="SZV86" s="31"/>
      <c r="SZW86" s="31"/>
      <c r="SZX86" s="31"/>
      <c r="SZY86" s="31"/>
      <c r="SZZ86" s="31"/>
      <c r="TAA86" s="31"/>
      <c r="TAB86" s="31"/>
      <c r="TAC86" s="31"/>
      <c r="TAD86" s="31"/>
      <c r="TAE86" s="31"/>
      <c r="TAF86" s="31"/>
      <c r="TAG86" s="31"/>
      <c r="TAH86" s="31"/>
      <c r="TAI86" s="31"/>
      <c r="TAJ86" s="31"/>
      <c r="TAK86" s="31"/>
      <c r="TAL86" s="31"/>
      <c r="TAM86" s="31"/>
      <c r="TAN86" s="31"/>
      <c r="TAO86" s="31"/>
      <c r="TAP86" s="31"/>
      <c r="TAQ86" s="31"/>
      <c r="TAR86" s="31"/>
      <c r="TAS86" s="31"/>
      <c r="TAT86" s="31"/>
      <c r="TAU86" s="31"/>
      <c r="TAV86" s="31"/>
      <c r="TAW86" s="31"/>
      <c r="TAX86" s="31"/>
      <c r="TAY86" s="31"/>
      <c r="TAZ86" s="31"/>
      <c r="TBA86" s="31"/>
      <c r="TBB86" s="31"/>
      <c r="TBC86" s="31"/>
      <c r="TBD86" s="31"/>
      <c r="TBE86" s="31"/>
      <c r="TBF86" s="31"/>
      <c r="TBG86" s="31"/>
      <c r="TBH86" s="31"/>
      <c r="TBI86" s="31"/>
      <c r="TBJ86" s="31"/>
      <c r="TBK86" s="31"/>
      <c r="TBL86" s="31"/>
      <c r="TBM86" s="31"/>
      <c r="TBN86" s="31"/>
      <c r="TBO86" s="31"/>
      <c r="TBP86" s="31"/>
      <c r="TBQ86" s="31"/>
      <c r="TBR86" s="31"/>
      <c r="TBS86" s="31"/>
      <c r="TBT86" s="31"/>
      <c r="TBU86" s="31"/>
      <c r="TBV86" s="31"/>
      <c r="TBW86" s="31"/>
      <c r="TBX86" s="31"/>
      <c r="TBY86" s="31"/>
      <c r="TBZ86" s="31"/>
      <c r="TCA86" s="31"/>
      <c r="TCB86" s="31"/>
      <c r="TCC86" s="31"/>
      <c r="TCD86" s="31"/>
      <c r="TCE86" s="31"/>
      <c r="TCF86" s="31"/>
      <c r="TCG86" s="31"/>
      <c r="TCH86" s="31"/>
      <c r="TCI86" s="31"/>
      <c r="TCJ86" s="31"/>
      <c r="TCK86" s="31"/>
      <c r="TCL86" s="31"/>
      <c r="TCM86" s="31"/>
      <c r="TCN86" s="31"/>
      <c r="TCO86" s="31"/>
      <c r="TCP86" s="31"/>
      <c r="TCQ86" s="31"/>
      <c r="TCR86" s="31"/>
      <c r="TCS86" s="31"/>
      <c r="TCT86" s="31"/>
      <c r="TCU86" s="31"/>
      <c r="TCV86" s="31"/>
      <c r="TCW86" s="31"/>
      <c r="TCX86" s="31"/>
      <c r="TCY86" s="31"/>
      <c r="TCZ86" s="31"/>
      <c r="TDA86" s="31"/>
      <c r="TDB86" s="31"/>
      <c r="TDC86" s="31"/>
      <c r="TDD86" s="31"/>
      <c r="TDE86" s="31"/>
      <c r="TDF86" s="31"/>
      <c r="TDG86" s="31"/>
      <c r="TDH86" s="31"/>
      <c r="TDI86" s="31"/>
      <c r="TDJ86" s="31"/>
      <c r="TDK86" s="31"/>
      <c r="TDL86" s="31"/>
      <c r="TDM86" s="31"/>
      <c r="TDN86" s="31"/>
      <c r="TDO86" s="31"/>
      <c r="TDP86" s="31"/>
      <c r="TDQ86" s="31"/>
      <c r="TDR86" s="31"/>
      <c r="TDS86" s="31"/>
      <c r="TDT86" s="31"/>
      <c r="TDU86" s="31"/>
      <c r="TDV86" s="31"/>
      <c r="TDW86" s="31"/>
      <c r="TDX86" s="31"/>
      <c r="TDY86" s="31"/>
      <c r="TDZ86" s="31"/>
      <c r="TEA86" s="31"/>
      <c r="TEB86" s="31"/>
      <c r="TEC86" s="31"/>
      <c r="TED86" s="31"/>
      <c r="TEE86" s="31"/>
      <c r="TEF86" s="31"/>
      <c r="TEG86" s="31"/>
      <c r="TEH86" s="31"/>
      <c r="TEI86" s="31"/>
      <c r="TEJ86" s="31"/>
      <c r="TEK86" s="31"/>
      <c r="TEL86" s="31"/>
      <c r="TEM86" s="31"/>
      <c r="TEN86" s="31"/>
      <c r="TEO86" s="31"/>
      <c r="TEP86" s="31"/>
      <c r="TEQ86" s="31"/>
      <c r="TER86" s="31"/>
      <c r="TES86" s="31"/>
      <c r="TET86" s="31"/>
      <c r="TEU86" s="31"/>
      <c r="TEV86" s="31"/>
      <c r="TEW86" s="31"/>
      <c r="TEX86" s="31"/>
      <c r="TEY86" s="31"/>
      <c r="TEZ86" s="31"/>
      <c r="TFA86" s="31"/>
      <c r="TFB86" s="31"/>
      <c r="TFC86" s="31"/>
      <c r="TFD86" s="31"/>
      <c r="TFE86" s="31"/>
      <c r="TFF86" s="31"/>
      <c r="TFG86" s="31"/>
      <c r="TFH86" s="31"/>
      <c r="TFI86" s="31"/>
      <c r="TFJ86" s="31"/>
      <c r="TFK86" s="31"/>
      <c r="TFL86" s="31"/>
      <c r="TFM86" s="31"/>
      <c r="TFN86" s="31"/>
      <c r="TFO86" s="31"/>
      <c r="TFP86" s="31"/>
      <c r="TFQ86" s="31"/>
      <c r="TFR86" s="31"/>
      <c r="TFS86" s="31"/>
      <c r="TFT86" s="31"/>
      <c r="TFU86" s="31"/>
      <c r="TFV86" s="31"/>
      <c r="TFW86" s="31"/>
      <c r="TFX86" s="31"/>
      <c r="TFY86" s="31"/>
      <c r="TFZ86" s="31"/>
      <c r="TGA86" s="31"/>
      <c r="TGB86" s="31"/>
      <c r="TGC86" s="31"/>
      <c r="TGD86" s="31"/>
      <c r="TGE86" s="31"/>
      <c r="TGF86" s="31"/>
      <c r="TGG86" s="31"/>
      <c r="TGH86" s="31"/>
      <c r="TGI86" s="31"/>
      <c r="TGJ86" s="31"/>
      <c r="TGK86" s="31"/>
      <c r="TGL86" s="31"/>
      <c r="TGM86" s="31"/>
      <c r="TGN86" s="31"/>
      <c r="TGO86" s="31"/>
      <c r="TGP86" s="31"/>
      <c r="TGQ86" s="31"/>
      <c r="TGR86" s="31"/>
      <c r="TGS86" s="31"/>
      <c r="TGT86" s="31"/>
      <c r="TGU86" s="31"/>
      <c r="TGV86" s="31"/>
      <c r="TGW86" s="31"/>
      <c r="TGX86" s="31"/>
      <c r="TGY86" s="31"/>
      <c r="TGZ86" s="31"/>
      <c r="THA86" s="31"/>
      <c r="THB86" s="31"/>
      <c r="THC86" s="31"/>
      <c r="THD86" s="31"/>
      <c r="THE86" s="31"/>
      <c r="THF86" s="31"/>
      <c r="THG86" s="31"/>
      <c r="THH86" s="31"/>
      <c r="THI86" s="31"/>
      <c r="THJ86" s="31"/>
      <c r="THK86" s="31"/>
      <c r="THL86" s="31"/>
      <c r="THM86" s="31"/>
      <c r="THN86" s="31"/>
      <c r="THO86" s="31"/>
      <c r="THP86" s="31"/>
      <c r="THQ86" s="31"/>
      <c r="THR86" s="31"/>
      <c r="THS86" s="31"/>
      <c r="THT86" s="31"/>
      <c r="THU86" s="31"/>
      <c r="THV86" s="31"/>
      <c r="THW86" s="31"/>
      <c r="THX86" s="31"/>
      <c r="THY86" s="31"/>
      <c r="THZ86" s="31"/>
      <c r="TIA86" s="31"/>
      <c r="TIB86" s="31"/>
      <c r="TIC86" s="31"/>
      <c r="TID86" s="31"/>
      <c r="TIE86" s="31"/>
      <c r="TIF86" s="31"/>
      <c r="TIG86" s="31"/>
      <c r="TIH86" s="31"/>
      <c r="TII86" s="31"/>
      <c r="TIJ86" s="31"/>
      <c r="TIK86" s="31"/>
      <c r="TIL86" s="31"/>
      <c r="TIM86" s="31"/>
      <c r="TIN86" s="31"/>
      <c r="TIO86" s="31"/>
      <c r="TIP86" s="31"/>
      <c r="TIQ86" s="31"/>
      <c r="TIR86" s="31"/>
      <c r="TIS86" s="31"/>
      <c r="TIT86" s="31"/>
      <c r="TIU86" s="31"/>
      <c r="TIV86" s="31"/>
      <c r="TIW86" s="31"/>
      <c r="TIX86" s="31"/>
      <c r="TIY86" s="31"/>
      <c r="TIZ86" s="31"/>
      <c r="TJA86" s="31"/>
      <c r="TJB86" s="31"/>
      <c r="TJC86" s="31"/>
      <c r="TJD86" s="31"/>
      <c r="TJE86" s="31"/>
      <c r="TJF86" s="31"/>
      <c r="TJG86" s="31"/>
      <c r="TJH86" s="31"/>
      <c r="TJI86" s="31"/>
      <c r="TJJ86" s="31"/>
      <c r="TJK86" s="31"/>
      <c r="TJL86" s="31"/>
      <c r="TJM86" s="31"/>
      <c r="TJN86" s="31"/>
      <c r="TJO86" s="31"/>
      <c r="TJP86" s="31"/>
      <c r="TJQ86" s="31"/>
      <c r="TJR86" s="31"/>
      <c r="TJS86" s="31"/>
      <c r="TJT86" s="31"/>
      <c r="TJU86" s="31"/>
      <c r="TJV86" s="31"/>
      <c r="TJW86" s="31"/>
      <c r="TJX86" s="31"/>
      <c r="TJY86" s="31"/>
      <c r="TJZ86" s="31"/>
      <c r="TKA86" s="31"/>
      <c r="TKB86" s="31"/>
      <c r="TKC86" s="31"/>
      <c r="TKD86" s="31"/>
      <c r="TKE86" s="31"/>
      <c r="TKF86" s="31"/>
      <c r="TKG86" s="31"/>
      <c r="TKH86" s="31"/>
      <c r="TKI86" s="31"/>
      <c r="TKJ86" s="31"/>
      <c r="TKK86" s="31"/>
      <c r="TKL86" s="31"/>
      <c r="TKM86" s="31"/>
      <c r="TKN86" s="31"/>
      <c r="TKO86" s="31"/>
      <c r="TKP86" s="31"/>
      <c r="TKQ86" s="31"/>
      <c r="TKR86" s="31"/>
      <c r="TKS86" s="31"/>
      <c r="TKT86" s="31"/>
      <c r="TKU86" s="31"/>
      <c r="TKV86" s="31"/>
      <c r="TKW86" s="31"/>
      <c r="TKX86" s="31"/>
      <c r="TKY86" s="31"/>
      <c r="TKZ86" s="31"/>
      <c r="TLA86" s="31"/>
      <c r="TLB86" s="31"/>
      <c r="TLC86" s="31"/>
      <c r="TLD86" s="31"/>
      <c r="TLE86" s="31"/>
      <c r="TLF86" s="31"/>
      <c r="TLG86" s="31"/>
      <c r="TLH86" s="31"/>
      <c r="TLI86" s="31"/>
      <c r="TLJ86" s="31"/>
      <c r="TLK86" s="31"/>
      <c r="TLL86" s="31"/>
      <c r="TLM86" s="31"/>
      <c r="TLN86" s="31"/>
      <c r="TLO86" s="31"/>
      <c r="TLP86" s="31"/>
      <c r="TLQ86" s="31"/>
      <c r="TLR86" s="31"/>
      <c r="TLS86" s="31"/>
      <c r="TLT86" s="31"/>
      <c r="TLU86" s="31"/>
      <c r="TLV86" s="31"/>
      <c r="TLW86" s="31"/>
      <c r="TLX86" s="31"/>
      <c r="TLY86" s="31"/>
      <c r="TLZ86" s="31"/>
      <c r="TMA86" s="31"/>
      <c r="TMB86" s="31"/>
      <c r="TMC86" s="31"/>
      <c r="TMD86" s="31"/>
      <c r="TME86" s="31"/>
      <c r="TMF86" s="31"/>
      <c r="TMG86" s="31"/>
      <c r="TMH86" s="31"/>
      <c r="TMI86" s="31"/>
      <c r="TMJ86" s="31"/>
      <c r="TMK86" s="31"/>
      <c r="TML86" s="31"/>
      <c r="TMM86" s="31"/>
      <c r="TMN86" s="31"/>
      <c r="TMO86" s="31"/>
      <c r="TMP86" s="31"/>
      <c r="TMQ86" s="31"/>
      <c r="TMR86" s="31"/>
      <c r="TMS86" s="31"/>
      <c r="TMT86" s="31"/>
      <c r="TMU86" s="31"/>
      <c r="TMV86" s="31"/>
      <c r="TMW86" s="31"/>
      <c r="TMX86" s="31"/>
      <c r="TMY86" s="31"/>
      <c r="TMZ86" s="31"/>
      <c r="TNA86" s="31"/>
      <c r="TNB86" s="31"/>
      <c r="TNC86" s="31"/>
      <c r="TND86" s="31"/>
      <c r="TNE86" s="31"/>
      <c r="TNF86" s="31"/>
      <c r="TNG86" s="31"/>
      <c r="TNH86" s="31"/>
      <c r="TNI86" s="31"/>
      <c r="TNJ86" s="31"/>
      <c r="TNK86" s="31"/>
      <c r="TNL86" s="31"/>
      <c r="TNM86" s="31"/>
      <c r="TNN86" s="31"/>
      <c r="TNO86" s="31"/>
      <c r="TNP86" s="31"/>
      <c r="TNQ86" s="31"/>
      <c r="TNR86" s="31"/>
      <c r="TNS86" s="31"/>
      <c r="TNT86" s="31"/>
      <c r="TNU86" s="31"/>
      <c r="TNV86" s="31"/>
      <c r="TNW86" s="31"/>
      <c r="TNX86" s="31"/>
      <c r="TNY86" s="31"/>
      <c r="TNZ86" s="31"/>
      <c r="TOA86" s="31"/>
      <c r="TOB86" s="31"/>
      <c r="TOC86" s="31"/>
      <c r="TOD86" s="31"/>
      <c r="TOE86" s="31"/>
      <c r="TOF86" s="31"/>
      <c r="TOG86" s="31"/>
      <c r="TOH86" s="31"/>
      <c r="TOI86" s="31"/>
      <c r="TOJ86" s="31"/>
      <c r="TOK86" s="31"/>
      <c r="TOL86" s="31"/>
      <c r="TOM86" s="31"/>
      <c r="TON86" s="31"/>
      <c r="TOO86" s="31"/>
      <c r="TOP86" s="31"/>
      <c r="TOQ86" s="31"/>
      <c r="TOR86" s="31"/>
      <c r="TOS86" s="31"/>
      <c r="TOT86" s="31"/>
      <c r="TOU86" s="31"/>
      <c r="TOV86" s="31"/>
      <c r="TOW86" s="31"/>
      <c r="TOX86" s="31"/>
      <c r="TOY86" s="31"/>
      <c r="TOZ86" s="31"/>
      <c r="TPA86" s="31"/>
      <c r="TPB86" s="31"/>
      <c r="TPC86" s="31"/>
      <c r="TPD86" s="31"/>
      <c r="TPE86" s="31"/>
      <c r="TPF86" s="31"/>
      <c r="TPG86" s="31"/>
      <c r="TPH86" s="31"/>
      <c r="TPI86" s="31"/>
      <c r="TPJ86" s="31"/>
      <c r="TPK86" s="31"/>
      <c r="TPL86" s="31"/>
      <c r="TPM86" s="31"/>
      <c r="TPN86" s="31"/>
      <c r="TPO86" s="31"/>
      <c r="TPP86" s="31"/>
      <c r="TPQ86" s="31"/>
      <c r="TPR86" s="31"/>
      <c r="TPS86" s="31"/>
      <c r="TPT86" s="31"/>
      <c r="TPU86" s="31"/>
      <c r="TPV86" s="31"/>
      <c r="TPW86" s="31"/>
      <c r="TPX86" s="31"/>
      <c r="TPY86" s="31"/>
      <c r="TPZ86" s="31"/>
      <c r="TQA86" s="31"/>
      <c r="TQB86" s="31"/>
      <c r="TQC86" s="31"/>
      <c r="TQD86" s="31"/>
      <c r="TQE86" s="31"/>
      <c r="TQF86" s="31"/>
      <c r="TQG86" s="31"/>
      <c r="TQH86" s="31"/>
      <c r="TQI86" s="31"/>
      <c r="TQJ86" s="31"/>
      <c r="TQK86" s="31"/>
      <c r="TQL86" s="31"/>
      <c r="TQM86" s="31"/>
      <c r="TQN86" s="31"/>
      <c r="TQO86" s="31"/>
      <c r="TQP86" s="31"/>
      <c r="TQQ86" s="31"/>
      <c r="TQR86" s="31"/>
      <c r="TQS86" s="31"/>
      <c r="TQT86" s="31"/>
      <c r="TQU86" s="31"/>
      <c r="TQV86" s="31"/>
      <c r="TQW86" s="31"/>
      <c r="TQX86" s="31"/>
      <c r="TQY86" s="31"/>
      <c r="TQZ86" s="31"/>
      <c r="TRA86" s="31"/>
      <c r="TRB86" s="31"/>
      <c r="TRC86" s="31"/>
      <c r="TRD86" s="31"/>
      <c r="TRE86" s="31"/>
      <c r="TRF86" s="31"/>
      <c r="TRG86" s="31"/>
      <c r="TRH86" s="31"/>
      <c r="TRI86" s="31"/>
      <c r="TRJ86" s="31"/>
      <c r="TRK86" s="31"/>
      <c r="TRL86" s="31"/>
      <c r="TRM86" s="31"/>
      <c r="TRN86" s="31"/>
      <c r="TRO86" s="31"/>
      <c r="TRP86" s="31"/>
      <c r="TRQ86" s="31"/>
      <c r="TRR86" s="31"/>
      <c r="TRS86" s="31"/>
      <c r="TRT86" s="31"/>
      <c r="TRU86" s="31"/>
      <c r="TRV86" s="31"/>
      <c r="TRW86" s="31"/>
      <c r="TRX86" s="31"/>
      <c r="TRY86" s="31"/>
      <c r="TRZ86" s="31"/>
      <c r="TSA86" s="31"/>
      <c r="TSB86" s="31"/>
      <c r="TSC86" s="31"/>
      <c r="TSD86" s="31"/>
      <c r="TSE86" s="31"/>
      <c r="TSF86" s="31"/>
      <c r="TSG86" s="31"/>
      <c r="TSH86" s="31"/>
      <c r="TSI86" s="31"/>
      <c r="TSJ86" s="31"/>
      <c r="TSK86" s="31"/>
      <c r="TSL86" s="31"/>
      <c r="TSM86" s="31"/>
      <c r="TSN86" s="31"/>
      <c r="TSO86" s="31"/>
      <c r="TSP86" s="31"/>
      <c r="TSQ86" s="31"/>
      <c r="TSR86" s="31"/>
      <c r="TSS86" s="31"/>
      <c r="TST86" s="31"/>
      <c r="TSU86" s="31"/>
      <c r="TSV86" s="31"/>
      <c r="TSW86" s="31"/>
      <c r="TSX86" s="31"/>
      <c r="TSY86" s="31"/>
      <c r="TSZ86" s="31"/>
      <c r="TTA86" s="31"/>
      <c r="TTB86" s="31"/>
      <c r="TTC86" s="31"/>
      <c r="TTD86" s="31"/>
      <c r="TTE86" s="31"/>
      <c r="TTF86" s="31"/>
      <c r="TTG86" s="31"/>
      <c r="TTH86" s="31"/>
      <c r="TTI86" s="31"/>
      <c r="TTJ86" s="31"/>
      <c r="TTK86" s="31"/>
      <c r="TTL86" s="31"/>
      <c r="TTM86" s="31"/>
      <c r="TTN86" s="31"/>
      <c r="TTO86" s="31"/>
      <c r="TTP86" s="31"/>
      <c r="TTQ86" s="31"/>
      <c r="TTR86" s="31"/>
      <c r="TTS86" s="31"/>
      <c r="TTT86" s="31"/>
      <c r="TTU86" s="31"/>
      <c r="TTV86" s="31"/>
      <c r="TTW86" s="31"/>
      <c r="TTX86" s="31"/>
      <c r="TTY86" s="31"/>
      <c r="TTZ86" s="31"/>
      <c r="TUA86" s="31"/>
      <c r="TUB86" s="31"/>
      <c r="TUC86" s="31"/>
      <c r="TUD86" s="31"/>
      <c r="TUE86" s="31"/>
      <c r="TUF86" s="31"/>
      <c r="TUG86" s="31"/>
      <c r="TUH86" s="31"/>
      <c r="TUI86" s="31"/>
      <c r="TUJ86" s="31"/>
      <c r="TUK86" s="31"/>
      <c r="TUL86" s="31"/>
      <c r="TUM86" s="31"/>
      <c r="TUN86" s="31"/>
      <c r="TUO86" s="31"/>
      <c r="TUP86" s="31"/>
      <c r="TUQ86" s="31"/>
      <c r="TUR86" s="31"/>
      <c r="TUS86" s="31"/>
      <c r="TUT86" s="31"/>
      <c r="TUU86" s="31"/>
      <c r="TUV86" s="31"/>
      <c r="TUW86" s="31"/>
      <c r="TUX86" s="31"/>
      <c r="TUY86" s="31"/>
      <c r="TUZ86" s="31"/>
      <c r="TVA86" s="31"/>
      <c r="TVB86" s="31"/>
      <c r="TVC86" s="31"/>
      <c r="TVD86" s="31"/>
      <c r="TVE86" s="31"/>
      <c r="TVF86" s="31"/>
      <c r="TVG86" s="31"/>
      <c r="TVH86" s="31"/>
      <c r="TVI86" s="31"/>
      <c r="TVJ86" s="31"/>
      <c r="TVK86" s="31"/>
      <c r="TVL86" s="31"/>
      <c r="TVM86" s="31"/>
      <c r="TVN86" s="31"/>
      <c r="TVO86" s="31"/>
      <c r="TVP86" s="31"/>
      <c r="TVQ86" s="31"/>
      <c r="TVR86" s="31"/>
      <c r="TVS86" s="31"/>
      <c r="TVT86" s="31"/>
      <c r="TVU86" s="31"/>
      <c r="TVV86" s="31"/>
      <c r="TVW86" s="31"/>
      <c r="TVX86" s="31"/>
      <c r="TVY86" s="31"/>
      <c r="TVZ86" s="31"/>
      <c r="TWA86" s="31"/>
      <c r="TWB86" s="31"/>
      <c r="TWC86" s="31"/>
      <c r="TWD86" s="31"/>
      <c r="TWE86" s="31"/>
      <c r="TWF86" s="31"/>
      <c r="TWG86" s="31"/>
      <c r="TWH86" s="31"/>
      <c r="TWI86" s="31"/>
      <c r="TWJ86" s="31"/>
      <c r="TWK86" s="31"/>
      <c r="TWL86" s="31"/>
      <c r="TWM86" s="31"/>
      <c r="TWN86" s="31"/>
      <c r="TWO86" s="31"/>
      <c r="TWP86" s="31"/>
      <c r="TWQ86" s="31"/>
      <c r="TWR86" s="31"/>
      <c r="TWS86" s="31"/>
      <c r="TWT86" s="31"/>
      <c r="TWU86" s="31"/>
      <c r="TWV86" s="31"/>
      <c r="TWW86" s="31"/>
      <c r="TWX86" s="31"/>
      <c r="TWY86" s="31"/>
      <c r="TWZ86" s="31"/>
      <c r="TXA86" s="31"/>
      <c r="TXB86" s="31"/>
      <c r="TXC86" s="31"/>
      <c r="TXD86" s="31"/>
      <c r="TXE86" s="31"/>
      <c r="TXF86" s="31"/>
      <c r="TXG86" s="31"/>
      <c r="TXH86" s="31"/>
      <c r="TXI86" s="31"/>
      <c r="TXJ86" s="31"/>
      <c r="TXK86" s="31"/>
      <c r="TXL86" s="31"/>
      <c r="TXM86" s="31"/>
      <c r="TXN86" s="31"/>
      <c r="TXO86" s="31"/>
      <c r="TXP86" s="31"/>
      <c r="TXQ86" s="31"/>
      <c r="TXR86" s="31"/>
      <c r="TXS86" s="31"/>
      <c r="TXT86" s="31"/>
      <c r="TXU86" s="31"/>
      <c r="TXV86" s="31"/>
      <c r="TXW86" s="31"/>
      <c r="TXX86" s="31"/>
      <c r="TXY86" s="31"/>
      <c r="TXZ86" s="31"/>
      <c r="TYA86" s="31"/>
      <c r="TYB86" s="31"/>
      <c r="TYC86" s="31"/>
      <c r="TYD86" s="31"/>
      <c r="TYE86" s="31"/>
      <c r="TYF86" s="31"/>
      <c r="TYG86" s="31"/>
      <c r="TYH86" s="31"/>
      <c r="TYI86" s="31"/>
      <c r="TYJ86" s="31"/>
      <c r="TYK86" s="31"/>
      <c r="TYL86" s="31"/>
      <c r="TYM86" s="31"/>
      <c r="TYN86" s="31"/>
      <c r="TYO86" s="31"/>
      <c r="TYP86" s="31"/>
      <c r="TYQ86" s="31"/>
      <c r="TYR86" s="31"/>
      <c r="TYS86" s="31"/>
      <c r="TYT86" s="31"/>
      <c r="TYU86" s="31"/>
      <c r="TYV86" s="31"/>
      <c r="TYW86" s="31"/>
      <c r="TYX86" s="31"/>
      <c r="TYY86" s="31"/>
      <c r="TYZ86" s="31"/>
      <c r="TZA86" s="31"/>
      <c r="TZB86" s="31"/>
      <c r="TZC86" s="31"/>
      <c r="TZD86" s="31"/>
      <c r="TZE86" s="31"/>
      <c r="TZF86" s="31"/>
      <c r="TZG86" s="31"/>
      <c r="TZH86" s="31"/>
      <c r="TZI86" s="31"/>
      <c r="TZJ86" s="31"/>
      <c r="TZK86" s="31"/>
      <c r="TZL86" s="31"/>
      <c r="TZM86" s="31"/>
      <c r="TZN86" s="31"/>
      <c r="TZO86" s="31"/>
      <c r="TZP86" s="31"/>
      <c r="TZQ86" s="31"/>
      <c r="TZR86" s="31"/>
      <c r="TZS86" s="31"/>
      <c r="TZT86" s="31"/>
      <c r="TZU86" s="31"/>
      <c r="TZV86" s="31"/>
      <c r="TZW86" s="31"/>
      <c r="TZX86" s="31"/>
      <c r="TZY86" s="31"/>
      <c r="TZZ86" s="31"/>
      <c r="UAA86" s="31"/>
      <c r="UAB86" s="31"/>
      <c r="UAC86" s="31"/>
      <c r="UAD86" s="31"/>
      <c r="UAE86" s="31"/>
      <c r="UAF86" s="31"/>
      <c r="UAG86" s="31"/>
      <c r="UAH86" s="31"/>
      <c r="UAI86" s="31"/>
      <c r="UAJ86" s="31"/>
      <c r="UAK86" s="31"/>
      <c r="UAL86" s="31"/>
      <c r="UAM86" s="31"/>
      <c r="UAN86" s="31"/>
      <c r="UAO86" s="31"/>
      <c r="UAP86" s="31"/>
      <c r="UAQ86" s="31"/>
      <c r="UAR86" s="31"/>
      <c r="UAS86" s="31"/>
      <c r="UAT86" s="31"/>
      <c r="UAU86" s="31"/>
      <c r="UAV86" s="31"/>
      <c r="UAW86" s="31"/>
      <c r="UAX86" s="31"/>
      <c r="UAY86" s="31"/>
      <c r="UAZ86" s="31"/>
      <c r="UBA86" s="31"/>
      <c r="UBB86" s="31"/>
      <c r="UBC86" s="31"/>
      <c r="UBD86" s="31"/>
      <c r="UBE86" s="31"/>
      <c r="UBF86" s="31"/>
      <c r="UBG86" s="31"/>
      <c r="UBH86" s="31"/>
      <c r="UBI86" s="31"/>
      <c r="UBJ86" s="31"/>
      <c r="UBK86" s="31"/>
      <c r="UBL86" s="31"/>
      <c r="UBM86" s="31"/>
      <c r="UBN86" s="31"/>
      <c r="UBO86" s="31"/>
      <c r="UBP86" s="31"/>
      <c r="UBQ86" s="31"/>
      <c r="UBR86" s="31"/>
      <c r="UBS86" s="31"/>
      <c r="UBT86" s="31"/>
      <c r="UBU86" s="31"/>
      <c r="UBV86" s="31"/>
      <c r="UBW86" s="31"/>
      <c r="UBX86" s="31"/>
      <c r="UBY86" s="31"/>
      <c r="UBZ86" s="31"/>
      <c r="UCA86" s="31"/>
      <c r="UCB86" s="31"/>
      <c r="UCC86" s="31"/>
      <c r="UCD86" s="31"/>
      <c r="UCE86" s="31"/>
      <c r="UCF86" s="31"/>
      <c r="UCG86" s="31"/>
      <c r="UCH86" s="31"/>
      <c r="UCI86" s="31"/>
      <c r="UCJ86" s="31"/>
      <c r="UCK86" s="31"/>
      <c r="UCL86" s="31"/>
      <c r="UCM86" s="31"/>
      <c r="UCN86" s="31"/>
      <c r="UCO86" s="31"/>
      <c r="UCP86" s="31"/>
      <c r="UCQ86" s="31"/>
      <c r="UCR86" s="31"/>
      <c r="UCS86" s="31"/>
      <c r="UCT86" s="31"/>
      <c r="UCU86" s="31"/>
      <c r="UCV86" s="31"/>
      <c r="UCW86" s="31"/>
      <c r="UCX86" s="31"/>
      <c r="UCY86" s="31"/>
      <c r="UCZ86" s="31"/>
      <c r="UDA86" s="31"/>
      <c r="UDB86" s="31"/>
      <c r="UDC86" s="31"/>
      <c r="UDD86" s="31"/>
      <c r="UDE86" s="31"/>
      <c r="UDF86" s="31"/>
      <c r="UDG86" s="31"/>
      <c r="UDH86" s="31"/>
      <c r="UDI86" s="31"/>
      <c r="UDJ86" s="31"/>
      <c r="UDK86" s="31"/>
      <c r="UDL86" s="31"/>
      <c r="UDM86" s="31"/>
      <c r="UDN86" s="31"/>
      <c r="UDO86" s="31"/>
      <c r="UDP86" s="31"/>
      <c r="UDQ86" s="31"/>
      <c r="UDR86" s="31"/>
      <c r="UDS86" s="31"/>
      <c r="UDT86" s="31"/>
      <c r="UDU86" s="31"/>
      <c r="UDV86" s="31"/>
      <c r="UDW86" s="31"/>
      <c r="UDX86" s="31"/>
      <c r="UDY86" s="31"/>
      <c r="UDZ86" s="31"/>
      <c r="UEA86" s="31"/>
      <c r="UEB86" s="31"/>
      <c r="UEC86" s="31"/>
      <c r="UED86" s="31"/>
      <c r="UEE86" s="31"/>
      <c r="UEF86" s="31"/>
      <c r="UEG86" s="31"/>
      <c r="UEH86" s="31"/>
      <c r="UEI86" s="31"/>
      <c r="UEJ86" s="31"/>
      <c r="UEK86" s="31"/>
      <c r="UEL86" s="31"/>
      <c r="UEM86" s="31"/>
      <c r="UEN86" s="31"/>
      <c r="UEO86" s="31"/>
      <c r="UEP86" s="31"/>
      <c r="UEQ86" s="31"/>
      <c r="UER86" s="31"/>
      <c r="UES86" s="31"/>
      <c r="UET86" s="31"/>
      <c r="UEU86" s="31"/>
      <c r="UEV86" s="31"/>
      <c r="UEW86" s="31"/>
      <c r="UEX86" s="31"/>
      <c r="UEY86" s="31"/>
      <c r="UEZ86" s="31"/>
      <c r="UFA86" s="31"/>
      <c r="UFB86" s="31"/>
      <c r="UFC86" s="31"/>
      <c r="UFD86" s="31"/>
      <c r="UFE86" s="31"/>
      <c r="UFF86" s="31"/>
      <c r="UFG86" s="31"/>
      <c r="UFH86" s="31"/>
      <c r="UFI86" s="31"/>
      <c r="UFJ86" s="31"/>
      <c r="UFK86" s="31"/>
      <c r="UFL86" s="31"/>
      <c r="UFM86" s="31"/>
      <c r="UFN86" s="31"/>
      <c r="UFO86" s="31"/>
      <c r="UFP86" s="31"/>
      <c r="UFQ86" s="31"/>
      <c r="UFR86" s="31"/>
      <c r="UFS86" s="31"/>
      <c r="UFT86" s="31"/>
      <c r="UFU86" s="31"/>
      <c r="UFV86" s="31"/>
      <c r="UFW86" s="31"/>
      <c r="UFX86" s="31"/>
      <c r="UFY86" s="31"/>
      <c r="UFZ86" s="31"/>
      <c r="UGA86" s="31"/>
      <c r="UGB86" s="31"/>
      <c r="UGC86" s="31"/>
      <c r="UGD86" s="31"/>
      <c r="UGE86" s="31"/>
      <c r="UGF86" s="31"/>
      <c r="UGG86" s="31"/>
      <c r="UGH86" s="31"/>
      <c r="UGI86" s="31"/>
      <c r="UGJ86" s="31"/>
      <c r="UGK86" s="31"/>
      <c r="UGL86" s="31"/>
      <c r="UGM86" s="31"/>
      <c r="UGN86" s="31"/>
      <c r="UGO86" s="31"/>
      <c r="UGP86" s="31"/>
      <c r="UGQ86" s="31"/>
      <c r="UGR86" s="31"/>
      <c r="UGS86" s="31"/>
      <c r="UGT86" s="31"/>
      <c r="UGU86" s="31"/>
      <c r="UGV86" s="31"/>
      <c r="UGW86" s="31"/>
      <c r="UGX86" s="31"/>
      <c r="UGY86" s="31"/>
      <c r="UGZ86" s="31"/>
      <c r="UHA86" s="31"/>
      <c r="UHB86" s="31"/>
      <c r="UHC86" s="31"/>
      <c r="UHD86" s="31"/>
      <c r="UHE86" s="31"/>
      <c r="UHF86" s="31"/>
      <c r="UHG86" s="31"/>
      <c r="UHH86" s="31"/>
      <c r="UHI86" s="31"/>
      <c r="UHJ86" s="31"/>
      <c r="UHK86" s="31"/>
      <c r="UHL86" s="31"/>
      <c r="UHM86" s="31"/>
      <c r="UHN86" s="31"/>
      <c r="UHO86" s="31"/>
      <c r="UHP86" s="31"/>
      <c r="UHQ86" s="31"/>
      <c r="UHR86" s="31"/>
      <c r="UHS86" s="31"/>
      <c r="UHT86" s="31"/>
      <c r="UHU86" s="31"/>
      <c r="UHV86" s="31"/>
      <c r="UHW86" s="31"/>
      <c r="UHX86" s="31"/>
      <c r="UHY86" s="31"/>
      <c r="UHZ86" s="31"/>
      <c r="UIA86" s="31"/>
      <c r="UIB86" s="31"/>
      <c r="UIC86" s="31"/>
      <c r="UID86" s="31"/>
      <c r="UIE86" s="31"/>
      <c r="UIF86" s="31"/>
      <c r="UIG86" s="31"/>
      <c r="UIH86" s="31"/>
      <c r="UII86" s="31"/>
      <c r="UIJ86" s="31"/>
      <c r="UIK86" s="31"/>
      <c r="UIL86" s="31"/>
      <c r="UIM86" s="31"/>
      <c r="UIN86" s="31"/>
      <c r="UIO86" s="31"/>
      <c r="UIP86" s="31"/>
      <c r="UIQ86" s="31"/>
      <c r="UIR86" s="31"/>
      <c r="UIS86" s="31"/>
      <c r="UIT86" s="31"/>
      <c r="UIU86" s="31"/>
      <c r="UIV86" s="31"/>
      <c r="UIW86" s="31"/>
      <c r="UIX86" s="31"/>
      <c r="UIY86" s="31"/>
      <c r="UIZ86" s="31"/>
      <c r="UJA86" s="31"/>
      <c r="UJB86" s="31"/>
      <c r="UJC86" s="31"/>
      <c r="UJD86" s="31"/>
      <c r="UJE86" s="31"/>
      <c r="UJF86" s="31"/>
      <c r="UJG86" s="31"/>
      <c r="UJH86" s="31"/>
      <c r="UJI86" s="31"/>
      <c r="UJJ86" s="31"/>
      <c r="UJK86" s="31"/>
      <c r="UJL86" s="31"/>
      <c r="UJM86" s="31"/>
      <c r="UJN86" s="31"/>
      <c r="UJO86" s="31"/>
      <c r="UJP86" s="31"/>
      <c r="UJQ86" s="31"/>
      <c r="UJR86" s="31"/>
      <c r="UJS86" s="31"/>
      <c r="UJT86" s="31"/>
      <c r="UJU86" s="31"/>
      <c r="UJV86" s="31"/>
      <c r="UJW86" s="31"/>
      <c r="UJX86" s="31"/>
      <c r="UJY86" s="31"/>
      <c r="UJZ86" s="31"/>
      <c r="UKA86" s="31"/>
      <c r="UKB86" s="31"/>
      <c r="UKC86" s="31"/>
      <c r="UKD86" s="31"/>
      <c r="UKE86" s="31"/>
      <c r="UKF86" s="31"/>
      <c r="UKG86" s="31"/>
      <c r="UKH86" s="31"/>
      <c r="UKI86" s="31"/>
      <c r="UKJ86" s="31"/>
      <c r="UKK86" s="31"/>
      <c r="UKL86" s="31"/>
      <c r="UKM86" s="31"/>
      <c r="UKN86" s="31"/>
      <c r="UKO86" s="31"/>
      <c r="UKP86" s="31"/>
      <c r="UKQ86" s="31"/>
      <c r="UKR86" s="31"/>
      <c r="UKS86" s="31"/>
      <c r="UKT86" s="31"/>
      <c r="UKU86" s="31"/>
      <c r="UKV86" s="31"/>
      <c r="UKW86" s="31"/>
      <c r="UKX86" s="31"/>
      <c r="UKY86" s="31"/>
      <c r="UKZ86" s="31"/>
      <c r="ULA86" s="31"/>
      <c r="ULB86" s="31"/>
      <c r="ULC86" s="31"/>
      <c r="ULD86" s="31"/>
      <c r="ULE86" s="31"/>
      <c r="ULF86" s="31"/>
      <c r="ULG86" s="31"/>
      <c r="ULH86" s="31"/>
      <c r="ULI86" s="31"/>
      <c r="ULJ86" s="31"/>
      <c r="ULK86" s="31"/>
      <c r="ULL86" s="31"/>
      <c r="ULM86" s="31"/>
      <c r="ULN86" s="31"/>
      <c r="ULO86" s="31"/>
      <c r="ULP86" s="31"/>
      <c r="ULQ86" s="31"/>
      <c r="ULR86" s="31"/>
      <c r="ULS86" s="31"/>
      <c r="ULT86" s="31"/>
      <c r="ULU86" s="31"/>
      <c r="ULV86" s="31"/>
      <c r="ULW86" s="31"/>
      <c r="ULX86" s="31"/>
      <c r="ULY86" s="31"/>
      <c r="ULZ86" s="31"/>
      <c r="UMA86" s="31"/>
      <c r="UMB86" s="31"/>
      <c r="UMC86" s="31"/>
      <c r="UMD86" s="31"/>
      <c r="UME86" s="31"/>
      <c r="UMF86" s="31"/>
      <c r="UMG86" s="31"/>
      <c r="UMH86" s="31"/>
      <c r="UMI86" s="31"/>
      <c r="UMJ86" s="31"/>
      <c r="UMK86" s="31"/>
      <c r="UML86" s="31"/>
      <c r="UMM86" s="31"/>
      <c r="UMN86" s="31"/>
      <c r="UMO86" s="31"/>
      <c r="UMP86" s="31"/>
      <c r="UMQ86" s="31"/>
      <c r="UMR86" s="31"/>
      <c r="UMS86" s="31"/>
      <c r="UMT86" s="31"/>
      <c r="UMU86" s="31"/>
      <c r="UMV86" s="31"/>
      <c r="UMW86" s="31"/>
      <c r="UMX86" s="31"/>
      <c r="UMY86" s="31"/>
      <c r="UMZ86" s="31"/>
      <c r="UNA86" s="31"/>
      <c r="UNB86" s="31"/>
      <c r="UNC86" s="31"/>
      <c r="UND86" s="31"/>
      <c r="UNE86" s="31"/>
      <c r="UNF86" s="31"/>
      <c r="UNG86" s="31"/>
      <c r="UNH86" s="31"/>
      <c r="UNI86" s="31"/>
      <c r="UNJ86" s="31"/>
      <c r="UNK86" s="31"/>
      <c r="UNL86" s="31"/>
      <c r="UNM86" s="31"/>
      <c r="UNN86" s="31"/>
      <c r="UNO86" s="31"/>
      <c r="UNP86" s="31"/>
      <c r="UNQ86" s="31"/>
      <c r="UNR86" s="31"/>
      <c r="UNS86" s="31"/>
      <c r="UNT86" s="31"/>
      <c r="UNU86" s="31"/>
      <c r="UNV86" s="31"/>
      <c r="UNW86" s="31"/>
      <c r="UNX86" s="31"/>
      <c r="UNY86" s="31"/>
      <c r="UNZ86" s="31"/>
      <c r="UOA86" s="31"/>
      <c r="UOB86" s="31"/>
      <c r="UOC86" s="31"/>
      <c r="UOD86" s="31"/>
      <c r="UOE86" s="31"/>
      <c r="UOF86" s="31"/>
      <c r="UOG86" s="31"/>
      <c r="UOH86" s="31"/>
      <c r="UOI86" s="31"/>
      <c r="UOJ86" s="31"/>
      <c r="UOK86" s="31"/>
      <c r="UOL86" s="31"/>
      <c r="UOM86" s="31"/>
      <c r="UON86" s="31"/>
      <c r="UOO86" s="31"/>
      <c r="UOP86" s="31"/>
      <c r="UOQ86" s="31"/>
      <c r="UOR86" s="31"/>
      <c r="UOS86" s="31"/>
      <c r="UOT86" s="31"/>
      <c r="UOU86" s="31"/>
      <c r="UOV86" s="31"/>
      <c r="UOW86" s="31"/>
      <c r="UOX86" s="31"/>
      <c r="UOY86" s="31"/>
      <c r="UOZ86" s="31"/>
      <c r="UPA86" s="31"/>
      <c r="UPB86" s="31"/>
      <c r="UPC86" s="31"/>
      <c r="UPD86" s="31"/>
      <c r="UPE86" s="31"/>
      <c r="UPF86" s="31"/>
      <c r="UPG86" s="31"/>
      <c r="UPH86" s="31"/>
      <c r="UPI86" s="31"/>
      <c r="UPJ86" s="31"/>
      <c r="UPK86" s="31"/>
      <c r="UPL86" s="31"/>
      <c r="UPM86" s="31"/>
      <c r="UPN86" s="31"/>
      <c r="UPO86" s="31"/>
      <c r="UPP86" s="31"/>
      <c r="UPQ86" s="31"/>
      <c r="UPR86" s="31"/>
      <c r="UPS86" s="31"/>
      <c r="UPT86" s="31"/>
      <c r="UPU86" s="31"/>
      <c r="UPV86" s="31"/>
      <c r="UPW86" s="31"/>
      <c r="UPX86" s="31"/>
      <c r="UPY86" s="31"/>
      <c r="UPZ86" s="31"/>
      <c r="UQA86" s="31"/>
      <c r="UQB86" s="31"/>
      <c r="UQC86" s="31"/>
      <c r="UQD86" s="31"/>
      <c r="UQE86" s="31"/>
      <c r="UQF86" s="31"/>
      <c r="UQG86" s="31"/>
      <c r="UQH86" s="31"/>
      <c r="UQI86" s="31"/>
      <c r="UQJ86" s="31"/>
      <c r="UQK86" s="31"/>
      <c r="UQL86" s="31"/>
      <c r="UQM86" s="31"/>
      <c r="UQN86" s="31"/>
      <c r="UQO86" s="31"/>
      <c r="UQP86" s="31"/>
      <c r="UQQ86" s="31"/>
      <c r="UQR86" s="31"/>
      <c r="UQS86" s="31"/>
      <c r="UQT86" s="31"/>
      <c r="UQU86" s="31"/>
      <c r="UQV86" s="31"/>
      <c r="UQW86" s="31"/>
      <c r="UQX86" s="31"/>
      <c r="UQY86" s="31"/>
      <c r="UQZ86" s="31"/>
      <c r="URA86" s="31"/>
      <c r="URB86" s="31"/>
      <c r="URC86" s="31"/>
      <c r="URD86" s="31"/>
      <c r="URE86" s="31"/>
      <c r="URF86" s="31"/>
      <c r="URG86" s="31"/>
      <c r="URH86" s="31"/>
      <c r="URI86" s="31"/>
      <c r="URJ86" s="31"/>
      <c r="URK86" s="31"/>
      <c r="URL86" s="31"/>
      <c r="URM86" s="31"/>
      <c r="URN86" s="31"/>
      <c r="URO86" s="31"/>
      <c r="URP86" s="31"/>
      <c r="URQ86" s="31"/>
      <c r="URR86" s="31"/>
      <c r="URS86" s="31"/>
      <c r="URT86" s="31"/>
      <c r="URU86" s="31"/>
      <c r="URV86" s="31"/>
      <c r="URW86" s="31"/>
      <c r="URX86" s="31"/>
      <c r="URY86" s="31"/>
      <c r="URZ86" s="31"/>
      <c r="USA86" s="31"/>
      <c r="USB86" s="31"/>
      <c r="USC86" s="31"/>
      <c r="USD86" s="31"/>
      <c r="USE86" s="31"/>
      <c r="USF86" s="31"/>
      <c r="USG86" s="31"/>
      <c r="USH86" s="31"/>
      <c r="USI86" s="31"/>
      <c r="USJ86" s="31"/>
      <c r="USK86" s="31"/>
      <c r="USL86" s="31"/>
      <c r="USM86" s="31"/>
      <c r="USN86" s="31"/>
      <c r="USO86" s="31"/>
      <c r="USP86" s="31"/>
      <c r="USQ86" s="31"/>
      <c r="USR86" s="31"/>
      <c r="USS86" s="31"/>
      <c r="UST86" s="31"/>
      <c r="USU86" s="31"/>
      <c r="USV86" s="31"/>
      <c r="USW86" s="31"/>
      <c r="USX86" s="31"/>
      <c r="USY86" s="31"/>
      <c r="USZ86" s="31"/>
      <c r="UTA86" s="31"/>
      <c r="UTB86" s="31"/>
      <c r="UTC86" s="31"/>
      <c r="UTD86" s="31"/>
      <c r="UTE86" s="31"/>
      <c r="UTF86" s="31"/>
      <c r="UTG86" s="31"/>
      <c r="UTH86" s="31"/>
      <c r="UTI86" s="31"/>
      <c r="UTJ86" s="31"/>
      <c r="UTK86" s="31"/>
      <c r="UTL86" s="31"/>
      <c r="UTM86" s="31"/>
      <c r="UTN86" s="31"/>
      <c r="UTO86" s="31"/>
      <c r="UTP86" s="31"/>
      <c r="UTQ86" s="31"/>
      <c r="UTR86" s="31"/>
      <c r="UTS86" s="31"/>
      <c r="UTT86" s="31"/>
      <c r="UTU86" s="31"/>
      <c r="UTV86" s="31"/>
      <c r="UTW86" s="31"/>
      <c r="UTX86" s="31"/>
      <c r="UTY86" s="31"/>
      <c r="UTZ86" s="31"/>
      <c r="UUA86" s="31"/>
      <c r="UUB86" s="31"/>
      <c r="UUC86" s="31"/>
      <c r="UUD86" s="31"/>
      <c r="UUE86" s="31"/>
      <c r="UUF86" s="31"/>
      <c r="UUG86" s="31"/>
      <c r="UUH86" s="31"/>
      <c r="UUI86" s="31"/>
      <c r="UUJ86" s="31"/>
      <c r="UUK86" s="31"/>
      <c r="UUL86" s="31"/>
      <c r="UUM86" s="31"/>
      <c r="UUN86" s="31"/>
      <c r="UUO86" s="31"/>
      <c r="UUP86" s="31"/>
      <c r="UUQ86" s="31"/>
      <c r="UUR86" s="31"/>
      <c r="UUS86" s="31"/>
      <c r="UUT86" s="31"/>
      <c r="UUU86" s="31"/>
      <c r="UUV86" s="31"/>
      <c r="UUW86" s="31"/>
      <c r="UUX86" s="31"/>
      <c r="UUY86" s="31"/>
      <c r="UUZ86" s="31"/>
      <c r="UVA86" s="31"/>
      <c r="UVB86" s="31"/>
      <c r="UVC86" s="31"/>
      <c r="UVD86" s="31"/>
      <c r="UVE86" s="31"/>
      <c r="UVF86" s="31"/>
      <c r="UVG86" s="31"/>
      <c r="UVH86" s="31"/>
      <c r="UVI86" s="31"/>
      <c r="UVJ86" s="31"/>
      <c r="UVK86" s="31"/>
      <c r="UVL86" s="31"/>
      <c r="UVM86" s="31"/>
      <c r="UVN86" s="31"/>
      <c r="UVO86" s="31"/>
      <c r="UVP86" s="31"/>
      <c r="UVQ86" s="31"/>
      <c r="UVR86" s="31"/>
      <c r="UVS86" s="31"/>
      <c r="UVT86" s="31"/>
      <c r="UVU86" s="31"/>
      <c r="UVV86" s="31"/>
      <c r="UVW86" s="31"/>
      <c r="UVX86" s="31"/>
      <c r="UVY86" s="31"/>
      <c r="UVZ86" s="31"/>
      <c r="UWA86" s="31"/>
      <c r="UWB86" s="31"/>
      <c r="UWC86" s="31"/>
      <c r="UWD86" s="31"/>
      <c r="UWE86" s="31"/>
      <c r="UWF86" s="31"/>
      <c r="UWG86" s="31"/>
      <c r="UWH86" s="31"/>
      <c r="UWI86" s="31"/>
      <c r="UWJ86" s="31"/>
      <c r="UWK86" s="31"/>
      <c r="UWL86" s="31"/>
      <c r="UWM86" s="31"/>
      <c r="UWN86" s="31"/>
      <c r="UWO86" s="31"/>
      <c r="UWP86" s="31"/>
      <c r="UWQ86" s="31"/>
      <c r="UWR86" s="31"/>
      <c r="UWS86" s="31"/>
      <c r="UWT86" s="31"/>
      <c r="UWU86" s="31"/>
      <c r="UWV86" s="31"/>
      <c r="UWW86" s="31"/>
      <c r="UWX86" s="31"/>
      <c r="UWY86" s="31"/>
      <c r="UWZ86" s="31"/>
      <c r="UXA86" s="31"/>
      <c r="UXB86" s="31"/>
      <c r="UXC86" s="31"/>
      <c r="UXD86" s="31"/>
      <c r="UXE86" s="31"/>
      <c r="UXF86" s="31"/>
      <c r="UXG86" s="31"/>
      <c r="UXH86" s="31"/>
      <c r="UXI86" s="31"/>
      <c r="UXJ86" s="31"/>
      <c r="UXK86" s="31"/>
      <c r="UXL86" s="31"/>
      <c r="UXM86" s="31"/>
      <c r="UXN86" s="31"/>
      <c r="UXO86" s="31"/>
      <c r="UXP86" s="31"/>
      <c r="UXQ86" s="31"/>
      <c r="UXR86" s="31"/>
      <c r="UXS86" s="31"/>
      <c r="UXT86" s="31"/>
      <c r="UXU86" s="31"/>
      <c r="UXV86" s="31"/>
      <c r="UXW86" s="31"/>
      <c r="UXX86" s="31"/>
      <c r="UXY86" s="31"/>
      <c r="UXZ86" s="31"/>
      <c r="UYA86" s="31"/>
      <c r="UYB86" s="31"/>
      <c r="UYC86" s="31"/>
      <c r="UYD86" s="31"/>
      <c r="UYE86" s="31"/>
      <c r="UYF86" s="31"/>
      <c r="UYG86" s="31"/>
      <c r="UYH86" s="31"/>
      <c r="UYI86" s="31"/>
      <c r="UYJ86" s="31"/>
      <c r="UYK86" s="31"/>
      <c r="UYL86" s="31"/>
      <c r="UYM86" s="31"/>
      <c r="UYN86" s="31"/>
      <c r="UYO86" s="31"/>
      <c r="UYP86" s="31"/>
      <c r="UYQ86" s="31"/>
      <c r="UYR86" s="31"/>
      <c r="UYS86" s="31"/>
      <c r="UYT86" s="31"/>
      <c r="UYU86" s="31"/>
      <c r="UYV86" s="31"/>
      <c r="UYW86" s="31"/>
      <c r="UYX86" s="31"/>
      <c r="UYY86" s="31"/>
      <c r="UYZ86" s="31"/>
      <c r="UZA86" s="31"/>
      <c r="UZB86" s="31"/>
      <c r="UZC86" s="31"/>
      <c r="UZD86" s="31"/>
      <c r="UZE86" s="31"/>
      <c r="UZF86" s="31"/>
      <c r="UZG86" s="31"/>
      <c r="UZH86" s="31"/>
      <c r="UZI86" s="31"/>
      <c r="UZJ86" s="31"/>
      <c r="UZK86" s="31"/>
      <c r="UZL86" s="31"/>
      <c r="UZM86" s="31"/>
      <c r="UZN86" s="31"/>
      <c r="UZO86" s="31"/>
      <c r="UZP86" s="31"/>
      <c r="UZQ86" s="31"/>
      <c r="UZR86" s="31"/>
      <c r="UZS86" s="31"/>
      <c r="UZT86" s="31"/>
      <c r="UZU86" s="31"/>
      <c r="UZV86" s="31"/>
      <c r="UZW86" s="31"/>
      <c r="UZX86" s="31"/>
      <c r="UZY86" s="31"/>
      <c r="UZZ86" s="31"/>
      <c r="VAA86" s="31"/>
      <c r="VAB86" s="31"/>
      <c r="VAC86" s="31"/>
      <c r="VAD86" s="31"/>
      <c r="VAE86" s="31"/>
      <c r="VAF86" s="31"/>
      <c r="VAG86" s="31"/>
      <c r="VAH86" s="31"/>
      <c r="VAI86" s="31"/>
      <c r="VAJ86" s="31"/>
      <c r="VAK86" s="31"/>
      <c r="VAL86" s="31"/>
      <c r="VAM86" s="31"/>
      <c r="VAN86" s="31"/>
      <c r="VAO86" s="31"/>
      <c r="VAP86" s="31"/>
      <c r="VAQ86" s="31"/>
      <c r="VAR86" s="31"/>
      <c r="VAS86" s="31"/>
      <c r="VAT86" s="31"/>
      <c r="VAU86" s="31"/>
      <c r="VAV86" s="31"/>
      <c r="VAW86" s="31"/>
      <c r="VAX86" s="31"/>
      <c r="VAY86" s="31"/>
      <c r="VAZ86" s="31"/>
      <c r="VBA86" s="31"/>
      <c r="VBB86" s="31"/>
      <c r="VBC86" s="31"/>
      <c r="VBD86" s="31"/>
      <c r="VBE86" s="31"/>
      <c r="VBF86" s="31"/>
      <c r="VBG86" s="31"/>
      <c r="VBH86" s="31"/>
      <c r="VBI86" s="31"/>
      <c r="VBJ86" s="31"/>
      <c r="VBK86" s="31"/>
      <c r="VBL86" s="31"/>
      <c r="VBM86" s="31"/>
      <c r="VBN86" s="31"/>
      <c r="VBO86" s="31"/>
      <c r="VBP86" s="31"/>
      <c r="VBQ86" s="31"/>
      <c r="VBR86" s="31"/>
      <c r="VBS86" s="31"/>
      <c r="VBT86" s="31"/>
      <c r="VBU86" s="31"/>
      <c r="VBV86" s="31"/>
      <c r="VBW86" s="31"/>
      <c r="VBX86" s="31"/>
      <c r="VBY86" s="31"/>
      <c r="VBZ86" s="31"/>
      <c r="VCA86" s="31"/>
      <c r="VCB86" s="31"/>
      <c r="VCC86" s="31"/>
      <c r="VCD86" s="31"/>
      <c r="VCE86" s="31"/>
      <c r="VCF86" s="31"/>
      <c r="VCG86" s="31"/>
      <c r="VCH86" s="31"/>
      <c r="VCI86" s="31"/>
      <c r="VCJ86" s="31"/>
      <c r="VCK86" s="31"/>
      <c r="VCL86" s="31"/>
      <c r="VCM86" s="31"/>
      <c r="VCN86" s="31"/>
      <c r="VCO86" s="31"/>
      <c r="VCP86" s="31"/>
      <c r="VCQ86" s="31"/>
      <c r="VCR86" s="31"/>
      <c r="VCS86" s="31"/>
      <c r="VCT86" s="31"/>
      <c r="VCU86" s="31"/>
      <c r="VCV86" s="31"/>
      <c r="VCW86" s="31"/>
      <c r="VCX86" s="31"/>
      <c r="VCY86" s="31"/>
      <c r="VCZ86" s="31"/>
      <c r="VDA86" s="31"/>
      <c r="VDB86" s="31"/>
      <c r="VDC86" s="31"/>
      <c r="VDD86" s="31"/>
      <c r="VDE86" s="31"/>
      <c r="VDF86" s="31"/>
      <c r="VDG86" s="31"/>
      <c r="VDH86" s="31"/>
      <c r="VDI86" s="31"/>
      <c r="VDJ86" s="31"/>
      <c r="VDK86" s="31"/>
      <c r="VDL86" s="31"/>
      <c r="VDM86" s="31"/>
      <c r="VDN86" s="31"/>
      <c r="VDO86" s="31"/>
      <c r="VDP86" s="31"/>
      <c r="VDQ86" s="31"/>
      <c r="VDR86" s="31"/>
      <c r="VDS86" s="31"/>
      <c r="VDT86" s="31"/>
      <c r="VDU86" s="31"/>
      <c r="VDV86" s="31"/>
      <c r="VDW86" s="31"/>
      <c r="VDX86" s="31"/>
      <c r="VDY86" s="31"/>
      <c r="VDZ86" s="31"/>
      <c r="VEA86" s="31"/>
      <c r="VEB86" s="31"/>
      <c r="VEC86" s="31"/>
      <c r="VED86" s="31"/>
      <c r="VEE86" s="31"/>
      <c r="VEF86" s="31"/>
      <c r="VEG86" s="31"/>
      <c r="VEH86" s="31"/>
      <c r="VEI86" s="31"/>
      <c r="VEJ86" s="31"/>
      <c r="VEK86" s="31"/>
      <c r="VEL86" s="31"/>
      <c r="VEM86" s="31"/>
      <c r="VEN86" s="31"/>
      <c r="VEO86" s="31"/>
      <c r="VEP86" s="31"/>
      <c r="VEQ86" s="31"/>
      <c r="VER86" s="31"/>
      <c r="VES86" s="31"/>
      <c r="VET86" s="31"/>
      <c r="VEU86" s="31"/>
      <c r="VEV86" s="31"/>
      <c r="VEW86" s="31"/>
      <c r="VEX86" s="31"/>
      <c r="VEY86" s="31"/>
      <c r="VEZ86" s="31"/>
      <c r="VFA86" s="31"/>
      <c r="VFB86" s="31"/>
      <c r="VFC86" s="31"/>
      <c r="VFD86" s="31"/>
      <c r="VFE86" s="31"/>
      <c r="VFF86" s="31"/>
      <c r="VFG86" s="31"/>
      <c r="VFH86" s="31"/>
      <c r="VFI86" s="31"/>
      <c r="VFJ86" s="31"/>
      <c r="VFK86" s="31"/>
      <c r="VFL86" s="31"/>
      <c r="VFM86" s="31"/>
      <c r="VFN86" s="31"/>
      <c r="VFO86" s="31"/>
      <c r="VFP86" s="31"/>
      <c r="VFQ86" s="31"/>
      <c r="VFR86" s="31"/>
      <c r="VFS86" s="31"/>
      <c r="VFT86" s="31"/>
      <c r="VFU86" s="31"/>
      <c r="VFV86" s="31"/>
      <c r="VFW86" s="31"/>
      <c r="VFX86" s="31"/>
      <c r="VFY86" s="31"/>
      <c r="VFZ86" s="31"/>
      <c r="VGA86" s="31"/>
      <c r="VGB86" s="31"/>
      <c r="VGC86" s="31"/>
      <c r="VGD86" s="31"/>
      <c r="VGE86" s="31"/>
      <c r="VGF86" s="31"/>
      <c r="VGG86" s="31"/>
      <c r="VGH86" s="31"/>
      <c r="VGI86" s="31"/>
      <c r="VGJ86" s="31"/>
      <c r="VGK86" s="31"/>
      <c r="VGL86" s="31"/>
      <c r="VGM86" s="31"/>
      <c r="VGN86" s="31"/>
      <c r="VGO86" s="31"/>
      <c r="VGP86" s="31"/>
      <c r="VGQ86" s="31"/>
      <c r="VGR86" s="31"/>
      <c r="VGS86" s="31"/>
      <c r="VGT86" s="31"/>
      <c r="VGU86" s="31"/>
      <c r="VGV86" s="31"/>
      <c r="VGW86" s="31"/>
      <c r="VGX86" s="31"/>
      <c r="VGY86" s="31"/>
      <c r="VGZ86" s="31"/>
      <c r="VHA86" s="31"/>
      <c r="VHB86" s="31"/>
      <c r="VHC86" s="31"/>
      <c r="VHD86" s="31"/>
      <c r="VHE86" s="31"/>
      <c r="VHF86" s="31"/>
      <c r="VHG86" s="31"/>
      <c r="VHH86" s="31"/>
      <c r="VHI86" s="31"/>
      <c r="VHJ86" s="31"/>
      <c r="VHK86" s="31"/>
      <c r="VHL86" s="31"/>
      <c r="VHM86" s="31"/>
      <c r="VHN86" s="31"/>
      <c r="VHO86" s="31"/>
      <c r="VHP86" s="31"/>
      <c r="VHQ86" s="31"/>
      <c r="VHR86" s="31"/>
      <c r="VHS86" s="31"/>
      <c r="VHT86" s="31"/>
      <c r="VHU86" s="31"/>
      <c r="VHV86" s="31"/>
      <c r="VHW86" s="31"/>
      <c r="VHX86" s="31"/>
      <c r="VHY86" s="31"/>
      <c r="VHZ86" s="31"/>
      <c r="VIA86" s="31"/>
      <c r="VIB86" s="31"/>
      <c r="VIC86" s="31"/>
      <c r="VID86" s="31"/>
      <c r="VIE86" s="31"/>
      <c r="VIF86" s="31"/>
      <c r="VIG86" s="31"/>
      <c r="VIH86" s="31"/>
      <c r="VII86" s="31"/>
      <c r="VIJ86" s="31"/>
      <c r="VIK86" s="31"/>
      <c r="VIL86" s="31"/>
      <c r="VIM86" s="31"/>
      <c r="VIN86" s="31"/>
      <c r="VIO86" s="31"/>
      <c r="VIP86" s="31"/>
      <c r="VIQ86" s="31"/>
      <c r="VIR86" s="31"/>
      <c r="VIS86" s="31"/>
      <c r="VIT86" s="31"/>
      <c r="VIU86" s="31"/>
      <c r="VIV86" s="31"/>
      <c r="VIW86" s="31"/>
      <c r="VIX86" s="31"/>
      <c r="VIY86" s="31"/>
      <c r="VIZ86" s="31"/>
      <c r="VJA86" s="31"/>
      <c r="VJB86" s="31"/>
      <c r="VJC86" s="31"/>
      <c r="VJD86" s="31"/>
      <c r="VJE86" s="31"/>
      <c r="VJF86" s="31"/>
      <c r="VJG86" s="31"/>
      <c r="VJH86" s="31"/>
      <c r="VJI86" s="31"/>
      <c r="VJJ86" s="31"/>
      <c r="VJK86" s="31"/>
      <c r="VJL86" s="31"/>
      <c r="VJM86" s="31"/>
      <c r="VJN86" s="31"/>
      <c r="VJO86" s="31"/>
      <c r="VJP86" s="31"/>
      <c r="VJQ86" s="31"/>
      <c r="VJR86" s="31"/>
      <c r="VJS86" s="31"/>
      <c r="VJT86" s="31"/>
      <c r="VJU86" s="31"/>
      <c r="VJV86" s="31"/>
      <c r="VJW86" s="31"/>
      <c r="VJX86" s="31"/>
      <c r="VJY86" s="31"/>
      <c r="VJZ86" s="31"/>
      <c r="VKA86" s="31"/>
      <c r="VKB86" s="31"/>
      <c r="VKC86" s="31"/>
      <c r="VKD86" s="31"/>
      <c r="VKE86" s="31"/>
      <c r="VKF86" s="31"/>
      <c r="VKG86" s="31"/>
      <c r="VKH86" s="31"/>
      <c r="VKI86" s="31"/>
      <c r="VKJ86" s="31"/>
      <c r="VKK86" s="31"/>
      <c r="VKL86" s="31"/>
      <c r="VKM86" s="31"/>
      <c r="VKN86" s="31"/>
      <c r="VKO86" s="31"/>
      <c r="VKP86" s="31"/>
      <c r="VKQ86" s="31"/>
      <c r="VKR86" s="31"/>
      <c r="VKS86" s="31"/>
      <c r="VKT86" s="31"/>
      <c r="VKU86" s="31"/>
      <c r="VKV86" s="31"/>
      <c r="VKW86" s="31"/>
      <c r="VKX86" s="31"/>
      <c r="VKY86" s="31"/>
      <c r="VKZ86" s="31"/>
      <c r="VLA86" s="31"/>
      <c r="VLB86" s="31"/>
      <c r="VLC86" s="31"/>
      <c r="VLD86" s="31"/>
      <c r="VLE86" s="31"/>
      <c r="VLF86" s="31"/>
      <c r="VLG86" s="31"/>
      <c r="VLH86" s="31"/>
      <c r="VLI86" s="31"/>
      <c r="VLJ86" s="31"/>
      <c r="VLK86" s="31"/>
      <c r="VLL86" s="31"/>
      <c r="VLM86" s="31"/>
      <c r="VLN86" s="31"/>
      <c r="VLO86" s="31"/>
      <c r="VLP86" s="31"/>
      <c r="VLQ86" s="31"/>
      <c r="VLR86" s="31"/>
      <c r="VLS86" s="31"/>
      <c r="VLT86" s="31"/>
      <c r="VLU86" s="31"/>
      <c r="VLV86" s="31"/>
      <c r="VLW86" s="31"/>
      <c r="VLX86" s="31"/>
      <c r="VLY86" s="31"/>
      <c r="VLZ86" s="31"/>
      <c r="VMA86" s="31"/>
      <c r="VMB86" s="31"/>
      <c r="VMC86" s="31"/>
      <c r="VMD86" s="31"/>
      <c r="VME86" s="31"/>
      <c r="VMF86" s="31"/>
      <c r="VMG86" s="31"/>
      <c r="VMH86" s="31"/>
      <c r="VMI86" s="31"/>
      <c r="VMJ86" s="31"/>
      <c r="VMK86" s="31"/>
      <c r="VML86" s="31"/>
      <c r="VMM86" s="31"/>
      <c r="VMN86" s="31"/>
      <c r="VMO86" s="31"/>
      <c r="VMP86" s="31"/>
      <c r="VMQ86" s="31"/>
      <c r="VMR86" s="31"/>
      <c r="VMS86" s="31"/>
      <c r="VMT86" s="31"/>
      <c r="VMU86" s="31"/>
      <c r="VMV86" s="31"/>
      <c r="VMW86" s="31"/>
      <c r="VMX86" s="31"/>
      <c r="VMY86" s="31"/>
      <c r="VMZ86" s="31"/>
      <c r="VNA86" s="31"/>
      <c r="VNB86" s="31"/>
      <c r="VNC86" s="31"/>
      <c r="VND86" s="31"/>
      <c r="VNE86" s="31"/>
      <c r="VNF86" s="31"/>
      <c r="VNG86" s="31"/>
      <c r="VNH86" s="31"/>
      <c r="VNI86" s="31"/>
      <c r="VNJ86" s="31"/>
      <c r="VNK86" s="31"/>
      <c r="VNL86" s="31"/>
      <c r="VNM86" s="31"/>
      <c r="VNN86" s="31"/>
      <c r="VNO86" s="31"/>
      <c r="VNP86" s="31"/>
      <c r="VNQ86" s="31"/>
      <c r="VNR86" s="31"/>
      <c r="VNS86" s="31"/>
      <c r="VNT86" s="31"/>
      <c r="VNU86" s="31"/>
      <c r="VNV86" s="31"/>
      <c r="VNW86" s="31"/>
      <c r="VNX86" s="31"/>
      <c r="VNY86" s="31"/>
      <c r="VNZ86" s="31"/>
      <c r="VOA86" s="31"/>
      <c r="VOB86" s="31"/>
      <c r="VOC86" s="31"/>
      <c r="VOD86" s="31"/>
      <c r="VOE86" s="31"/>
      <c r="VOF86" s="31"/>
      <c r="VOG86" s="31"/>
      <c r="VOH86" s="31"/>
      <c r="VOI86" s="31"/>
      <c r="VOJ86" s="31"/>
      <c r="VOK86" s="31"/>
      <c r="VOL86" s="31"/>
      <c r="VOM86" s="31"/>
      <c r="VON86" s="31"/>
      <c r="VOO86" s="31"/>
      <c r="VOP86" s="31"/>
      <c r="VOQ86" s="31"/>
      <c r="VOR86" s="31"/>
      <c r="VOS86" s="31"/>
      <c r="VOT86" s="31"/>
      <c r="VOU86" s="31"/>
      <c r="VOV86" s="31"/>
      <c r="VOW86" s="31"/>
      <c r="VOX86" s="31"/>
      <c r="VOY86" s="31"/>
      <c r="VOZ86" s="31"/>
      <c r="VPA86" s="31"/>
      <c r="VPB86" s="31"/>
      <c r="VPC86" s="31"/>
      <c r="VPD86" s="31"/>
      <c r="VPE86" s="31"/>
      <c r="VPF86" s="31"/>
      <c r="VPG86" s="31"/>
      <c r="VPH86" s="31"/>
      <c r="VPI86" s="31"/>
      <c r="VPJ86" s="31"/>
      <c r="VPK86" s="31"/>
      <c r="VPL86" s="31"/>
      <c r="VPM86" s="31"/>
      <c r="VPN86" s="31"/>
      <c r="VPO86" s="31"/>
      <c r="VPP86" s="31"/>
      <c r="VPQ86" s="31"/>
      <c r="VPR86" s="31"/>
      <c r="VPS86" s="31"/>
      <c r="VPT86" s="31"/>
      <c r="VPU86" s="31"/>
      <c r="VPV86" s="31"/>
      <c r="VPW86" s="31"/>
      <c r="VPX86" s="31"/>
      <c r="VPY86" s="31"/>
      <c r="VPZ86" s="31"/>
      <c r="VQA86" s="31"/>
      <c r="VQB86" s="31"/>
      <c r="VQC86" s="31"/>
      <c r="VQD86" s="31"/>
      <c r="VQE86" s="31"/>
      <c r="VQF86" s="31"/>
      <c r="VQG86" s="31"/>
      <c r="VQH86" s="31"/>
      <c r="VQI86" s="31"/>
      <c r="VQJ86" s="31"/>
      <c r="VQK86" s="31"/>
      <c r="VQL86" s="31"/>
      <c r="VQM86" s="31"/>
      <c r="VQN86" s="31"/>
      <c r="VQO86" s="31"/>
      <c r="VQP86" s="31"/>
      <c r="VQQ86" s="31"/>
      <c r="VQR86" s="31"/>
      <c r="VQS86" s="31"/>
      <c r="VQT86" s="31"/>
      <c r="VQU86" s="31"/>
      <c r="VQV86" s="31"/>
      <c r="VQW86" s="31"/>
      <c r="VQX86" s="31"/>
      <c r="VQY86" s="31"/>
      <c r="VQZ86" s="31"/>
      <c r="VRA86" s="31"/>
      <c r="VRB86" s="31"/>
      <c r="VRC86" s="31"/>
      <c r="VRD86" s="31"/>
      <c r="VRE86" s="31"/>
      <c r="VRF86" s="31"/>
      <c r="VRG86" s="31"/>
      <c r="VRH86" s="31"/>
      <c r="VRI86" s="31"/>
      <c r="VRJ86" s="31"/>
      <c r="VRK86" s="31"/>
      <c r="VRL86" s="31"/>
      <c r="VRM86" s="31"/>
      <c r="VRN86" s="31"/>
      <c r="VRO86" s="31"/>
      <c r="VRP86" s="31"/>
      <c r="VRQ86" s="31"/>
      <c r="VRR86" s="31"/>
      <c r="VRS86" s="31"/>
      <c r="VRT86" s="31"/>
      <c r="VRU86" s="31"/>
      <c r="VRV86" s="31"/>
      <c r="VRW86" s="31"/>
      <c r="VRX86" s="31"/>
      <c r="VRY86" s="31"/>
      <c r="VRZ86" s="31"/>
      <c r="VSA86" s="31"/>
      <c r="VSB86" s="31"/>
      <c r="VSC86" s="31"/>
      <c r="VSD86" s="31"/>
      <c r="VSE86" s="31"/>
      <c r="VSF86" s="31"/>
      <c r="VSG86" s="31"/>
      <c r="VSH86" s="31"/>
      <c r="VSI86" s="31"/>
      <c r="VSJ86" s="31"/>
      <c r="VSK86" s="31"/>
      <c r="VSL86" s="31"/>
      <c r="VSM86" s="31"/>
      <c r="VSN86" s="31"/>
      <c r="VSO86" s="31"/>
      <c r="VSP86" s="31"/>
      <c r="VSQ86" s="31"/>
      <c r="VSR86" s="31"/>
      <c r="VSS86" s="31"/>
      <c r="VST86" s="31"/>
      <c r="VSU86" s="31"/>
      <c r="VSV86" s="31"/>
      <c r="VSW86" s="31"/>
      <c r="VSX86" s="31"/>
      <c r="VSY86" s="31"/>
      <c r="VSZ86" s="31"/>
      <c r="VTA86" s="31"/>
      <c r="VTB86" s="31"/>
      <c r="VTC86" s="31"/>
      <c r="VTD86" s="31"/>
      <c r="VTE86" s="31"/>
      <c r="VTF86" s="31"/>
      <c r="VTG86" s="31"/>
      <c r="VTH86" s="31"/>
      <c r="VTI86" s="31"/>
      <c r="VTJ86" s="31"/>
      <c r="VTK86" s="31"/>
      <c r="VTL86" s="31"/>
      <c r="VTM86" s="31"/>
      <c r="VTN86" s="31"/>
      <c r="VTO86" s="31"/>
      <c r="VTP86" s="31"/>
      <c r="VTQ86" s="31"/>
      <c r="VTR86" s="31"/>
      <c r="VTS86" s="31"/>
      <c r="VTT86" s="31"/>
      <c r="VTU86" s="31"/>
      <c r="VTV86" s="31"/>
      <c r="VTW86" s="31"/>
      <c r="VTX86" s="31"/>
      <c r="VTY86" s="31"/>
      <c r="VTZ86" s="31"/>
      <c r="VUA86" s="31"/>
      <c r="VUB86" s="31"/>
      <c r="VUC86" s="31"/>
      <c r="VUD86" s="31"/>
      <c r="VUE86" s="31"/>
      <c r="VUF86" s="31"/>
      <c r="VUG86" s="31"/>
      <c r="VUH86" s="31"/>
      <c r="VUI86" s="31"/>
      <c r="VUJ86" s="31"/>
      <c r="VUK86" s="31"/>
      <c r="VUL86" s="31"/>
      <c r="VUM86" s="31"/>
      <c r="VUN86" s="31"/>
      <c r="VUO86" s="31"/>
      <c r="VUP86" s="31"/>
      <c r="VUQ86" s="31"/>
      <c r="VUR86" s="31"/>
      <c r="VUS86" s="31"/>
      <c r="VUT86" s="31"/>
      <c r="VUU86" s="31"/>
      <c r="VUV86" s="31"/>
      <c r="VUW86" s="31"/>
      <c r="VUX86" s="31"/>
      <c r="VUY86" s="31"/>
      <c r="VUZ86" s="31"/>
      <c r="VVA86" s="31"/>
      <c r="VVB86" s="31"/>
      <c r="VVC86" s="31"/>
      <c r="VVD86" s="31"/>
      <c r="VVE86" s="31"/>
      <c r="VVF86" s="31"/>
      <c r="VVG86" s="31"/>
      <c r="VVH86" s="31"/>
      <c r="VVI86" s="31"/>
      <c r="VVJ86" s="31"/>
      <c r="VVK86" s="31"/>
      <c r="VVL86" s="31"/>
      <c r="VVM86" s="31"/>
      <c r="VVN86" s="31"/>
      <c r="VVO86" s="31"/>
      <c r="VVP86" s="31"/>
      <c r="VVQ86" s="31"/>
      <c r="VVR86" s="31"/>
      <c r="VVS86" s="31"/>
      <c r="VVT86" s="31"/>
      <c r="VVU86" s="31"/>
      <c r="VVV86" s="31"/>
      <c r="VVW86" s="31"/>
      <c r="VVX86" s="31"/>
      <c r="VVY86" s="31"/>
      <c r="VVZ86" s="31"/>
      <c r="VWA86" s="31"/>
      <c r="VWB86" s="31"/>
      <c r="VWC86" s="31"/>
      <c r="VWD86" s="31"/>
      <c r="VWE86" s="31"/>
      <c r="VWF86" s="31"/>
      <c r="VWG86" s="31"/>
      <c r="VWH86" s="31"/>
      <c r="VWI86" s="31"/>
      <c r="VWJ86" s="31"/>
      <c r="VWK86" s="31"/>
      <c r="VWL86" s="31"/>
      <c r="VWM86" s="31"/>
      <c r="VWN86" s="31"/>
      <c r="VWO86" s="31"/>
      <c r="VWP86" s="31"/>
      <c r="VWQ86" s="31"/>
      <c r="VWR86" s="31"/>
      <c r="VWS86" s="31"/>
      <c r="VWT86" s="31"/>
      <c r="VWU86" s="31"/>
      <c r="VWV86" s="31"/>
      <c r="VWW86" s="31"/>
      <c r="VWX86" s="31"/>
      <c r="VWY86" s="31"/>
      <c r="VWZ86" s="31"/>
      <c r="VXA86" s="31"/>
      <c r="VXB86" s="31"/>
      <c r="VXC86" s="31"/>
      <c r="VXD86" s="31"/>
      <c r="VXE86" s="31"/>
      <c r="VXF86" s="31"/>
      <c r="VXG86" s="31"/>
      <c r="VXH86" s="31"/>
      <c r="VXI86" s="31"/>
      <c r="VXJ86" s="31"/>
      <c r="VXK86" s="31"/>
      <c r="VXL86" s="31"/>
      <c r="VXM86" s="31"/>
      <c r="VXN86" s="31"/>
      <c r="VXO86" s="31"/>
      <c r="VXP86" s="31"/>
      <c r="VXQ86" s="31"/>
      <c r="VXR86" s="31"/>
      <c r="VXS86" s="31"/>
      <c r="VXT86" s="31"/>
      <c r="VXU86" s="31"/>
      <c r="VXV86" s="31"/>
      <c r="VXW86" s="31"/>
      <c r="VXX86" s="31"/>
      <c r="VXY86" s="31"/>
      <c r="VXZ86" s="31"/>
      <c r="VYA86" s="31"/>
      <c r="VYB86" s="31"/>
      <c r="VYC86" s="31"/>
      <c r="VYD86" s="31"/>
      <c r="VYE86" s="31"/>
      <c r="VYF86" s="31"/>
      <c r="VYG86" s="31"/>
      <c r="VYH86" s="31"/>
      <c r="VYI86" s="31"/>
      <c r="VYJ86" s="31"/>
      <c r="VYK86" s="31"/>
      <c r="VYL86" s="31"/>
      <c r="VYM86" s="31"/>
      <c r="VYN86" s="31"/>
      <c r="VYO86" s="31"/>
      <c r="VYP86" s="31"/>
      <c r="VYQ86" s="31"/>
      <c r="VYR86" s="31"/>
      <c r="VYS86" s="31"/>
      <c r="VYT86" s="31"/>
      <c r="VYU86" s="31"/>
      <c r="VYV86" s="31"/>
      <c r="VYW86" s="31"/>
      <c r="VYX86" s="31"/>
      <c r="VYY86" s="31"/>
      <c r="VYZ86" s="31"/>
      <c r="VZA86" s="31"/>
      <c r="VZB86" s="31"/>
      <c r="VZC86" s="31"/>
      <c r="VZD86" s="31"/>
      <c r="VZE86" s="31"/>
      <c r="VZF86" s="31"/>
      <c r="VZG86" s="31"/>
      <c r="VZH86" s="31"/>
      <c r="VZI86" s="31"/>
      <c r="VZJ86" s="31"/>
      <c r="VZK86" s="31"/>
      <c r="VZL86" s="31"/>
      <c r="VZM86" s="31"/>
      <c r="VZN86" s="31"/>
      <c r="VZO86" s="31"/>
      <c r="VZP86" s="31"/>
      <c r="VZQ86" s="31"/>
      <c r="VZR86" s="31"/>
      <c r="VZS86" s="31"/>
      <c r="VZT86" s="31"/>
      <c r="VZU86" s="31"/>
      <c r="VZV86" s="31"/>
      <c r="VZW86" s="31"/>
      <c r="VZX86" s="31"/>
      <c r="VZY86" s="31"/>
      <c r="VZZ86" s="31"/>
      <c r="WAA86" s="31"/>
      <c r="WAB86" s="31"/>
      <c r="WAC86" s="31"/>
      <c r="WAD86" s="31"/>
      <c r="WAE86" s="31"/>
      <c r="WAF86" s="31"/>
      <c r="WAG86" s="31"/>
      <c r="WAH86" s="31"/>
      <c r="WAI86" s="31"/>
      <c r="WAJ86" s="31"/>
      <c r="WAK86" s="31"/>
      <c r="WAL86" s="31"/>
      <c r="WAM86" s="31"/>
      <c r="WAN86" s="31"/>
      <c r="WAO86" s="31"/>
      <c r="WAP86" s="31"/>
      <c r="WAQ86" s="31"/>
      <c r="WAR86" s="31"/>
      <c r="WAS86" s="31"/>
      <c r="WAT86" s="31"/>
      <c r="WAU86" s="31"/>
      <c r="WAV86" s="31"/>
      <c r="WAW86" s="31"/>
      <c r="WAX86" s="31"/>
      <c r="WAY86" s="31"/>
      <c r="WAZ86" s="31"/>
      <c r="WBA86" s="31"/>
      <c r="WBB86" s="31"/>
      <c r="WBC86" s="31"/>
      <c r="WBD86" s="31"/>
      <c r="WBE86" s="31"/>
      <c r="WBF86" s="31"/>
      <c r="WBG86" s="31"/>
      <c r="WBH86" s="31"/>
      <c r="WBI86" s="31"/>
      <c r="WBJ86" s="31"/>
      <c r="WBK86" s="31"/>
      <c r="WBL86" s="31"/>
      <c r="WBM86" s="31"/>
      <c r="WBN86" s="31"/>
      <c r="WBO86" s="31"/>
      <c r="WBP86" s="31"/>
      <c r="WBQ86" s="31"/>
      <c r="WBR86" s="31"/>
      <c r="WBS86" s="31"/>
      <c r="WBT86" s="31"/>
      <c r="WBU86" s="31"/>
      <c r="WBV86" s="31"/>
      <c r="WBW86" s="31"/>
      <c r="WBX86" s="31"/>
      <c r="WBY86" s="31"/>
      <c r="WBZ86" s="31"/>
      <c r="WCA86" s="31"/>
      <c r="WCB86" s="31"/>
      <c r="WCC86" s="31"/>
      <c r="WCD86" s="31"/>
      <c r="WCE86" s="31"/>
      <c r="WCF86" s="31"/>
      <c r="WCG86" s="31"/>
      <c r="WCH86" s="31"/>
      <c r="WCI86" s="31"/>
      <c r="WCJ86" s="31"/>
      <c r="WCK86" s="31"/>
      <c r="WCL86" s="31"/>
      <c r="WCM86" s="31"/>
      <c r="WCN86" s="31"/>
      <c r="WCO86" s="31"/>
      <c r="WCP86" s="31"/>
      <c r="WCQ86" s="31"/>
      <c r="WCR86" s="31"/>
      <c r="WCS86" s="31"/>
      <c r="WCT86" s="31"/>
      <c r="WCU86" s="31"/>
      <c r="WCV86" s="31"/>
      <c r="WCW86" s="31"/>
      <c r="WCX86" s="31"/>
      <c r="WCY86" s="31"/>
      <c r="WCZ86" s="31"/>
      <c r="WDA86" s="31"/>
      <c r="WDB86" s="31"/>
      <c r="WDC86" s="31"/>
      <c r="WDD86" s="31"/>
      <c r="WDE86" s="31"/>
      <c r="WDF86" s="31"/>
      <c r="WDG86" s="31"/>
      <c r="WDH86" s="31"/>
      <c r="WDI86" s="31"/>
      <c r="WDJ86" s="31"/>
      <c r="WDK86" s="31"/>
      <c r="WDL86" s="31"/>
      <c r="WDM86" s="31"/>
      <c r="WDN86" s="31"/>
      <c r="WDO86" s="31"/>
      <c r="WDP86" s="31"/>
      <c r="WDQ86" s="31"/>
      <c r="WDR86" s="31"/>
      <c r="WDS86" s="31"/>
      <c r="WDT86" s="31"/>
      <c r="WDU86" s="31"/>
      <c r="WDV86" s="31"/>
      <c r="WDW86" s="31"/>
      <c r="WDX86" s="31"/>
      <c r="WDY86" s="31"/>
      <c r="WDZ86" s="31"/>
      <c r="WEA86" s="31"/>
      <c r="WEB86" s="31"/>
      <c r="WEC86" s="31"/>
      <c r="WED86" s="31"/>
      <c r="WEE86" s="31"/>
      <c r="WEF86" s="31"/>
      <c r="WEG86" s="31"/>
      <c r="WEH86" s="31"/>
      <c r="WEI86" s="31"/>
      <c r="WEJ86" s="31"/>
      <c r="WEK86" s="31"/>
      <c r="WEL86" s="31"/>
      <c r="WEM86" s="31"/>
      <c r="WEN86" s="31"/>
      <c r="WEO86" s="31"/>
      <c r="WEP86" s="31"/>
      <c r="WEQ86" s="31"/>
      <c r="WER86" s="31"/>
      <c r="WES86" s="31"/>
      <c r="WET86" s="31"/>
      <c r="WEU86" s="31"/>
      <c r="WEV86" s="31"/>
      <c r="WEW86" s="31"/>
      <c r="WEX86" s="31"/>
      <c r="WEY86" s="31"/>
      <c r="WEZ86" s="31"/>
      <c r="WFA86" s="31"/>
      <c r="WFB86" s="31"/>
      <c r="WFC86" s="31"/>
      <c r="WFD86" s="31"/>
      <c r="WFE86" s="31"/>
      <c r="WFF86" s="31"/>
      <c r="WFG86" s="31"/>
      <c r="WFH86" s="31"/>
      <c r="WFI86" s="31"/>
      <c r="WFJ86" s="31"/>
      <c r="WFK86" s="31"/>
      <c r="WFL86" s="31"/>
      <c r="WFM86" s="31"/>
      <c r="WFN86" s="31"/>
      <c r="WFO86" s="31"/>
      <c r="WFP86" s="31"/>
      <c r="WFQ86" s="31"/>
      <c r="WFR86" s="31"/>
      <c r="WFS86" s="31"/>
      <c r="WFT86" s="31"/>
      <c r="WFU86" s="31"/>
      <c r="WFV86" s="31"/>
      <c r="WFW86" s="31"/>
      <c r="WFX86" s="31"/>
      <c r="WFY86" s="31"/>
      <c r="WFZ86" s="31"/>
      <c r="WGA86" s="31"/>
      <c r="WGB86" s="31"/>
      <c r="WGC86" s="31"/>
      <c r="WGD86" s="31"/>
      <c r="WGE86" s="31"/>
      <c r="WGF86" s="31"/>
      <c r="WGG86" s="31"/>
      <c r="WGH86" s="31"/>
      <c r="WGI86" s="31"/>
      <c r="WGJ86" s="31"/>
      <c r="WGK86" s="31"/>
      <c r="WGL86" s="31"/>
      <c r="WGM86" s="31"/>
      <c r="WGN86" s="31"/>
      <c r="WGO86" s="31"/>
      <c r="WGP86" s="31"/>
      <c r="WGQ86" s="31"/>
      <c r="WGR86" s="31"/>
      <c r="WGS86" s="31"/>
      <c r="WGT86" s="31"/>
      <c r="WGU86" s="31"/>
      <c r="WGV86" s="31"/>
      <c r="WGW86" s="31"/>
      <c r="WGX86" s="31"/>
      <c r="WGY86" s="31"/>
      <c r="WGZ86" s="31"/>
      <c r="WHA86" s="31"/>
      <c r="WHB86" s="31"/>
      <c r="WHC86" s="31"/>
      <c r="WHD86" s="31"/>
      <c r="WHE86" s="31"/>
      <c r="WHF86" s="31"/>
      <c r="WHG86" s="31"/>
      <c r="WHH86" s="31"/>
      <c r="WHI86" s="31"/>
      <c r="WHJ86" s="31"/>
      <c r="WHK86" s="31"/>
      <c r="WHL86" s="31"/>
      <c r="WHM86" s="31"/>
      <c r="WHN86" s="31"/>
      <c r="WHO86" s="31"/>
      <c r="WHP86" s="31"/>
      <c r="WHQ86" s="31"/>
      <c r="WHR86" s="31"/>
      <c r="WHS86" s="31"/>
      <c r="WHT86" s="31"/>
      <c r="WHU86" s="31"/>
      <c r="WHV86" s="31"/>
      <c r="WHW86" s="31"/>
      <c r="WHX86" s="31"/>
      <c r="WHY86" s="31"/>
      <c r="WHZ86" s="31"/>
      <c r="WIA86" s="31"/>
      <c r="WIB86" s="31"/>
      <c r="WIC86" s="31"/>
      <c r="WID86" s="31"/>
      <c r="WIE86" s="31"/>
      <c r="WIF86" s="31"/>
      <c r="WIG86" s="31"/>
      <c r="WIH86" s="31"/>
      <c r="WII86" s="31"/>
      <c r="WIJ86" s="31"/>
      <c r="WIK86" s="31"/>
      <c r="WIL86" s="31"/>
      <c r="WIM86" s="31"/>
      <c r="WIN86" s="31"/>
      <c r="WIO86" s="31"/>
      <c r="WIP86" s="31"/>
      <c r="WIQ86" s="31"/>
      <c r="WIR86" s="31"/>
      <c r="WIS86" s="31"/>
      <c r="WIT86" s="31"/>
      <c r="WIU86" s="31"/>
      <c r="WIV86" s="31"/>
      <c r="WIW86" s="31"/>
      <c r="WIX86" s="31"/>
      <c r="WIY86" s="31"/>
      <c r="WIZ86" s="31"/>
      <c r="WJA86" s="31"/>
      <c r="WJB86" s="31"/>
      <c r="WJC86" s="31"/>
      <c r="WJD86" s="31"/>
      <c r="WJE86" s="31"/>
      <c r="WJF86" s="31"/>
      <c r="WJG86" s="31"/>
      <c r="WJH86" s="31"/>
      <c r="WJI86" s="31"/>
      <c r="WJJ86" s="31"/>
      <c r="WJK86" s="31"/>
      <c r="WJL86" s="31"/>
      <c r="WJM86" s="31"/>
      <c r="WJN86" s="31"/>
      <c r="WJO86" s="31"/>
      <c r="WJP86" s="31"/>
      <c r="WJQ86" s="31"/>
      <c r="WJR86" s="31"/>
      <c r="WJS86" s="31"/>
      <c r="WJT86" s="31"/>
      <c r="WJU86" s="31"/>
      <c r="WJV86" s="31"/>
      <c r="WJW86" s="31"/>
      <c r="WJX86" s="31"/>
      <c r="WJY86" s="31"/>
      <c r="WJZ86" s="31"/>
      <c r="WKA86" s="31"/>
      <c r="WKB86" s="31"/>
      <c r="WKC86" s="31"/>
      <c r="WKD86" s="31"/>
      <c r="WKE86" s="31"/>
      <c r="WKF86" s="31"/>
      <c r="WKG86" s="31"/>
      <c r="WKH86" s="31"/>
      <c r="WKI86" s="31"/>
      <c r="WKJ86" s="31"/>
      <c r="WKK86" s="31"/>
      <c r="WKL86" s="31"/>
      <c r="WKM86" s="31"/>
      <c r="WKN86" s="31"/>
      <c r="WKO86" s="31"/>
      <c r="WKP86" s="31"/>
      <c r="WKQ86" s="31"/>
      <c r="WKR86" s="31"/>
      <c r="WKS86" s="31"/>
      <c r="WKT86" s="31"/>
      <c r="WKU86" s="31"/>
      <c r="WKV86" s="31"/>
      <c r="WKW86" s="31"/>
      <c r="WKX86" s="31"/>
      <c r="WKY86" s="31"/>
      <c r="WKZ86" s="31"/>
      <c r="WLA86" s="31"/>
      <c r="WLB86" s="31"/>
      <c r="WLC86" s="31"/>
      <c r="WLD86" s="31"/>
      <c r="WLE86" s="31"/>
      <c r="WLF86" s="31"/>
      <c r="WLG86" s="31"/>
      <c r="WLH86" s="31"/>
      <c r="WLI86" s="31"/>
      <c r="WLJ86" s="31"/>
      <c r="WLK86" s="31"/>
      <c r="WLL86" s="31"/>
      <c r="WLM86" s="31"/>
      <c r="WLN86" s="31"/>
      <c r="WLO86" s="31"/>
      <c r="WLP86" s="31"/>
      <c r="WLQ86" s="31"/>
      <c r="WLR86" s="31"/>
      <c r="WLS86" s="31"/>
      <c r="WLT86" s="31"/>
      <c r="WLU86" s="31"/>
      <c r="WLV86" s="31"/>
      <c r="WLW86" s="31"/>
      <c r="WLX86" s="31"/>
      <c r="WLY86" s="31"/>
      <c r="WLZ86" s="31"/>
      <c r="WMA86" s="31"/>
      <c r="WMB86" s="31"/>
      <c r="WMC86" s="31"/>
      <c r="WMD86" s="31"/>
      <c r="WME86" s="31"/>
      <c r="WMF86" s="31"/>
      <c r="WMG86" s="31"/>
      <c r="WMH86" s="31"/>
      <c r="WMI86" s="31"/>
      <c r="WMJ86" s="31"/>
      <c r="WMK86" s="31"/>
      <c r="WML86" s="31"/>
      <c r="WMM86" s="31"/>
      <c r="WMN86" s="31"/>
      <c r="WMO86" s="31"/>
      <c r="WMP86" s="31"/>
      <c r="WMQ86" s="31"/>
      <c r="WMR86" s="31"/>
      <c r="WMS86" s="31"/>
      <c r="WMT86" s="31"/>
      <c r="WMU86" s="31"/>
      <c r="WMV86" s="31"/>
      <c r="WMW86" s="31"/>
      <c r="WMX86" s="31"/>
      <c r="WMY86" s="31"/>
      <c r="WMZ86" s="31"/>
      <c r="WNA86" s="31"/>
      <c r="WNB86" s="31"/>
      <c r="WNC86" s="31"/>
      <c r="WND86" s="31"/>
      <c r="WNE86" s="31"/>
      <c r="WNF86" s="31"/>
      <c r="WNG86" s="31"/>
      <c r="WNH86" s="31"/>
      <c r="WNI86" s="31"/>
      <c r="WNJ86" s="31"/>
      <c r="WNK86" s="31"/>
      <c r="WNL86" s="31"/>
      <c r="WNM86" s="31"/>
      <c r="WNN86" s="31"/>
      <c r="WNO86" s="31"/>
      <c r="WNP86" s="31"/>
      <c r="WNQ86" s="31"/>
      <c r="WNR86" s="31"/>
      <c r="WNS86" s="31"/>
      <c r="WNT86" s="31"/>
      <c r="WNU86" s="31"/>
      <c r="WNV86" s="31"/>
      <c r="WNW86" s="31"/>
      <c r="WNX86" s="31"/>
      <c r="WNY86" s="31"/>
      <c r="WNZ86" s="31"/>
      <c r="WOA86" s="31"/>
      <c r="WOB86" s="31"/>
      <c r="WOC86" s="31"/>
      <c r="WOD86" s="31"/>
      <c r="WOE86" s="31"/>
      <c r="WOF86" s="31"/>
      <c r="WOG86" s="31"/>
      <c r="WOH86" s="31"/>
      <c r="WOI86" s="31"/>
      <c r="WOJ86" s="31"/>
      <c r="WOK86" s="31"/>
      <c r="WOL86" s="31"/>
      <c r="WOM86" s="31"/>
      <c r="WON86" s="31"/>
      <c r="WOO86" s="31"/>
      <c r="WOP86" s="31"/>
      <c r="WOQ86" s="31"/>
      <c r="WOR86" s="31"/>
      <c r="WOS86" s="31"/>
      <c r="WOT86" s="31"/>
      <c r="WOU86" s="31"/>
      <c r="WOV86" s="31"/>
      <c r="WOW86" s="31"/>
      <c r="WOX86" s="31"/>
      <c r="WOY86" s="31"/>
      <c r="WOZ86" s="31"/>
      <c r="WPA86" s="31"/>
      <c r="WPB86" s="31"/>
      <c r="WPC86" s="31"/>
      <c r="WPD86" s="31"/>
      <c r="WPE86" s="31"/>
      <c r="WPF86" s="31"/>
      <c r="WPG86" s="31"/>
      <c r="WPH86" s="31"/>
      <c r="WPI86" s="31"/>
      <c r="WPJ86" s="31"/>
      <c r="WPK86" s="31"/>
      <c r="WPL86" s="31"/>
      <c r="WPM86" s="31"/>
      <c r="WPN86" s="31"/>
      <c r="WPO86" s="31"/>
      <c r="WPP86" s="31"/>
      <c r="WPQ86" s="31"/>
      <c r="WPR86" s="31"/>
      <c r="WPS86" s="31"/>
      <c r="WPT86" s="31"/>
      <c r="WPU86" s="31"/>
      <c r="WPV86" s="31"/>
      <c r="WPW86" s="31"/>
      <c r="WPX86" s="31"/>
      <c r="WPY86" s="31"/>
      <c r="WPZ86" s="31"/>
      <c r="WQA86" s="31"/>
      <c r="WQB86" s="31"/>
      <c r="WQC86" s="31"/>
      <c r="WQD86" s="31"/>
      <c r="WQE86" s="31"/>
      <c r="WQF86" s="31"/>
      <c r="WQG86" s="31"/>
      <c r="WQH86" s="31"/>
      <c r="WQI86" s="31"/>
      <c r="WQJ86" s="31"/>
      <c r="WQK86" s="31"/>
      <c r="WQL86" s="31"/>
      <c r="WQM86" s="31"/>
      <c r="WQN86" s="31"/>
      <c r="WQO86" s="31"/>
      <c r="WQP86" s="31"/>
      <c r="WQQ86" s="31"/>
      <c r="WQR86" s="31"/>
      <c r="WQS86" s="31"/>
      <c r="WQT86" s="31"/>
      <c r="WQU86" s="31"/>
      <c r="WQV86" s="31"/>
      <c r="WQW86" s="31"/>
      <c r="WQX86" s="31"/>
      <c r="WQY86" s="31"/>
      <c r="WQZ86" s="31"/>
      <c r="WRA86" s="31"/>
      <c r="WRB86" s="31"/>
      <c r="WRC86" s="31"/>
      <c r="WRD86" s="31"/>
      <c r="WRE86" s="31"/>
      <c r="WRF86" s="31"/>
      <c r="WRG86" s="31"/>
      <c r="WRH86" s="31"/>
      <c r="WRI86" s="31"/>
      <c r="WRJ86" s="31"/>
      <c r="WRK86" s="31"/>
      <c r="WRL86" s="31"/>
      <c r="WRM86" s="31"/>
      <c r="WRN86" s="31"/>
      <c r="WRO86" s="31"/>
      <c r="WRP86" s="31"/>
      <c r="WRQ86" s="31"/>
      <c r="WRR86" s="31"/>
      <c r="WRS86" s="31"/>
      <c r="WRT86" s="31"/>
      <c r="WRU86" s="31"/>
      <c r="WRV86" s="31"/>
      <c r="WRW86" s="31"/>
      <c r="WRX86" s="31"/>
      <c r="WRY86" s="31"/>
      <c r="WRZ86" s="31"/>
      <c r="WSA86" s="31"/>
      <c r="WSB86" s="31"/>
      <c r="WSC86" s="31"/>
      <c r="WSD86" s="31"/>
      <c r="WSE86" s="31"/>
      <c r="WSF86" s="31"/>
      <c r="WSG86" s="31"/>
      <c r="WSH86" s="31"/>
      <c r="WSI86" s="31"/>
      <c r="WSJ86" s="31"/>
      <c r="WSK86" s="31"/>
      <c r="WSL86" s="31"/>
      <c r="WSM86" s="31"/>
      <c r="WSN86" s="31"/>
      <c r="WSO86" s="31"/>
      <c r="WSP86" s="31"/>
      <c r="WSQ86" s="31"/>
      <c r="WSR86" s="31"/>
      <c r="WSS86" s="31"/>
      <c r="WST86" s="31"/>
      <c r="WSU86" s="31"/>
      <c r="WSV86" s="31"/>
      <c r="WSW86" s="31"/>
      <c r="WSX86" s="31"/>
      <c r="WSY86" s="31"/>
      <c r="WSZ86" s="31"/>
      <c r="WTA86" s="31"/>
      <c r="WTB86" s="31"/>
      <c r="WTC86" s="31"/>
      <c r="WTD86" s="31"/>
      <c r="WTE86" s="31"/>
      <c r="WTF86" s="31"/>
      <c r="WTG86" s="31"/>
      <c r="WTH86" s="31"/>
      <c r="WTI86" s="31"/>
      <c r="WTJ86" s="31"/>
      <c r="WTK86" s="31"/>
      <c r="WTL86" s="31"/>
      <c r="WTM86" s="31"/>
      <c r="WTN86" s="31"/>
      <c r="WTO86" s="31"/>
      <c r="WTP86" s="31"/>
      <c r="WTQ86" s="31"/>
      <c r="WTR86" s="31"/>
      <c r="WTS86" s="31"/>
      <c r="WTT86" s="31"/>
      <c r="WTU86" s="31"/>
      <c r="WTV86" s="31"/>
      <c r="WTW86" s="31"/>
      <c r="WTX86" s="31"/>
      <c r="WTY86" s="31"/>
      <c r="WTZ86" s="31"/>
      <c r="WUA86" s="31"/>
      <c r="WUB86" s="31"/>
      <c r="WUC86" s="31"/>
      <c r="WUD86" s="31"/>
      <c r="WUE86" s="31"/>
      <c r="WUF86" s="31"/>
      <c r="WUG86" s="31"/>
      <c r="WUH86" s="31"/>
      <c r="WUI86" s="31"/>
      <c r="WUJ86" s="31"/>
      <c r="WUK86" s="31"/>
      <c r="WUL86" s="31"/>
      <c r="WUM86" s="31"/>
      <c r="WUN86" s="31"/>
      <c r="WUO86" s="31"/>
      <c r="WUP86" s="31"/>
      <c r="WUQ86" s="31"/>
      <c r="WUR86" s="31"/>
      <c r="WUS86" s="31"/>
      <c r="WUT86" s="31"/>
      <c r="WUU86" s="31"/>
      <c r="WUV86" s="31"/>
      <c r="WUW86" s="31"/>
      <c r="WUX86" s="31"/>
      <c r="WUY86" s="31"/>
      <c r="WUZ86" s="31"/>
      <c r="WVA86" s="31"/>
      <c r="WVB86" s="31"/>
      <c r="WVC86" s="31"/>
      <c r="WVD86" s="31"/>
      <c r="WVE86" s="31"/>
      <c r="WVF86" s="31"/>
      <c r="WVG86" s="31"/>
      <c r="WVH86" s="31"/>
      <c r="WVI86" s="31"/>
      <c r="WVJ86" s="31"/>
      <c r="WVK86" s="31"/>
      <c r="WVL86" s="31"/>
      <c r="WVM86" s="31"/>
      <c r="WVN86" s="31"/>
      <c r="WVO86" s="31"/>
      <c r="WVP86" s="31"/>
      <c r="WVQ86" s="31"/>
      <c r="WVR86" s="31"/>
      <c r="WVS86" s="31"/>
      <c r="WVT86" s="31"/>
      <c r="WVU86" s="31"/>
      <c r="WVV86" s="31"/>
      <c r="WVW86" s="31"/>
      <c r="WVX86" s="31"/>
      <c r="WVY86" s="31"/>
      <c r="WVZ86" s="31"/>
      <c r="WWA86" s="31"/>
      <c r="WWB86" s="31"/>
      <c r="WWC86" s="31"/>
      <c r="WWD86" s="31"/>
      <c r="WWE86" s="31"/>
      <c r="WWF86" s="31"/>
      <c r="WWG86" s="31"/>
      <c r="WWH86" s="31"/>
      <c r="WWI86" s="31"/>
      <c r="WWJ86" s="31"/>
      <c r="WWK86" s="31"/>
      <c r="WWL86" s="31"/>
      <c r="WWM86" s="31"/>
      <c r="WWN86" s="31"/>
      <c r="WWO86" s="31"/>
      <c r="WWP86" s="31"/>
      <c r="WWQ86" s="31"/>
      <c r="WWR86" s="31"/>
      <c r="WWS86" s="31"/>
      <c r="WWT86" s="31"/>
      <c r="WWU86" s="31"/>
      <c r="WWV86" s="31"/>
      <c r="WWW86" s="31"/>
      <c r="WWX86" s="31"/>
      <c r="WWY86" s="31"/>
      <c r="WWZ86" s="31"/>
      <c r="WXA86" s="31"/>
      <c r="WXB86" s="31"/>
      <c r="WXC86" s="31"/>
      <c r="WXD86" s="31"/>
      <c r="WXE86" s="31"/>
      <c r="WXF86" s="31"/>
      <c r="WXG86" s="31"/>
      <c r="WXH86" s="31"/>
      <c r="WXI86" s="31"/>
      <c r="WXJ86" s="31"/>
      <c r="WXK86" s="31"/>
      <c r="WXL86" s="31"/>
      <c r="WXM86" s="31"/>
      <c r="WXN86" s="31"/>
      <c r="WXO86" s="31"/>
      <c r="WXP86" s="31"/>
      <c r="WXQ86" s="31"/>
      <c r="WXR86" s="31"/>
      <c r="WXS86" s="31"/>
      <c r="WXT86" s="31"/>
      <c r="WXU86" s="31"/>
      <c r="WXV86" s="31"/>
      <c r="WXW86" s="31"/>
      <c r="WXX86" s="31"/>
      <c r="WXY86" s="31"/>
      <c r="WXZ86" s="31"/>
      <c r="WYA86" s="31"/>
      <c r="WYB86" s="31"/>
      <c r="WYC86" s="31"/>
      <c r="WYD86" s="31"/>
      <c r="WYE86" s="31"/>
      <c r="WYF86" s="31"/>
      <c r="WYG86" s="31"/>
      <c r="WYH86" s="31"/>
      <c r="WYI86" s="31"/>
      <c r="WYJ86" s="31"/>
      <c r="WYK86" s="31"/>
      <c r="WYL86" s="31"/>
      <c r="WYM86" s="31"/>
      <c r="WYN86" s="31"/>
      <c r="WYO86" s="31"/>
      <c r="WYP86" s="31"/>
      <c r="WYQ86" s="31"/>
      <c r="WYR86" s="31"/>
      <c r="WYS86" s="31"/>
      <c r="WYT86" s="31"/>
      <c r="WYU86" s="31"/>
      <c r="WYV86" s="31"/>
      <c r="WYW86" s="31"/>
      <c r="WYX86" s="31"/>
      <c r="WYY86" s="31"/>
      <c r="WYZ86" s="31"/>
      <c r="WZA86" s="31"/>
      <c r="WZB86" s="31"/>
      <c r="WZC86" s="31"/>
      <c r="WZD86" s="31"/>
      <c r="WZE86" s="31"/>
      <c r="WZF86" s="31"/>
      <c r="WZG86" s="31"/>
      <c r="WZH86" s="31"/>
      <c r="WZI86" s="31"/>
      <c r="WZJ86" s="31"/>
      <c r="WZK86" s="31"/>
      <c r="WZL86" s="31"/>
      <c r="WZM86" s="31"/>
      <c r="WZN86" s="31"/>
      <c r="WZO86" s="31"/>
      <c r="WZP86" s="31"/>
      <c r="WZQ86" s="31"/>
      <c r="WZR86" s="31"/>
      <c r="WZS86" s="31"/>
      <c r="WZT86" s="31"/>
      <c r="WZU86" s="31"/>
      <c r="WZV86" s="31"/>
      <c r="WZW86" s="31"/>
      <c r="WZX86" s="31"/>
      <c r="WZY86" s="31"/>
      <c r="WZZ86" s="31"/>
      <c r="XAA86" s="31"/>
      <c r="XAB86" s="31"/>
      <c r="XAC86" s="31"/>
      <c r="XAD86" s="31"/>
      <c r="XAE86" s="31"/>
      <c r="XAF86" s="31"/>
      <c r="XAG86" s="31"/>
      <c r="XAH86" s="31"/>
      <c r="XAI86" s="31"/>
      <c r="XAJ86" s="31"/>
      <c r="XAK86" s="31"/>
      <c r="XAL86" s="31"/>
      <c r="XAM86" s="31"/>
      <c r="XAN86" s="31"/>
      <c r="XAO86" s="31"/>
      <c r="XAP86" s="31"/>
      <c r="XAQ86" s="31"/>
      <c r="XAR86" s="31"/>
      <c r="XAS86" s="31"/>
      <c r="XAT86" s="31"/>
      <c r="XAU86" s="31"/>
      <c r="XAV86" s="31"/>
      <c r="XAW86" s="31"/>
      <c r="XAX86" s="31"/>
      <c r="XAY86" s="31"/>
      <c r="XAZ86" s="31"/>
      <c r="XBA86" s="31"/>
      <c r="XBB86" s="31"/>
      <c r="XBC86" s="31"/>
      <c r="XBD86" s="31"/>
      <c r="XBE86" s="31"/>
      <c r="XBF86" s="31"/>
      <c r="XBG86" s="31"/>
      <c r="XBH86" s="31"/>
      <c r="XBI86" s="31"/>
      <c r="XBJ86" s="31"/>
      <c r="XBK86" s="31"/>
      <c r="XBL86" s="31"/>
      <c r="XBM86" s="31"/>
      <c r="XBN86" s="31"/>
      <c r="XBO86" s="31"/>
      <c r="XBP86" s="31"/>
      <c r="XBQ86" s="31"/>
      <c r="XBR86" s="31"/>
      <c r="XBS86" s="31"/>
      <c r="XBT86" s="31"/>
      <c r="XBU86" s="31"/>
      <c r="XBV86" s="31"/>
      <c r="XBW86" s="31"/>
      <c r="XBX86" s="31"/>
      <c r="XBY86" s="31"/>
      <c r="XBZ86" s="31"/>
      <c r="XCA86" s="31"/>
      <c r="XCB86" s="31"/>
      <c r="XCC86" s="31"/>
      <c r="XCD86" s="31"/>
      <c r="XCE86" s="31"/>
      <c r="XCF86" s="31"/>
      <c r="XCG86" s="31"/>
      <c r="XCH86" s="31"/>
      <c r="XCI86" s="31"/>
      <c r="XCJ86" s="31"/>
      <c r="XCK86" s="31"/>
      <c r="XCL86" s="31"/>
      <c r="XCM86" s="31"/>
      <c r="XCN86" s="31"/>
      <c r="XCO86" s="31"/>
      <c r="XCP86" s="31"/>
      <c r="XCQ86" s="31"/>
      <c r="XCR86" s="31"/>
      <c r="XCS86" s="31"/>
      <c r="XCT86" s="31"/>
      <c r="XCU86" s="31"/>
      <c r="XCV86" s="31"/>
      <c r="XCW86" s="31"/>
      <c r="XCX86" s="31"/>
      <c r="XCY86" s="31"/>
      <c r="XCZ86" s="31"/>
      <c r="XDA86" s="31"/>
      <c r="XDB86" s="31"/>
      <c r="XDC86" s="31"/>
      <c r="XDD86" s="31"/>
      <c r="XDE86" s="31"/>
      <c r="XDF86" s="31"/>
      <c r="XDG86" s="31"/>
      <c r="XDH86" s="31"/>
      <c r="XDI86" s="31"/>
      <c r="XDJ86" s="31"/>
      <c r="XDK86" s="31"/>
      <c r="XDL86" s="31"/>
      <c r="XDM86" s="31"/>
      <c r="XDN86" s="31"/>
      <c r="XDO86" s="31"/>
      <c r="XDP86" s="31"/>
      <c r="XDQ86" s="31"/>
      <c r="XDR86" s="31"/>
      <c r="XDS86" s="31"/>
      <c r="XDT86" s="31"/>
      <c r="XDU86" s="31"/>
      <c r="XDV86" s="31"/>
      <c r="XDW86" s="31"/>
      <c r="XDX86" s="31"/>
      <c r="XDY86" s="31"/>
      <c r="XDZ86" s="31"/>
      <c r="XEA86" s="31"/>
      <c r="XEB86" s="31"/>
      <c r="XEC86" s="31"/>
      <c r="XED86" s="31"/>
      <c r="XEE86" s="31"/>
      <c r="XEF86" s="31"/>
      <c r="XEG86" s="31"/>
      <c r="XEH86" s="31"/>
      <c r="XEI86" s="31"/>
      <c r="XEJ86" s="31"/>
      <c r="XEK86" s="31"/>
      <c r="XEL86" s="31"/>
      <c r="XEM86" s="31"/>
      <c r="XEN86" s="31"/>
      <c r="XEO86" s="31"/>
      <c r="XEP86" s="31"/>
      <c r="XEQ86" s="31"/>
      <c r="XER86" s="31"/>
      <c r="XES86" s="31"/>
      <c r="XET86" s="31"/>
      <c r="XEU86" s="31"/>
      <c r="XEV86" s="31"/>
      <c r="XEW86" s="31"/>
      <c r="XEX86" s="31"/>
      <c r="XEY86" s="31"/>
      <c r="XEZ86" s="31"/>
      <c r="XFA86" s="31"/>
      <c r="XFB86" s="31"/>
    </row>
    <row r="87" spans="1:16382" hidden="1" x14ac:dyDescent="0.2">
      <c r="F87" s="847"/>
    </row>
    <row r="88" spans="1:16382" x14ac:dyDescent="0.2">
      <c r="F88" s="847"/>
    </row>
    <row r="89" spans="1:16382" x14ac:dyDescent="0.2">
      <c r="F89" s="847"/>
    </row>
    <row r="90" spans="1:16382" x14ac:dyDescent="0.2">
      <c r="F90" s="847"/>
    </row>
    <row r="91" spans="1:16382" x14ac:dyDescent="0.2">
      <c r="F91" s="847"/>
    </row>
    <row r="92" spans="1:16382" x14ac:dyDescent="0.2">
      <c r="B92" s="890"/>
      <c r="F92" s="847"/>
    </row>
  </sheetData>
  <sheetProtection algorithmName="SHA-512" hashValue="Wd3aT55wXFN1ArMjsSc4kLtodBlm6k3Yo8nf8Yw1d37q14I7BHfk9HnNLUfX6KtulBrmvoVyEv5CWSiSjzrAKA==" saltValue="cq7dlwitvavO56rMc73PUQ==" spinCount="100000" sheet="1" formatCells="0" formatColumns="0" formatRows="0" insertColumns="0" insertRows="0"/>
  <sortState xmlns:xlrd2="http://schemas.microsoft.com/office/spreadsheetml/2017/richdata2" columnSort="1" ref="G2:DU147">
    <sortCondition ref="G2:DU2"/>
  </sortState>
  <customSheetViews>
    <customSheetView guid="{B8E02330-2419-4DE6-AD01-7ACC7A5D18DD}" topLeftCell="A2">
      <selection activeCell="B157" sqref="B157:E157"/>
      <rowBreaks count="4" manualBreakCount="4">
        <brk id="36" max="5" man="1"/>
        <brk id="70" max="5" man="1"/>
        <brk id="109" max="16383" man="1"/>
        <brk id="148" max="16383" man="1"/>
      </rowBreaks>
      <pageMargins left="0.25" right="0.25" top="0.75" bottom="0.75" header="0.3" footer="0.3"/>
      <printOptions horizontalCentered="1"/>
      <pageSetup scale="75" orientation="portrait" r:id="rId1"/>
      <headerFooter alignWithMargins="0">
        <oddFooter>&amp;CWESPUS betaV1, by Dr. Paul Adamus</oddFooter>
      </headerFooter>
    </customSheetView>
  </customSheetViews>
  <mergeCells count="70">
    <mergeCell ref="E1:F1"/>
    <mergeCell ref="B12:E12"/>
    <mergeCell ref="A2:E2"/>
    <mergeCell ref="A1:B1"/>
    <mergeCell ref="C1:D1"/>
    <mergeCell ref="B9:E9"/>
    <mergeCell ref="A38:A50"/>
    <mergeCell ref="B38:E38"/>
    <mergeCell ref="B39:E39"/>
    <mergeCell ref="B40:E40"/>
    <mergeCell ref="B41:E41"/>
    <mergeCell ref="B42:E42"/>
    <mergeCell ref="B50:D50"/>
    <mergeCell ref="B43:E43"/>
    <mergeCell ref="B44:E44"/>
    <mergeCell ref="A25:A37"/>
    <mergeCell ref="B11:E11"/>
    <mergeCell ref="A3:A24"/>
    <mergeCell ref="B3:E3"/>
    <mergeCell ref="B14:E14"/>
    <mergeCell ref="B10:E10"/>
    <mergeCell ref="B6:E6"/>
    <mergeCell ref="B4:E4"/>
    <mergeCell ref="B37:D37"/>
    <mergeCell ref="B28:E28"/>
    <mergeCell ref="B26:E26"/>
    <mergeCell ref="B29:E29"/>
    <mergeCell ref="B15:E15"/>
    <mergeCell ref="B5:E5"/>
    <mergeCell ref="B7:E7"/>
    <mergeCell ref="B8:E8"/>
    <mergeCell ref="B58:E58"/>
    <mergeCell ref="B67:D67"/>
    <mergeCell ref="B60:E60"/>
    <mergeCell ref="B70:E70"/>
    <mergeCell ref="B25:E25"/>
    <mergeCell ref="B55:E55"/>
    <mergeCell ref="B53:E53"/>
    <mergeCell ref="B52:E52"/>
    <mergeCell ref="B54:E54"/>
    <mergeCell ref="B49:E49"/>
    <mergeCell ref="B59:E59"/>
    <mergeCell ref="B61:E61"/>
    <mergeCell ref="A51:A68"/>
    <mergeCell ref="A69:A86"/>
    <mergeCell ref="B51:E51"/>
    <mergeCell ref="B30:E30"/>
    <mergeCell ref="B72:E72"/>
    <mergeCell ref="B68:D68"/>
    <mergeCell ref="B31:E31"/>
    <mergeCell ref="B36:E36"/>
    <mergeCell ref="B86:D86"/>
    <mergeCell ref="B76:E76"/>
    <mergeCell ref="B56:E56"/>
    <mergeCell ref="B57:E57"/>
    <mergeCell ref="B69:E69"/>
    <mergeCell ref="B85:E85"/>
    <mergeCell ref="B79:E79"/>
    <mergeCell ref="B71:E71"/>
    <mergeCell ref="B16:E16"/>
    <mergeCell ref="B13:E13"/>
    <mergeCell ref="B20:E20"/>
    <mergeCell ref="B24:D24"/>
    <mergeCell ref="B27:E27"/>
    <mergeCell ref="B23:E23"/>
    <mergeCell ref="B77:E77"/>
    <mergeCell ref="B74:E74"/>
    <mergeCell ref="B78:E78"/>
    <mergeCell ref="B75:E75"/>
    <mergeCell ref="B73:E73"/>
  </mergeCells>
  <phoneticPr fontId="20" type="noConversion"/>
  <dataValidations count="1">
    <dataValidation type="whole" allowBlank="1" showInputMessage="1" showErrorMessage="1" sqref="F3:F22 F79:F84 F69:F77 F25:F35 F38:F44 F61:F66 F46:F48 F51:F59" xr:uid="{00000000-0002-0000-0400-000000000000}">
      <formula1>0</formula1>
      <formula2>3</formula2>
    </dataValidation>
  </dataValidations>
  <printOptions horizontalCentered="1"/>
  <pageMargins left="0.25" right="0.25" top="0.75" bottom="0.75" header="0.3" footer="0.3"/>
  <pageSetup scale="75" orientation="portrait" r:id="rId2"/>
  <headerFooter alignWithMargins="0">
    <oddFooter>&amp;LFieldS form Non-tidal&amp;R&amp;P</oddFooter>
  </headerFooter>
  <rowBreaks count="2" manualBreakCount="2">
    <brk id="2" max="5" man="1"/>
    <brk id="5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tabColor theme="0"/>
  </sheetPr>
  <dimension ref="A1:AG41"/>
  <sheetViews>
    <sheetView zoomScale="90" zoomScaleNormal="90" workbookViewId="0">
      <selection activeCell="A5" sqref="A5:Q5"/>
    </sheetView>
  </sheetViews>
  <sheetFormatPr defaultColWidth="5.83203125" defaultRowHeight="12.75" x14ac:dyDescent="0.2"/>
  <cols>
    <col min="1" max="1" width="69" style="1794" customWidth="1"/>
    <col min="2" max="7" width="13.1640625" style="1829" customWidth="1"/>
    <col min="8" max="8" width="4.83203125" style="1831" bestFit="1" customWidth="1"/>
    <col min="9" max="9" width="5.6640625" style="1793" bestFit="1" customWidth="1"/>
    <col min="10" max="10" width="6.83203125" style="1793" bestFit="1" customWidth="1"/>
    <col min="11" max="11" width="9.83203125" style="1793" customWidth="1"/>
    <col min="12" max="12" width="12.83203125" style="1793" bestFit="1" customWidth="1"/>
    <col min="13" max="13" width="4.83203125" style="1793" bestFit="1" customWidth="1"/>
    <col min="14" max="14" width="5.6640625" style="1793" bestFit="1" customWidth="1"/>
    <col min="15" max="15" width="6.83203125" style="1793" bestFit="1" customWidth="1"/>
    <col min="16" max="16" width="10.33203125" style="1793" customWidth="1"/>
    <col min="17" max="17" width="13" style="1793" bestFit="1" customWidth="1"/>
    <col min="18" max="18" width="10" style="1793" customWidth="1"/>
    <col min="19" max="21" width="6.6640625" style="1793" customWidth="1"/>
    <col min="22" max="33" width="6.6640625" style="1794" customWidth="1"/>
    <col min="34" max="16384" width="5.83203125" style="1794"/>
  </cols>
  <sheetData>
    <row r="1" spans="1:21" ht="36" customHeight="1" thickBot="1" x14ac:dyDescent="0.25">
      <c r="A1" s="2471" t="s">
        <v>2845</v>
      </c>
      <c r="B1" s="2472"/>
      <c r="C1" s="2472"/>
      <c r="D1" s="2472"/>
      <c r="E1" s="2472"/>
      <c r="F1" s="2472"/>
      <c r="G1" s="2472"/>
      <c r="H1" s="2472"/>
      <c r="I1" s="2472"/>
      <c r="J1" s="2472"/>
      <c r="K1" s="2472"/>
      <c r="L1" s="2472"/>
      <c r="M1" s="2472"/>
      <c r="N1" s="2472"/>
      <c r="O1" s="2472"/>
      <c r="P1" s="2472"/>
      <c r="Q1" s="2473"/>
    </row>
    <row r="2" spans="1:21" ht="18" customHeight="1" thickBot="1" x14ac:dyDescent="0.25">
      <c r="A2" s="2480" t="s">
        <v>3017</v>
      </c>
      <c r="B2" s="2481"/>
      <c r="C2" s="2481"/>
      <c r="D2" s="2481"/>
      <c r="E2" s="2481"/>
      <c r="F2" s="2481"/>
      <c r="G2" s="2481"/>
      <c r="H2" s="2481"/>
      <c r="I2" s="2481"/>
      <c r="J2" s="2481"/>
      <c r="K2" s="2481"/>
      <c r="L2" s="2481"/>
      <c r="M2" s="2481"/>
      <c r="N2" s="2481"/>
      <c r="O2" s="2481"/>
      <c r="P2" s="2481"/>
      <c r="Q2" s="2481"/>
    </row>
    <row r="3" spans="1:21" ht="18" customHeight="1" thickBot="1" x14ac:dyDescent="0.25">
      <c r="A3" s="2480" t="s">
        <v>3013</v>
      </c>
      <c r="B3" s="2481"/>
      <c r="C3" s="2481"/>
      <c r="D3" s="2481"/>
      <c r="E3" s="2481"/>
      <c r="F3" s="2481"/>
      <c r="G3" s="2481"/>
      <c r="H3" s="2481"/>
      <c r="I3" s="2481"/>
      <c r="J3" s="2481"/>
      <c r="K3" s="2481"/>
      <c r="L3" s="2481"/>
      <c r="M3" s="2481"/>
      <c r="N3" s="2481"/>
      <c r="O3" s="2481"/>
      <c r="P3" s="2481"/>
      <c r="Q3" s="2481"/>
    </row>
    <row r="4" spans="1:21" ht="18" customHeight="1" thickBot="1" x14ac:dyDescent="0.25">
      <c r="A4" s="2480" t="s">
        <v>3018</v>
      </c>
      <c r="B4" s="2480"/>
      <c r="C4" s="2480"/>
      <c r="D4" s="2480"/>
      <c r="E4" s="2480"/>
      <c r="F4" s="2480"/>
      <c r="G4" s="2480"/>
      <c r="H4" s="2480"/>
      <c r="I4" s="2480"/>
      <c r="J4" s="2480"/>
      <c r="K4" s="2480"/>
      <c r="L4" s="2480"/>
      <c r="M4" s="2480"/>
      <c r="N4" s="2480"/>
      <c r="O4" s="2480"/>
      <c r="P4" s="2480"/>
      <c r="Q4" s="2480"/>
    </row>
    <row r="5" spans="1:21" ht="18" customHeight="1" thickBot="1" x14ac:dyDescent="0.25">
      <c r="A5" s="2474" t="s">
        <v>1701</v>
      </c>
      <c r="B5" s="2475"/>
      <c r="C5" s="2475"/>
      <c r="D5" s="2475"/>
      <c r="E5" s="2475"/>
      <c r="F5" s="2475"/>
      <c r="G5" s="2475"/>
      <c r="H5" s="2475"/>
      <c r="I5" s="2475"/>
      <c r="J5" s="2475"/>
      <c r="K5" s="2475"/>
      <c r="L5" s="2475"/>
      <c r="M5" s="2475"/>
      <c r="N5" s="2475"/>
      <c r="O5" s="2475"/>
      <c r="P5" s="2475"/>
      <c r="Q5" s="2476"/>
    </row>
    <row r="6" spans="1:21" ht="45" customHeight="1" thickBot="1" x14ac:dyDescent="0.3">
      <c r="A6" s="2017" t="s">
        <v>2466</v>
      </c>
      <c r="B6" s="2250"/>
      <c r="C6" s="2251"/>
      <c r="D6" s="2252" t="s">
        <v>912</v>
      </c>
      <c r="E6" s="2252"/>
      <c r="F6" s="2253"/>
      <c r="G6" s="2254"/>
      <c r="H6" s="2482" t="s">
        <v>2936</v>
      </c>
      <c r="I6" s="2482"/>
      <c r="J6" s="2482"/>
      <c r="K6" s="2482"/>
      <c r="L6" s="2482"/>
      <c r="M6" s="2482"/>
      <c r="N6" s="2482"/>
      <c r="O6" s="2482"/>
      <c r="P6" s="2482"/>
      <c r="Q6" s="2482"/>
    </row>
    <row r="7" spans="1:21" ht="45" customHeight="1" thickBot="1" x14ac:dyDescent="0.25">
      <c r="A7" s="2016" t="s">
        <v>2179</v>
      </c>
      <c r="B7" s="2158" t="s">
        <v>2562</v>
      </c>
      <c r="C7" s="2159" t="s">
        <v>2265</v>
      </c>
      <c r="D7" s="2160" t="s">
        <v>2561</v>
      </c>
      <c r="E7" s="2161" t="s">
        <v>2266</v>
      </c>
      <c r="F7" s="2018" t="s">
        <v>1689</v>
      </c>
      <c r="G7" s="2255" t="s">
        <v>1898</v>
      </c>
      <c r="H7" s="2245" t="s">
        <v>2918</v>
      </c>
      <c r="I7" s="2245" t="s">
        <v>2919</v>
      </c>
      <c r="J7" s="2245" t="s">
        <v>2920</v>
      </c>
      <c r="K7" s="2246" t="s">
        <v>2921</v>
      </c>
      <c r="L7" s="2246" t="s">
        <v>2922</v>
      </c>
      <c r="M7" s="2245" t="s">
        <v>2918</v>
      </c>
      <c r="N7" s="2245" t="s">
        <v>2919</v>
      </c>
      <c r="O7" s="2245" t="s">
        <v>2920</v>
      </c>
      <c r="P7" s="2246" t="s">
        <v>2923</v>
      </c>
      <c r="Q7" s="2246" t="s">
        <v>2924</v>
      </c>
      <c r="R7" s="2162"/>
      <c r="S7" s="2162"/>
      <c r="T7" s="1794"/>
      <c r="U7" s="1794"/>
    </row>
    <row r="8" spans="1:21" ht="18" customHeight="1" x14ac:dyDescent="0.2">
      <c r="A8" s="1795" t="s">
        <v>2460</v>
      </c>
      <c r="B8" s="1832">
        <f t="shared" ref="B8:B24" si="0">IF((F8=""),"",IF((F8&lt;H8),0, IF((F8&gt;I8),10,10*(F8-H8)/J8)))</f>
        <v>4.5012060198021198</v>
      </c>
      <c r="C8" s="1796" t="str">
        <f t="shared" ref="C8:C24" si="1">IF((B8=""),"",IF((B8&lt;=K8),"Lower", IF((B8&gt;=L8),"Higher", "Moderate")))</f>
        <v>Moderate</v>
      </c>
      <c r="D8" s="2019">
        <f t="shared" ref="D8:D13" si="2">IF((G8=""),"",IF((G8&lt;=M8),0, IF((G8&gt;N8),10, 10*(G8-M8)/O8)))</f>
        <v>10</v>
      </c>
      <c r="E8" s="1796" t="str">
        <f t="shared" ref="E8:E13" si="3">IF((D8=""),"",IF((D8&lt;=P8),"Lower", IF((D8&gt;=Q8),"Higher", "Moderate")))</f>
        <v>Higher</v>
      </c>
      <c r="F8" s="2031">
        <f>IF((SUM(F!$D$6:'F'!$D$10)=0),"",WS!G93)</f>
        <v>5.1927083333333339</v>
      </c>
      <c r="G8" s="1797">
        <f>IF((F8&lt;1),0,IF((F8=""),"",WS!G94))</f>
        <v>10</v>
      </c>
      <c r="H8" s="2247">
        <v>1.7344287865748709</v>
      </c>
      <c r="I8" s="2247">
        <v>9.4174353664658632</v>
      </c>
      <c r="J8" s="2247">
        <f>I8-H8</f>
        <v>7.6830065798909928</v>
      </c>
      <c r="K8" s="2247">
        <v>2.48</v>
      </c>
      <c r="L8" s="2247">
        <v>5.12</v>
      </c>
      <c r="M8" s="2247">
        <v>8.411843876177659E-2</v>
      </c>
      <c r="N8" s="2247">
        <v>10</v>
      </c>
      <c r="O8" s="2247">
        <f>N8-M8</f>
        <v>9.9158815612382227</v>
      </c>
      <c r="P8" s="2247">
        <v>2.58</v>
      </c>
      <c r="Q8" s="2247">
        <v>5.67</v>
      </c>
      <c r="R8" s="2162"/>
      <c r="S8" s="2162"/>
      <c r="T8" s="1794"/>
      <c r="U8" s="1794"/>
    </row>
    <row r="9" spans="1:21" ht="18" customHeight="1" x14ac:dyDescent="0.2">
      <c r="A9" s="1798" t="s">
        <v>583</v>
      </c>
      <c r="B9" s="1833">
        <f t="shared" si="0"/>
        <v>2.03125</v>
      </c>
      <c r="C9" s="1799" t="str">
        <f t="shared" si="1"/>
        <v>Lower</v>
      </c>
      <c r="D9" s="2020">
        <f t="shared" si="2"/>
        <v>3.6187441598630463</v>
      </c>
      <c r="E9" s="1799" t="str">
        <f t="shared" si="3"/>
        <v>Moderate</v>
      </c>
      <c r="F9" s="2032">
        <f>IF((SUM(F!$D6:'F'!$D10)=0),"",SFS!G46)</f>
        <v>1.0833333333333333</v>
      </c>
      <c r="G9" s="1800">
        <f>IF((F9&lt;1),0,IF((F9=""),"",SFS!G47))</f>
        <v>2.1094907407407408</v>
      </c>
      <c r="H9" s="2247">
        <v>0</v>
      </c>
      <c r="I9" s="2247">
        <v>5.333333333333333</v>
      </c>
      <c r="J9" s="2247">
        <f t="shared" ref="J9:J24" si="4">I9-H9</f>
        <v>5.333333333333333</v>
      </c>
      <c r="K9" s="2247">
        <v>2.92</v>
      </c>
      <c r="L9" s="2247">
        <v>6.56</v>
      </c>
      <c r="M9" s="2247">
        <v>0</v>
      </c>
      <c r="N9" s="2247">
        <v>5.8293447880011939</v>
      </c>
      <c r="O9" s="2247">
        <f t="shared" ref="O9:O28" si="5">N9-M9</f>
        <v>5.8293447880011939</v>
      </c>
      <c r="P9" s="2247">
        <v>2.08</v>
      </c>
      <c r="Q9" s="2247">
        <v>6.16</v>
      </c>
      <c r="R9" s="2162"/>
      <c r="S9" s="2162"/>
      <c r="T9" s="1794"/>
      <c r="U9" s="1794"/>
    </row>
    <row r="10" spans="1:21" ht="18" customHeight="1" thickBot="1" x14ac:dyDescent="0.25">
      <c r="A10" s="1801" t="s">
        <v>2247</v>
      </c>
      <c r="B10" s="1834">
        <f t="shared" si="0"/>
        <v>4.75</v>
      </c>
      <c r="C10" s="1802" t="str">
        <f t="shared" si="1"/>
        <v>Moderate</v>
      </c>
      <c r="D10" s="2021">
        <f t="shared" si="2"/>
        <v>1.4196158679778954</v>
      </c>
      <c r="E10" s="1802" t="str">
        <f t="shared" si="3"/>
        <v>Lower</v>
      </c>
      <c r="F10" s="2033">
        <f>IF((SUM(F!D6:'F'!D10)=0),"",WC!G64)</f>
        <v>3.1666666666666665</v>
      </c>
      <c r="G10" s="1803">
        <f>IF((F10&lt;1),0,IF((F10=""),"",WC!G65))</f>
        <v>0.85399999999999987</v>
      </c>
      <c r="H10" s="2247">
        <v>0</v>
      </c>
      <c r="I10" s="2247">
        <v>6.6666666666666661</v>
      </c>
      <c r="J10" s="2247">
        <f t="shared" si="4"/>
        <v>6.6666666666666661</v>
      </c>
      <c r="K10" s="2247">
        <v>1.8</v>
      </c>
      <c r="L10" s="2247">
        <v>5.3</v>
      </c>
      <c r="M10" s="2247">
        <v>0</v>
      </c>
      <c r="N10" s="2247">
        <v>6.0157118503925977</v>
      </c>
      <c r="O10" s="2247">
        <f t="shared" si="5"/>
        <v>6.0157118503925977</v>
      </c>
      <c r="P10" s="2247">
        <v>1.45</v>
      </c>
      <c r="Q10" s="2247">
        <v>4.79</v>
      </c>
      <c r="R10" s="2162"/>
      <c r="S10" s="2162"/>
      <c r="T10" s="1794"/>
      <c r="U10" s="1794"/>
    </row>
    <row r="11" spans="1:21" ht="18" customHeight="1" x14ac:dyDescent="0.2">
      <c r="A11" s="1804" t="s">
        <v>2248</v>
      </c>
      <c r="B11" s="1832">
        <f t="shared" si="0"/>
        <v>4.2444745151105101</v>
      </c>
      <c r="C11" s="1796" t="str">
        <f t="shared" si="1"/>
        <v>Moderate</v>
      </c>
      <c r="D11" s="2019">
        <f t="shared" si="2"/>
        <v>7.5163398692810457</v>
      </c>
      <c r="E11" s="1796" t="str">
        <f t="shared" si="3"/>
        <v>Moderate</v>
      </c>
      <c r="F11" s="2031">
        <f>IF((SUM(F!D6:'F'!D10)=0),"",SR!G151)</f>
        <v>6.0617283950617287</v>
      </c>
      <c r="G11" s="1797">
        <f>IF((F11&lt;1),0,IF((F11=""),"",SR!G152))</f>
        <v>4.5634920634920633</v>
      </c>
      <c r="H11" s="2247">
        <v>3.1574074074074074</v>
      </c>
      <c r="I11" s="2247">
        <v>10</v>
      </c>
      <c r="J11" s="2247">
        <f t="shared" si="4"/>
        <v>6.8425925925925926</v>
      </c>
      <c r="K11" s="2247">
        <v>1.76</v>
      </c>
      <c r="L11" s="2247">
        <v>5.26</v>
      </c>
      <c r="M11" s="2247">
        <v>0</v>
      </c>
      <c r="N11" s="2247">
        <v>6.0714285714285712</v>
      </c>
      <c r="O11" s="2247">
        <f t="shared" si="5"/>
        <v>6.0714285714285712</v>
      </c>
      <c r="P11" s="2247">
        <v>3.75</v>
      </c>
      <c r="Q11" s="2247">
        <v>7.95</v>
      </c>
      <c r="R11" s="2162"/>
      <c r="S11" s="2162"/>
      <c r="T11" s="1794"/>
      <c r="U11" s="1794"/>
    </row>
    <row r="12" spans="1:21" ht="18" customHeight="1" x14ac:dyDescent="0.2">
      <c r="A12" s="1798" t="s">
        <v>572</v>
      </c>
      <c r="B12" s="1833">
        <f t="shared" si="0"/>
        <v>4.8276910954744991</v>
      </c>
      <c r="C12" s="1799" t="str">
        <f t="shared" si="1"/>
        <v>Higher</v>
      </c>
      <c r="D12" s="2020">
        <f t="shared" si="2"/>
        <v>6.0829493087557616</v>
      </c>
      <c r="E12" s="1799" t="str">
        <f t="shared" si="3"/>
        <v>Higher</v>
      </c>
      <c r="F12" s="2032">
        <f>IF((SUM(F!D6:'F'!D10)=0),"",PR!G156)</f>
        <v>6.3280423280423284</v>
      </c>
      <c r="G12" s="1800">
        <f>IF((F12&lt;1),0,IF((F12=""),"",PR!G157))</f>
        <v>5.8333333333333339</v>
      </c>
      <c r="H12" s="2247">
        <v>2.9007378721234147</v>
      </c>
      <c r="I12" s="2247">
        <v>10</v>
      </c>
      <c r="J12" s="2247">
        <f t="shared" si="4"/>
        <v>7.0992621278765853</v>
      </c>
      <c r="K12" s="2247">
        <v>2.66</v>
      </c>
      <c r="L12" s="2247">
        <v>4.17</v>
      </c>
      <c r="M12" s="2247">
        <v>0.33333333333333331</v>
      </c>
      <c r="N12" s="2247">
        <v>9.375</v>
      </c>
      <c r="O12" s="2247">
        <f t="shared" si="5"/>
        <v>9.0416666666666661</v>
      </c>
      <c r="P12" s="2247">
        <v>1.71</v>
      </c>
      <c r="Q12" s="2247">
        <v>4.55</v>
      </c>
      <c r="R12" s="2162"/>
      <c r="S12" s="2162"/>
      <c r="T12" s="1794"/>
      <c r="U12" s="1794"/>
    </row>
    <row r="13" spans="1:21" ht="18" customHeight="1" thickBot="1" x14ac:dyDescent="0.25">
      <c r="A13" s="1801" t="s">
        <v>66</v>
      </c>
      <c r="B13" s="1834">
        <f t="shared" si="0"/>
        <v>3.4066226109993321</v>
      </c>
      <c r="C13" s="1802" t="str">
        <f t="shared" si="1"/>
        <v>Moderate</v>
      </c>
      <c r="D13" s="2021">
        <f t="shared" si="2"/>
        <v>10</v>
      </c>
      <c r="E13" s="1802" t="str">
        <f t="shared" si="3"/>
        <v>Higher</v>
      </c>
      <c r="F13" s="2033">
        <f>IF((SUM(F!D6:'F'!D10)=0),"",NR!G221)</f>
        <v>5.9324652777777773</v>
      </c>
      <c r="G13" s="1803">
        <f>IF((F13&lt;1),0,IF((F13=""),"",NR!G222))</f>
        <v>10</v>
      </c>
      <c r="H13" s="2247">
        <v>3.8308783461904596</v>
      </c>
      <c r="I13" s="2247">
        <v>10</v>
      </c>
      <c r="J13" s="2247">
        <f t="shared" si="4"/>
        <v>6.1691216538095404</v>
      </c>
      <c r="K13" s="2247">
        <v>2.27</v>
      </c>
      <c r="L13" s="2247">
        <v>4.3600000000000003</v>
      </c>
      <c r="M13" s="2247">
        <v>1.1111111111111112</v>
      </c>
      <c r="N13" s="2247">
        <v>10</v>
      </c>
      <c r="O13" s="2247">
        <f t="shared" si="5"/>
        <v>8.8888888888888893</v>
      </c>
      <c r="P13" s="2247">
        <v>2.5</v>
      </c>
      <c r="Q13" s="2247">
        <v>7.19</v>
      </c>
      <c r="R13" s="2162"/>
      <c r="S13" s="2162"/>
      <c r="T13" s="1794"/>
      <c r="U13" s="1794"/>
    </row>
    <row r="14" spans="1:21" ht="18" customHeight="1" x14ac:dyDescent="0.2">
      <c r="A14" s="1804" t="s">
        <v>16</v>
      </c>
      <c r="B14" s="1832">
        <f t="shared" si="0"/>
        <v>3.2539583057765689</v>
      </c>
      <c r="C14" s="1796" t="str">
        <f t="shared" si="1"/>
        <v>Moderate</v>
      </c>
      <c r="D14" s="2022"/>
      <c r="E14" s="1805"/>
      <c r="F14" s="2031">
        <f>IF((SUM(F!D6:'F'!D10)=0),"",CS!G120)</f>
        <v>5.9655257936507944</v>
      </c>
      <c r="G14" s="1806"/>
      <c r="H14" s="2247">
        <v>4.5614929957926948</v>
      </c>
      <c r="I14" s="2247">
        <v>8.8763386880856761</v>
      </c>
      <c r="J14" s="2247">
        <f t="shared" si="4"/>
        <v>4.3148456922929812</v>
      </c>
      <c r="K14" s="2247">
        <v>3.13</v>
      </c>
      <c r="L14" s="2247">
        <v>5.7</v>
      </c>
      <c r="M14" s="2247"/>
      <c r="N14" s="2247"/>
      <c r="O14" s="2247"/>
      <c r="P14" s="2248"/>
      <c r="Q14" s="2248"/>
      <c r="R14" s="2162"/>
      <c r="S14" s="2162"/>
      <c r="T14" s="1794"/>
      <c r="U14" s="1794"/>
    </row>
    <row r="15" spans="1:21" ht="18" customHeight="1" thickBot="1" x14ac:dyDescent="0.25">
      <c r="A15" s="1801" t="s">
        <v>419</v>
      </c>
      <c r="B15" s="1834">
        <f t="shared" si="0"/>
        <v>6.813324252182233</v>
      </c>
      <c r="C15" s="1802" t="str">
        <f t="shared" si="1"/>
        <v>Higher</v>
      </c>
      <c r="D15" s="2023"/>
      <c r="E15" s="1807"/>
      <c r="F15" s="2033">
        <f>IF((SUM(F!D6:'F'!D10)=0),"",OE!G117)</f>
        <v>5.9481481481481486</v>
      </c>
      <c r="G15" s="1808"/>
      <c r="H15" s="2247">
        <v>2.3345099976626078</v>
      </c>
      <c r="I15" s="2247">
        <v>7.6382912602792112</v>
      </c>
      <c r="J15" s="2247">
        <f t="shared" si="4"/>
        <v>5.303781262616603</v>
      </c>
      <c r="K15" s="2247">
        <v>3.12</v>
      </c>
      <c r="L15" s="2247">
        <v>5.26</v>
      </c>
      <c r="M15" s="2247"/>
      <c r="N15" s="2247"/>
      <c r="O15" s="2247"/>
      <c r="P15" s="2248"/>
      <c r="Q15" s="2248"/>
      <c r="R15" s="2162"/>
      <c r="S15" s="2162"/>
      <c r="T15" s="1794"/>
      <c r="U15" s="1794"/>
    </row>
    <row r="16" spans="1:21" ht="18" customHeight="1" x14ac:dyDescent="0.2">
      <c r="A16" s="1804" t="s">
        <v>18</v>
      </c>
      <c r="B16" s="1832">
        <f t="shared" si="0"/>
        <v>0</v>
      </c>
      <c r="C16" s="1796" t="str">
        <f t="shared" si="1"/>
        <v>Lower</v>
      </c>
      <c r="D16" s="2019">
        <f t="shared" ref="D16:D28" si="6">IF((G16=""),"",IF((G16&lt;=M16),0, IF((G16&gt;N16),10, 10*(G16-M16)/O16)))</f>
        <v>0</v>
      </c>
      <c r="E16" s="1796" t="str">
        <f t="shared" ref="E16:E28" si="7">IF((D16=""),"",IF((D16&lt;=P16),"Lower", IF((D16&gt;=Q16),"Higher", "Moderate")))</f>
        <v>Lower</v>
      </c>
      <c r="F16" s="2031">
        <f>IF((SUM(F!D6:'F'!D10)=0),"",FA!G150)</f>
        <v>0</v>
      </c>
      <c r="G16" s="1797">
        <f>IF((F16&lt;1),0,IF((F16=""),"",FA!G151))</f>
        <v>0</v>
      </c>
      <c r="H16" s="2247">
        <v>0</v>
      </c>
      <c r="I16" s="2247">
        <v>6.1256340579710145</v>
      </c>
      <c r="J16" s="2247">
        <f t="shared" si="4"/>
        <v>6.1256340579710145</v>
      </c>
      <c r="K16" s="2247">
        <v>1.8</v>
      </c>
      <c r="L16" s="2247">
        <v>6.71</v>
      </c>
      <c r="M16" s="2247">
        <v>0</v>
      </c>
      <c r="N16" s="2247">
        <v>7.3932123555952209</v>
      </c>
      <c r="O16" s="2247">
        <f t="shared" si="5"/>
        <v>7.3932123555952209</v>
      </c>
      <c r="P16" s="2247">
        <v>0</v>
      </c>
      <c r="Q16" s="2247">
        <v>4.4400000000000004</v>
      </c>
      <c r="R16" s="2162"/>
      <c r="S16" s="2162"/>
      <c r="T16" s="1794"/>
      <c r="U16" s="1794"/>
    </row>
    <row r="17" spans="1:21" ht="18" customHeight="1" thickBot="1" x14ac:dyDescent="0.25">
      <c r="A17" s="1801" t="s">
        <v>2249</v>
      </c>
      <c r="B17" s="1834">
        <f t="shared" si="0"/>
        <v>10</v>
      </c>
      <c r="C17" s="1802" t="str">
        <f t="shared" si="1"/>
        <v>Higher</v>
      </c>
      <c r="D17" s="2021">
        <f t="shared" si="6"/>
        <v>3.7894861005291367</v>
      </c>
      <c r="E17" s="1802" t="str">
        <f t="shared" si="7"/>
        <v>Moderate</v>
      </c>
      <c r="F17" s="2033">
        <f>IF((SUM(F!D6:'F'!D10)=0),"",FR!G134)</f>
        <v>6.1277777777777773</v>
      </c>
      <c r="G17" s="1803">
        <f>IF((F17&lt;1),0,IF((F17=""),"",FR!G135))</f>
        <v>2.6879629629629624</v>
      </c>
      <c r="H17" s="2247">
        <v>0</v>
      </c>
      <c r="I17" s="2247">
        <v>5.9521084337349395</v>
      </c>
      <c r="J17" s="2247">
        <f t="shared" si="4"/>
        <v>5.9521084337349395</v>
      </c>
      <c r="K17" s="2247">
        <v>1.4</v>
      </c>
      <c r="L17" s="2247">
        <v>6.29</v>
      </c>
      <c r="M17" s="2247">
        <v>0</v>
      </c>
      <c r="N17" s="2247">
        <v>7.0932123555952211</v>
      </c>
      <c r="O17" s="2247">
        <f t="shared" si="5"/>
        <v>7.0932123555952211</v>
      </c>
      <c r="P17" s="2247">
        <v>0</v>
      </c>
      <c r="Q17" s="2247">
        <v>4.4800000000000004</v>
      </c>
      <c r="R17" s="2162"/>
      <c r="S17" s="2162"/>
      <c r="T17" s="1794"/>
      <c r="U17" s="1794"/>
    </row>
    <row r="18" spans="1:21" ht="18" customHeight="1" x14ac:dyDescent="0.2">
      <c r="A18" s="1804" t="s">
        <v>17</v>
      </c>
      <c r="B18" s="1832">
        <f t="shared" si="0"/>
        <v>6.6953600018116148</v>
      </c>
      <c r="C18" s="1796" t="str">
        <f t="shared" si="1"/>
        <v>Higher</v>
      </c>
      <c r="D18" s="2019">
        <f t="shared" si="6"/>
        <v>7.6255907543080239</v>
      </c>
      <c r="E18" s="1796" t="str">
        <f t="shared" si="7"/>
        <v>Higher</v>
      </c>
      <c r="F18" s="2031">
        <f>IF((SUM(F!D6:'F'!D10)=0),"",INV!G154)</f>
        <v>6.229166666666667</v>
      </c>
      <c r="G18" s="1797">
        <f>IF((F18&lt;1),0,IF((F18=""),"",INV!G155))</f>
        <v>5.3558547493071309</v>
      </c>
      <c r="H18" s="2247">
        <v>3.8732051220756043</v>
      </c>
      <c r="I18" s="2247">
        <v>7.3920025339453055</v>
      </c>
      <c r="J18" s="2247">
        <f t="shared" si="4"/>
        <v>3.5187974118697012</v>
      </c>
      <c r="K18" s="2247">
        <v>2.58</v>
      </c>
      <c r="L18" s="2247">
        <v>5.58</v>
      </c>
      <c r="M18" s="2247">
        <v>1.2446164773733381</v>
      </c>
      <c r="N18" s="2247">
        <v>6.6359866733298647</v>
      </c>
      <c r="O18" s="2247">
        <f t="shared" si="5"/>
        <v>5.3913701959565268</v>
      </c>
      <c r="P18" s="2247">
        <v>0.85</v>
      </c>
      <c r="Q18" s="2247">
        <v>5.74</v>
      </c>
      <c r="R18" s="2162"/>
      <c r="S18" s="2162"/>
      <c r="T18" s="1794"/>
      <c r="U18" s="1794"/>
    </row>
    <row r="19" spans="1:21" ht="18" customHeight="1" x14ac:dyDescent="0.2">
      <c r="A19" s="1798" t="s">
        <v>2212</v>
      </c>
      <c r="B19" s="1833">
        <f t="shared" si="0"/>
        <v>6.172350036631606</v>
      </c>
      <c r="C19" s="1799" t="str">
        <f t="shared" si="1"/>
        <v>Moderate</v>
      </c>
      <c r="D19" s="2020">
        <f t="shared" si="6"/>
        <v>9.3065638164780964</v>
      </c>
      <c r="E19" s="1799" t="str">
        <f t="shared" si="7"/>
        <v>Higher</v>
      </c>
      <c r="F19" s="2032">
        <f>IF((SUM(F!D6:'F'!D10)=0),"",AM!G211)</f>
        <v>6.5614417989417992</v>
      </c>
      <c r="G19" s="1800">
        <f>IF((F19&lt;1),0,IF((F19=""),"",AM!G212))</f>
        <v>7.736599269337364</v>
      </c>
      <c r="H19" s="2247">
        <v>3.2995264390896923</v>
      </c>
      <c r="I19" s="2247">
        <v>8.5842483691379261</v>
      </c>
      <c r="J19" s="2247">
        <f t="shared" si="4"/>
        <v>5.2847219300482333</v>
      </c>
      <c r="K19" s="2247">
        <v>3.3</v>
      </c>
      <c r="L19" s="2247">
        <v>6.25</v>
      </c>
      <c r="M19" s="2247">
        <v>2.0922675736961454</v>
      </c>
      <c r="N19" s="2247">
        <v>8.1571609188075058</v>
      </c>
      <c r="O19" s="2247">
        <f t="shared" si="5"/>
        <v>6.0648933451113605</v>
      </c>
      <c r="P19" s="2247">
        <v>2.27</v>
      </c>
      <c r="Q19" s="2247">
        <v>6.3</v>
      </c>
      <c r="R19" s="2162"/>
      <c r="S19" s="2162"/>
      <c r="T19" s="1794"/>
      <c r="U19" s="1794"/>
    </row>
    <row r="20" spans="1:21" ht="18" customHeight="1" x14ac:dyDescent="0.2">
      <c r="A20" s="1798" t="s">
        <v>19</v>
      </c>
      <c r="B20" s="1833">
        <f t="shared" si="0"/>
        <v>9.3510706487991495</v>
      </c>
      <c r="C20" s="1799" t="str">
        <f t="shared" si="1"/>
        <v>Higher</v>
      </c>
      <c r="D20" s="2020">
        <f t="shared" si="6"/>
        <v>10</v>
      </c>
      <c r="E20" s="1799" t="str">
        <f t="shared" si="7"/>
        <v>Higher</v>
      </c>
      <c r="F20" s="2032">
        <f>IF((SUM(F!D6:'F'!D19)=0),"",WBF!G171)</f>
        <v>7.439814814814814</v>
      </c>
      <c r="G20" s="1800">
        <f>IF((F20&lt;1),0,IF((F20=""),"",WBF!G172))</f>
        <v>10</v>
      </c>
      <c r="H20" s="2247">
        <v>0</v>
      </c>
      <c r="I20" s="2247">
        <v>7.9561101549053355</v>
      </c>
      <c r="J20" s="2247">
        <f t="shared" si="4"/>
        <v>7.9561101549053355</v>
      </c>
      <c r="K20" s="2247">
        <v>0</v>
      </c>
      <c r="L20" s="2247">
        <v>6.84</v>
      </c>
      <c r="M20" s="2247">
        <v>0</v>
      </c>
      <c r="N20" s="2247">
        <v>10</v>
      </c>
      <c r="O20" s="2247">
        <f t="shared" si="5"/>
        <v>10</v>
      </c>
      <c r="P20" s="2247">
        <v>0.83</v>
      </c>
      <c r="Q20" s="2272">
        <v>6.67</v>
      </c>
      <c r="R20" s="2162"/>
      <c r="S20" s="2162"/>
      <c r="T20" s="1794"/>
      <c r="U20" s="1794"/>
    </row>
    <row r="21" spans="1:21" ht="18" customHeight="1" thickBot="1" x14ac:dyDescent="0.25">
      <c r="A21" s="1801" t="s">
        <v>20</v>
      </c>
      <c r="B21" s="1834">
        <f t="shared" si="0"/>
        <v>7.2987502564122408</v>
      </c>
      <c r="C21" s="1802" t="str">
        <f t="shared" si="1"/>
        <v>Higher</v>
      </c>
      <c r="D21" s="2021">
        <f t="shared" si="6"/>
        <v>10</v>
      </c>
      <c r="E21" s="1802" t="str">
        <f t="shared" si="7"/>
        <v>Higher</v>
      </c>
      <c r="F21" s="2033">
        <f>IF((SUM(F!D6:'F'!D10)=0),"",WBN!G197)</f>
        <v>6.2361111111111107</v>
      </c>
      <c r="G21" s="1803">
        <f>IF((F21&lt;1),0,IF((F21=""),"",WBN!G198))</f>
        <v>10</v>
      </c>
      <c r="H21" s="2247">
        <v>0</v>
      </c>
      <c r="I21" s="2247">
        <v>8.5440806878306876</v>
      </c>
      <c r="J21" s="2247">
        <f t="shared" si="4"/>
        <v>8.5440806878306876</v>
      </c>
      <c r="K21" s="2247">
        <v>1.95</v>
      </c>
      <c r="L21" s="2247">
        <v>5.42</v>
      </c>
      <c r="M21" s="2247">
        <v>0</v>
      </c>
      <c r="N21" s="2247">
        <v>10</v>
      </c>
      <c r="O21" s="2247">
        <f t="shared" si="5"/>
        <v>10</v>
      </c>
      <c r="P21" s="2247">
        <v>0</v>
      </c>
      <c r="Q21" s="2272">
        <v>6.67</v>
      </c>
      <c r="R21" s="2162"/>
      <c r="S21" s="2162"/>
      <c r="T21" s="1794"/>
      <c r="U21" s="1794"/>
    </row>
    <row r="22" spans="1:21" ht="18" customHeight="1" x14ac:dyDescent="0.2">
      <c r="A22" s="1804" t="s">
        <v>260</v>
      </c>
      <c r="B22" s="1832">
        <f t="shared" si="0"/>
        <v>6.9597727086239427</v>
      </c>
      <c r="C22" s="1796" t="str">
        <f t="shared" si="1"/>
        <v>Moderate</v>
      </c>
      <c r="D22" s="2019">
        <f t="shared" si="6"/>
        <v>10</v>
      </c>
      <c r="E22" s="1796" t="str">
        <f t="shared" si="7"/>
        <v>Higher</v>
      </c>
      <c r="F22" s="2031">
        <f>IF((SUM(F!D6:'F'!D10)=0),"",SBM!G182)</f>
        <v>5.7699829931972788</v>
      </c>
      <c r="G22" s="1797">
        <f>IF((F22&lt;1),0,IF((F22=""),"",SBM!G183))</f>
        <v>10</v>
      </c>
      <c r="H22" s="2247">
        <v>0</v>
      </c>
      <c r="I22" s="2247">
        <v>8.2904761904761912</v>
      </c>
      <c r="J22" s="2247">
        <f t="shared" si="4"/>
        <v>8.2904761904761912</v>
      </c>
      <c r="K22" s="2247">
        <v>2.5</v>
      </c>
      <c r="L22" s="2247">
        <v>7.24</v>
      </c>
      <c r="M22" s="2247">
        <v>0</v>
      </c>
      <c r="N22" s="2247">
        <v>10</v>
      </c>
      <c r="O22" s="2247">
        <f t="shared" si="5"/>
        <v>10</v>
      </c>
      <c r="P22" s="2247">
        <v>3.33</v>
      </c>
      <c r="Q22" s="2247">
        <v>6.67</v>
      </c>
      <c r="R22" s="2162"/>
      <c r="S22" s="2162"/>
      <c r="T22" s="1794"/>
      <c r="U22" s="1794"/>
    </row>
    <row r="23" spans="1:21" ht="18" customHeight="1" x14ac:dyDescent="0.2">
      <c r="A23" s="1798" t="s">
        <v>21</v>
      </c>
      <c r="B23" s="1833">
        <f t="shared" si="0"/>
        <v>7.1169876401264736</v>
      </c>
      <c r="C23" s="1799" t="str">
        <f t="shared" si="1"/>
        <v>Moderate</v>
      </c>
      <c r="D23" s="2020">
        <f t="shared" si="6"/>
        <v>10</v>
      </c>
      <c r="E23" s="1799" t="str">
        <f t="shared" si="7"/>
        <v>Higher</v>
      </c>
      <c r="F23" s="2032">
        <f>IF((SUM(F!D6:'F'!D10)=0),"",POL!G93)</f>
        <v>5.7314814814814818</v>
      </c>
      <c r="G23" s="1800">
        <f>IF((F23&lt;1),0,IF((F23=""),"",POL!G94))</f>
        <v>10</v>
      </c>
      <c r="H23" s="2247">
        <v>0</v>
      </c>
      <c r="I23" s="2247">
        <v>8.0532407407407405</v>
      </c>
      <c r="J23" s="2247">
        <f t="shared" si="4"/>
        <v>8.0532407407407405</v>
      </c>
      <c r="K23" s="2247">
        <v>0</v>
      </c>
      <c r="L23" s="2247">
        <v>7.81</v>
      </c>
      <c r="M23" s="2247">
        <v>0</v>
      </c>
      <c r="N23" s="2247">
        <v>10</v>
      </c>
      <c r="O23" s="2247">
        <f t="shared" si="5"/>
        <v>10</v>
      </c>
      <c r="P23" s="2247">
        <v>0</v>
      </c>
      <c r="Q23" s="2247">
        <v>6.67</v>
      </c>
      <c r="R23" s="2162"/>
      <c r="S23" s="2162"/>
      <c r="T23" s="1794"/>
      <c r="U23" s="1794"/>
    </row>
    <row r="24" spans="1:21" ht="18" customHeight="1" thickBot="1" x14ac:dyDescent="0.25">
      <c r="A24" s="1801" t="s">
        <v>573</v>
      </c>
      <c r="B24" s="1834">
        <f t="shared" si="0"/>
        <v>5.0660123611963064</v>
      </c>
      <c r="C24" s="1802" t="str">
        <f t="shared" si="1"/>
        <v>Moderate</v>
      </c>
      <c r="D24" s="2021">
        <f t="shared" si="6"/>
        <v>10</v>
      </c>
      <c r="E24" s="1802" t="str">
        <f t="shared" si="7"/>
        <v>Higher</v>
      </c>
      <c r="F24" s="2033">
        <f>IF((SUM(F!D6:'F'!D10)=0),"",PH!G197)</f>
        <v>5.1282051282051277</v>
      </c>
      <c r="G24" s="1803">
        <f>IF((F24&lt;1),0,IF((F24=""),"",PH!G198))</f>
        <v>10</v>
      </c>
      <c r="H24" s="2247">
        <v>3.084079909381114</v>
      </c>
      <c r="I24" s="2247">
        <v>7.1190586521911827</v>
      </c>
      <c r="J24" s="2247">
        <f t="shared" si="4"/>
        <v>4.0349787428100683</v>
      </c>
      <c r="K24" s="2247">
        <v>3.96</v>
      </c>
      <c r="L24" s="2247">
        <v>5.98</v>
      </c>
      <c r="M24" s="2247">
        <v>0</v>
      </c>
      <c r="N24" s="2247">
        <v>8.6778439153439137</v>
      </c>
      <c r="O24" s="2247">
        <f t="shared" si="5"/>
        <v>8.6778439153439137</v>
      </c>
      <c r="P24" s="2247">
        <v>0</v>
      </c>
      <c r="Q24" s="2247">
        <v>6.33</v>
      </c>
      <c r="R24" s="2162"/>
      <c r="S24" s="2162"/>
      <c r="T24" s="1794"/>
      <c r="U24" s="1794"/>
    </row>
    <row r="25" spans="1:21" ht="18" customHeight="1" thickBot="1" x14ac:dyDescent="0.25">
      <c r="A25" s="1809" t="s">
        <v>279</v>
      </c>
      <c r="B25" s="1835"/>
      <c r="C25" s="1819"/>
      <c r="D25" s="2024">
        <f t="shared" si="6"/>
        <v>9.843662758235622</v>
      </c>
      <c r="E25" s="1810" t="str">
        <f t="shared" si="7"/>
        <v>Higher</v>
      </c>
      <c r="F25" s="2034"/>
      <c r="G25" s="1811">
        <f>IF((SUM(F!D6:'F'!D10)=0),"",PU!G59)</f>
        <v>7.3293650793650791</v>
      </c>
      <c r="H25" s="2247"/>
      <c r="I25" s="2247"/>
      <c r="J25" s="2247"/>
      <c r="K25" s="2248"/>
      <c r="L25" s="2248"/>
      <c r="M25" s="2247">
        <v>0.33333333333333331</v>
      </c>
      <c r="N25" s="2247">
        <v>7.4404761904761907</v>
      </c>
      <c r="O25" s="2247">
        <f t="shared" si="5"/>
        <v>7.1071428571428577</v>
      </c>
      <c r="P25" s="2247">
        <v>2.4</v>
      </c>
      <c r="Q25" s="2247">
        <v>5.51</v>
      </c>
      <c r="R25" s="2162"/>
      <c r="S25" s="2162"/>
      <c r="T25" s="1794"/>
      <c r="U25" s="1794"/>
    </row>
    <row r="26" spans="1:21" ht="18" customHeight="1" x14ac:dyDescent="0.2">
      <c r="A26" s="1812" t="s">
        <v>1173</v>
      </c>
      <c r="B26" s="1836"/>
      <c r="C26" s="2028"/>
      <c r="D26" s="2025">
        <f t="shared" si="6"/>
        <v>2.8643603983728565</v>
      </c>
      <c r="E26" s="1813" t="str">
        <f t="shared" si="7"/>
        <v>Lower</v>
      </c>
      <c r="F26" s="2035"/>
      <c r="G26" s="1814">
        <f>IF((SUM(F!D6:'F'!D10)=0),"",Sen!G189)</f>
        <v>3.061055555555555</v>
      </c>
      <c r="H26" s="2247"/>
      <c r="I26" s="2247"/>
      <c r="J26" s="2247"/>
      <c r="K26" s="2249"/>
      <c r="L26" s="2249"/>
      <c r="M26" s="2247">
        <v>2.2036877304739892</v>
      </c>
      <c r="N26" s="2247">
        <v>5.196913811830953</v>
      </c>
      <c r="O26" s="2247">
        <f t="shared" si="5"/>
        <v>2.9932260813569638</v>
      </c>
      <c r="P26" s="2247">
        <v>2.88</v>
      </c>
      <c r="Q26" s="2247">
        <v>5.3</v>
      </c>
      <c r="R26" s="2162"/>
      <c r="S26" s="2162"/>
      <c r="T26" s="1794"/>
      <c r="U26" s="1794"/>
    </row>
    <row r="27" spans="1:21" ht="18" customHeight="1" x14ac:dyDescent="0.2">
      <c r="A27" s="1798" t="s">
        <v>1700</v>
      </c>
      <c r="B27" s="1837"/>
      <c r="C27" s="2029"/>
      <c r="D27" s="2020">
        <f t="shared" si="6"/>
        <v>3.253012048192772</v>
      </c>
      <c r="E27" s="1799" t="str">
        <f t="shared" si="7"/>
        <v>Moderate</v>
      </c>
      <c r="F27" s="2035"/>
      <c r="G27" s="1800">
        <f>IF((SUM(F!D6:'F'!D10)=0),"",EC!G30)</f>
        <v>6.1111111111111116</v>
      </c>
      <c r="H27" s="2247"/>
      <c r="I27" s="2247"/>
      <c r="J27" s="2247"/>
      <c r="K27" s="2248"/>
      <c r="L27" s="2248"/>
      <c r="M27" s="2247">
        <v>4.2361111111111107</v>
      </c>
      <c r="N27" s="2247">
        <v>10</v>
      </c>
      <c r="O27" s="2247">
        <f t="shared" si="5"/>
        <v>5.7638888888888893</v>
      </c>
      <c r="P27" s="2247">
        <v>3.25</v>
      </c>
      <c r="Q27" s="2272">
        <v>6.39</v>
      </c>
      <c r="R27" s="2162"/>
      <c r="S27" s="2162"/>
      <c r="T27" s="1794"/>
      <c r="U27" s="1794"/>
    </row>
    <row r="28" spans="1:21" ht="18" customHeight="1" thickBot="1" x14ac:dyDescent="0.25">
      <c r="A28" s="1815" t="s">
        <v>2545</v>
      </c>
      <c r="B28" s="1838"/>
      <c r="C28" s="2030"/>
      <c r="D28" s="2026">
        <f t="shared" si="6"/>
        <v>7.6878248543077667</v>
      </c>
      <c r="E28" s="1816" t="str">
        <f t="shared" si="7"/>
        <v>Higher</v>
      </c>
      <c r="F28" s="2036"/>
      <c r="G28" s="1817">
        <f>IF((SUM(F!D6:'F'!D10)=0),"",STR!G86)</f>
        <v>5.0850694444444446</v>
      </c>
      <c r="H28" s="2247"/>
      <c r="I28" s="2247"/>
      <c r="J28" s="2247"/>
      <c r="K28" s="2248"/>
      <c r="L28" s="2248"/>
      <c r="M28" s="2247">
        <v>2.2604166666666665</v>
      </c>
      <c r="N28" s="2247">
        <v>5.934606481481481</v>
      </c>
      <c r="O28" s="2247">
        <f t="shared" si="5"/>
        <v>3.6741898148148144</v>
      </c>
      <c r="P28" s="2247">
        <v>2.15</v>
      </c>
      <c r="Q28" s="2272">
        <v>4.97</v>
      </c>
      <c r="R28" s="2162"/>
      <c r="S28" s="2162"/>
      <c r="T28" s="1794"/>
      <c r="U28" s="1794"/>
    </row>
    <row r="29" spans="1:21" ht="24" customHeight="1" thickBot="1" x14ac:dyDescent="0.25">
      <c r="A29" s="1818" t="s">
        <v>617</v>
      </c>
      <c r="B29" s="1835"/>
      <c r="C29" s="1819"/>
      <c r="D29" s="2027"/>
      <c r="E29" s="1819"/>
      <c r="F29" s="2034"/>
      <c r="G29" s="1820"/>
      <c r="H29" s="2247"/>
      <c r="I29" s="2247"/>
      <c r="J29" s="2247"/>
      <c r="K29" s="2247"/>
      <c r="L29" s="2247"/>
      <c r="M29" s="2247"/>
      <c r="N29" s="2247"/>
      <c r="O29" s="2247"/>
      <c r="P29" s="2247"/>
      <c r="Q29" s="2247"/>
      <c r="R29" s="2162"/>
      <c r="S29" s="2162"/>
      <c r="T29" s="1794"/>
      <c r="U29" s="1794"/>
    </row>
    <row r="30" spans="1:21" ht="21" customHeight="1" x14ac:dyDescent="0.2">
      <c r="A30" s="1821" t="s">
        <v>1697</v>
      </c>
      <c r="B30" s="2155">
        <f>B8</f>
        <v>4.5012060198021198</v>
      </c>
      <c r="C30" s="2237" t="str">
        <f>IF((B30=""),"",IF((B30&lt;=K30),"Lower", IF((B30&gt;=L30),"Higher", "Moderate")))</f>
        <v>Moderate</v>
      </c>
      <c r="D30" s="2240">
        <f>D8</f>
        <v>10</v>
      </c>
      <c r="E30" s="2237" t="str">
        <f t="shared" ref="E30:E36" si="8">IF((D30=""),"",IF((D30&lt;=P30),"Lower", IF((D30&gt;=Q30),"Higher", "Moderate")))</f>
        <v>Higher</v>
      </c>
      <c r="F30" s="2037">
        <f t="shared" ref="F30:G30" si="9">IF((F8=""),"",F8)</f>
        <v>5.1927083333333339</v>
      </c>
      <c r="G30" s="1814">
        <f t="shared" si="9"/>
        <v>10</v>
      </c>
      <c r="H30" s="2247"/>
      <c r="I30" s="2247"/>
      <c r="J30" s="2247"/>
      <c r="K30" s="2247">
        <v>2.48</v>
      </c>
      <c r="L30" s="2247">
        <v>5.12</v>
      </c>
      <c r="M30" s="2247"/>
      <c r="N30" s="2247"/>
      <c r="O30" s="2247"/>
      <c r="P30" s="2247">
        <v>2.58</v>
      </c>
      <c r="Q30" s="2247">
        <v>5.67</v>
      </c>
      <c r="R30" s="2162"/>
      <c r="S30" s="2162"/>
      <c r="T30" s="1794"/>
      <c r="U30" s="1794"/>
    </row>
    <row r="31" spans="1:21" ht="27.75" customHeight="1" x14ac:dyDescent="0.2">
      <c r="A31" s="1822" t="s">
        <v>2272</v>
      </c>
      <c r="B31" s="2156">
        <f>IFERROR((MAX(B11:B14)+AVERAGE(B11:B14))/2,"")</f>
        <v>4.3804388636573632</v>
      </c>
      <c r="C31" s="2238" t="str">
        <f>IF((B31=""),"",IF((B31&lt;=K31),"Lower", IF((B31&gt;=L31),"Higher", "Moderate")))</f>
        <v>Moderate</v>
      </c>
      <c r="D31" s="2156">
        <f>IFERROR((MAX(D11:D14)+AVERAGE(D11:D14))/2,"")</f>
        <v>8.9332148630061337</v>
      </c>
      <c r="E31" s="2238" t="str">
        <f t="shared" si="8"/>
        <v>Higher</v>
      </c>
      <c r="F31" s="2032">
        <f>IF((F11=""),"", (MAX(F11:F14) + AVERAGE(F11:F14))/2)</f>
        <v>6.1999913883377431</v>
      </c>
      <c r="G31" s="1800">
        <f>IF((F31=""),"", IF((F31&lt;1),0,(MAX(G11:G14) + AVERAGE(G11:G14))/2))</f>
        <v>8.3994708994709004</v>
      </c>
      <c r="H31" s="2247"/>
      <c r="I31" s="2247"/>
      <c r="J31" s="2247"/>
      <c r="K31" s="2247">
        <v>3.07</v>
      </c>
      <c r="L31" s="2247">
        <v>5.39</v>
      </c>
      <c r="M31" s="2247"/>
      <c r="N31" s="2247"/>
      <c r="O31" s="2247"/>
      <c r="P31" s="2247">
        <v>4.1500000000000004</v>
      </c>
      <c r="Q31" s="2272">
        <v>7.64</v>
      </c>
      <c r="R31" s="2162"/>
      <c r="S31" s="2162"/>
      <c r="T31" s="1794"/>
      <c r="U31" s="1794"/>
    </row>
    <row r="32" spans="1:21" ht="21" customHeight="1" x14ac:dyDescent="0.2">
      <c r="A32" s="1822" t="s">
        <v>1699</v>
      </c>
      <c r="B32" s="2156">
        <f>IFERROR((MAX(B9,B10,B15,B18)+AVERAGE(B9,B10,B15,B18))/2,"")</f>
        <v>5.9429039078403481</v>
      </c>
      <c r="C32" s="2238" t="str">
        <f>IF((B32=""),"",IF((B32&lt;=K32),"Lower", IF((B32&gt;=L32),"Higher", "Moderate")))</f>
        <v>Moderate</v>
      </c>
      <c r="D32" s="2156">
        <f>IFERROR((MAX(D9,D10,D15,D18)+AVERAGE(D9,D10,D15,D18))/2,"")</f>
        <v>5.9234538408455064</v>
      </c>
      <c r="E32" s="2238" t="str">
        <f t="shared" si="8"/>
        <v>Higher</v>
      </c>
      <c r="F32" s="2032">
        <f>IF((F18=""),"", (MAX(F9,F18,F10,F15) + AVERAGE(F9,F10,F15,F18))/2)</f>
        <v>5.1679976851851857</v>
      </c>
      <c r="G32" s="1800">
        <f>IF((G18=""),"", (MAX(G9,G18,G10,G15) + AVERAGE(G9,G10,G15,G18))/2)</f>
        <v>4.0644849563282106</v>
      </c>
      <c r="H32" s="2247"/>
      <c r="I32" s="2247"/>
      <c r="J32" s="2247"/>
      <c r="K32" s="2247">
        <v>3.82</v>
      </c>
      <c r="L32" s="2247">
        <v>6.04</v>
      </c>
      <c r="M32" s="2247"/>
      <c r="N32" s="2247"/>
      <c r="O32" s="2247"/>
      <c r="P32" s="2247">
        <v>1.34</v>
      </c>
      <c r="Q32" s="2247">
        <v>4.99</v>
      </c>
      <c r="R32" s="2162"/>
      <c r="S32" s="2162"/>
      <c r="T32" s="1794"/>
      <c r="U32" s="1794"/>
    </row>
    <row r="33" spans="1:33" ht="21" customHeight="1" x14ac:dyDescent="0.2">
      <c r="A33" s="1822" t="s">
        <v>1698</v>
      </c>
      <c r="B33" s="2156">
        <f>IFERROR((MAX(B16,B17,B19,B20,B21)+AVERAGE(B16,B17,B19,B20,B21))/2,"")</f>
        <v>8.2822170941843005</v>
      </c>
      <c r="C33" s="2238" t="str">
        <f>IF((B33=""),"",IF((B33&lt;=K33),"Lower", IF((B33&gt;=L33),"Higher", "Moderate")))</f>
        <v>Higher</v>
      </c>
      <c r="D33" s="2156">
        <f>IFERROR((MAX(D16,D17,D19,D20,D21)+AVERAGE(D16,D17,D19,D20,D21))/2,"")</f>
        <v>8.3096049917007235</v>
      </c>
      <c r="E33" s="2238" t="str">
        <f t="shared" si="8"/>
        <v>Higher</v>
      </c>
      <c r="F33" s="2032">
        <f>IF((F19=""),"",(MAX(F16,F17,F19,F20,F21)+AVERAGE(F16,F17,F19,F20,F21))/2)</f>
        <v>6.3564219576719569</v>
      </c>
      <c r="G33" s="1800">
        <f>IF((F33=""),"", IF((F33&lt;1),0,(MAX(G16, G17,G19,G20,G21)+ AVERAGE(G16, G17,G19,G20,G21))/2))</f>
        <v>8.0424562232300332</v>
      </c>
      <c r="H33" s="2247"/>
      <c r="I33" s="2247"/>
      <c r="J33" s="2247"/>
      <c r="K33" s="2247">
        <v>2.41</v>
      </c>
      <c r="L33" s="2247">
        <v>6.22</v>
      </c>
      <c r="M33" s="2247"/>
      <c r="N33" s="2247"/>
      <c r="O33" s="2247"/>
      <c r="P33" s="2247">
        <v>3.15</v>
      </c>
      <c r="Q33" s="2247">
        <v>6.29</v>
      </c>
      <c r="R33" s="2162"/>
      <c r="S33" s="2162"/>
      <c r="T33" s="1794"/>
      <c r="U33" s="1794"/>
    </row>
    <row r="34" spans="1:33" ht="21" customHeight="1" thickBot="1" x14ac:dyDescent="0.25">
      <c r="A34" s="1823" t="s">
        <v>2271</v>
      </c>
      <c r="B34" s="2157">
        <f>IFERROR((MAX(B22,B23,B24)+AVERAGE(B22,B23,B24))/2,"")</f>
        <v>6.7489559383876907</v>
      </c>
      <c r="C34" s="2239" t="str">
        <f>IF((B34=""),"",IF((B34&lt;=K34),"Lower", IF((B34&gt;=L34),"Higher", "Moderate")))</f>
        <v>Moderate</v>
      </c>
      <c r="D34" s="2157">
        <f>IFERROR((MAX(D22,D23,D24)+AVERAGE(D22,D23,D24))/2,"")</f>
        <v>10</v>
      </c>
      <c r="E34" s="2239" t="str">
        <f t="shared" si="8"/>
        <v>Higher</v>
      </c>
      <c r="F34" s="2038">
        <f>IF((F22=""),"", (MAX(F22,F24,F23)+ AVERAGE(F22,F24,F23))/2)</f>
        <v>5.6566030970792873</v>
      </c>
      <c r="G34" s="1817">
        <f>IF((F34=""),"", IF((F34&lt;1),0, (MAX(G22,G24,G23)+ AVERAGE(G22,G24,G23))/2))</f>
        <v>10</v>
      </c>
      <c r="H34" s="2247"/>
      <c r="I34" s="2247"/>
      <c r="J34" s="2247"/>
      <c r="K34" s="2247">
        <v>4.68</v>
      </c>
      <c r="L34" s="2247">
        <v>7.6</v>
      </c>
      <c r="M34" s="2247"/>
      <c r="N34" s="2247"/>
      <c r="O34" s="2247"/>
      <c r="P34" s="2247">
        <v>0</v>
      </c>
      <c r="Q34" s="2247">
        <v>5.33</v>
      </c>
      <c r="R34" s="2162"/>
      <c r="S34" s="2162"/>
      <c r="T34" s="1794"/>
      <c r="U34" s="1794"/>
    </row>
    <row r="35" spans="1:33" ht="21" customHeight="1" x14ac:dyDescent="0.2">
      <c r="A35" s="1824" t="s">
        <v>2264</v>
      </c>
      <c r="B35" s="1854"/>
      <c r="C35" s="1805"/>
      <c r="D35" s="2241">
        <f>D27</f>
        <v>3.253012048192772</v>
      </c>
      <c r="E35" s="2242" t="str">
        <f t="shared" si="8"/>
        <v>Moderate</v>
      </c>
      <c r="F35" s="2039"/>
      <c r="G35" s="1797">
        <f>IF((G27=""),"",G27)</f>
        <v>6.1111111111111116</v>
      </c>
      <c r="H35" s="2247"/>
      <c r="I35" s="2247"/>
      <c r="J35" s="2247"/>
      <c r="K35" s="2248"/>
      <c r="L35" s="2248"/>
      <c r="M35" s="2247"/>
      <c r="N35" s="2247"/>
      <c r="O35" s="2247"/>
      <c r="P35" s="2247">
        <v>3.25</v>
      </c>
      <c r="Q35" s="2272">
        <v>6.39</v>
      </c>
      <c r="R35" s="2162"/>
      <c r="S35" s="2162"/>
      <c r="T35" s="1794"/>
      <c r="U35" s="1794"/>
    </row>
    <row r="36" spans="1:33" ht="21" customHeight="1" thickBot="1" x14ac:dyDescent="0.25">
      <c r="A36" s="1825" t="s">
        <v>1895</v>
      </c>
      <c r="B36" s="1855"/>
      <c r="C36" s="1807"/>
      <c r="D36" s="2243">
        <f>IF((D26=""),"",AVERAGE(D26,D28))</f>
        <v>5.2760926263403114</v>
      </c>
      <c r="E36" s="2244" t="str">
        <f t="shared" si="8"/>
        <v>Higher</v>
      </c>
      <c r="F36" s="2040"/>
      <c r="G36" s="1803">
        <f>IF((G26=""),"",AVERAGE(G26,G28))</f>
        <v>4.0730624999999998</v>
      </c>
      <c r="H36" s="2247"/>
      <c r="I36" s="2247"/>
      <c r="J36" s="2247"/>
      <c r="K36" s="2248"/>
      <c r="L36" s="2248"/>
      <c r="M36" s="2247"/>
      <c r="N36" s="2247"/>
      <c r="O36" s="2247"/>
      <c r="P36" s="2247">
        <v>2.71</v>
      </c>
      <c r="Q36" s="2272">
        <v>4.33</v>
      </c>
      <c r="R36" s="2162"/>
      <c r="S36" s="2162"/>
      <c r="T36" s="1794"/>
      <c r="U36" s="1794"/>
    </row>
    <row r="37" spans="1:33" ht="52.5" customHeight="1" thickBot="1" x14ac:dyDescent="0.25">
      <c r="B37" s="2477" t="s">
        <v>2915</v>
      </c>
      <c r="C37" s="2478"/>
      <c r="D37" s="2478"/>
      <c r="E37" s="2478"/>
      <c r="F37" s="2478"/>
      <c r="G37" s="2479"/>
      <c r="R37" s="2162"/>
      <c r="S37" s="2162"/>
      <c r="T37" s="1794"/>
      <c r="U37" s="1794"/>
    </row>
    <row r="38" spans="1:33" ht="58.9" customHeight="1" x14ac:dyDescent="0.2">
      <c r="H38" s="1826"/>
      <c r="I38" s="1827"/>
      <c r="J38" s="1827"/>
      <c r="K38" s="1827"/>
      <c r="L38" s="1827"/>
      <c r="M38" s="1827"/>
      <c r="N38" s="1827"/>
      <c r="O38" s="1827"/>
      <c r="P38" s="1827"/>
      <c r="Q38" s="1827"/>
      <c r="R38" s="1827"/>
      <c r="S38" s="1827"/>
      <c r="T38" s="1827"/>
      <c r="U38" s="1827"/>
      <c r="V38" s="1828"/>
      <c r="W38" s="1828"/>
      <c r="X38" s="1828"/>
      <c r="Y38" s="1828"/>
      <c r="Z38" s="1828"/>
      <c r="AA38" s="1828"/>
      <c r="AB38" s="1828"/>
      <c r="AC38" s="1828"/>
      <c r="AD38" s="1828"/>
      <c r="AE38" s="1828"/>
      <c r="AF38" s="1828"/>
      <c r="AG38" s="1828"/>
    </row>
    <row r="39" spans="1:33" x14ac:dyDescent="0.2">
      <c r="H39" s="1826"/>
      <c r="I39" s="1827"/>
      <c r="J39" s="1827"/>
      <c r="K39" s="1827"/>
      <c r="L39" s="1827"/>
      <c r="M39" s="1827"/>
      <c r="N39" s="1827"/>
      <c r="O39" s="1827"/>
      <c r="P39" s="1827"/>
      <c r="Q39" s="1827"/>
      <c r="R39" s="1827"/>
      <c r="S39" s="1827"/>
      <c r="T39" s="1827"/>
      <c r="U39" s="1827"/>
      <c r="V39" s="1828"/>
      <c r="W39" s="1828"/>
      <c r="X39" s="1828"/>
      <c r="Y39" s="1828"/>
      <c r="Z39" s="1828"/>
      <c r="AA39" s="1828"/>
      <c r="AB39" s="1828"/>
      <c r="AC39" s="1828"/>
      <c r="AD39" s="1828"/>
      <c r="AE39" s="1828"/>
      <c r="AF39" s="1828"/>
      <c r="AG39" s="1828"/>
    </row>
    <row r="41" spans="1:33" x14ac:dyDescent="0.2">
      <c r="E41" s="1830"/>
    </row>
  </sheetData>
  <sheetProtection algorithmName="SHA-512" hashValue="ku7Jn1Xj44z3HAgdMNo5DrOsPK1q3Df1k9Uyud4Dg7DExNikpFE2IDZQsWTvkoLe0hQIqq6cj0Fq5HEhTr76Wg==" saltValue="kUGqKtW38tv4NMb2OO+xAw==" spinCount="100000" sheet="1" formatCells="0" formatColumns="0" formatRows="0"/>
  <customSheetViews>
    <customSheetView guid="{B8E02330-2419-4DE6-AD01-7ACC7A5D18DD}" hiddenColumns="1">
      <selection sqref="A1:I1"/>
      <pageMargins left="0.25" right="0.25" top="0.75" bottom="0.75" header="0.3" footer="0.3"/>
      <pageSetup orientation="portrait" r:id="rId1"/>
      <headerFooter alignWithMargins="0"/>
    </customSheetView>
  </customSheetViews>
  <mergeCells count="7">
    <mergeCell ref="A1:Q1"/>
    <mergeCell ref="A5:Q5"/>
    <mergeCell ref="B37:G37"/>
    <mergeCell ref="A2:Q2"/>
    <mergeCell ref="A3:Q3"/>
    <mergeCell ref="A4:Q4"/>
    <mergeCell ref="H6:Q6"/>
  </mergeCells>
  <phoneticPr fontId="3" type="noConversion"/>
  <conditionalFormatting sqref="F35:F36 F8:G30">
    <cfRule type="expression" dxfId="1" priority="31">
      <formula>"enter =ISERROR(B8:C31)"</formula>
    </cfRule>
  </conditionalFormatting>
  <conditionalFormatting sqref="M31 H35:H36 I33">
    <cfRule type="expression" dxfId="0" priority="1">
      <formula>"enter =ISERROR(B8:C31)"</formula>
    </cfRule>
  </conditionalFormatting>
  <pageMargins left="0.25" right="0.25" top="0.75" bottom="0.75" header="0.3" footer="0.3"/>
  <pageSetup scale="70"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K326"/>
  <sheetViews>
    <sheetView zoomScaleNormal="100" workbookViewId="0">
      <selection activeCell="G20" sqref="G20"/>
    </sheetView>
  </sheetViews>
  <sheetFormatPr defaultColWidth="9.33203125" defaultRowHeight="15" customHeight="1" x14ac:dyDescent="0.2"/>
  <cols>
    <col min="1" max="1" width="5.83203125" style="83" customWidth="1"/>
    <col min="2" max="2" width="18.83203125" style="68" customWidth="1"/>
    <col min="3" max="3" width="75.83203125" style="59" customWidth="1"/>
    <col min="4" max="4" width="7.83203125" style="1932" customWidth="1"/>
    <col min="5" max="5" width="7.83203125" style="379" customWidth="1"/>
    <col min="6" max="6" width="7.83203125" style="380" customWidth="1"/>
    <col min="7" max="7" width="9.33203125" style="381" customWidth="1"/>
    <col min="8" max="8" width="65.83203125" style="6" customWidth="1"/>
    <col min="9" max="9" width="10" style="6" customWidth="1"/>
    <col min="10" max="10" width="9.33203125" style="59"/>
    <col min="11" max="11" width="71.6640625" style="106" customWidth="1"/>
    <col min="12" max="16384" width="9.33203125" style="59"/>
  </cols>
  <sheetData>
    <row r="1" spans="1:11" s="2062" customFormat="1" ht="45" customHeight="1" thickBot="1" x14ac:dyDescent="0.25">
      <c r="A1" s="2523" t="s">
        <v>2336</v>
      </c>
      <c r="B1" s="2524"/>
      <c r="C1" s="2042" t="s">
        <v>1058</v>
      </c>
      <c r="D1" s="2041" t="s">
        <v>1059</v>
      </c>
      <c r="E1" s="2518"/>
      <c r="F1" s="2519"/>
      <c r="G1" s="2519"/>
      <c r="H1" s="2519"/>
      <c r="I1" s="2519"/>
      <c r="J1" s="2061"/>
      <c r="K1" s="378"/>
    </row>
    <row r="2" spans="1:11" s="1157" customFormat="1" ht="36" customHeight="1" thickBot="1" x14ac:dyDescent="0.25">
      <c r="A2" s="1158" t="s">
        <v>88</v>
      </c>
      <c r="B2" s="1158" t="s">
        <v>1425</v>
      </c>
      <c r="C2" s="1159" t="s">
        <v>1165</v>
      </c>
      <c r="D2" s="1158" t="s">
        <v>45</v>
      </c>
      <c r="E2" s="1160" t="s">
        <v>1189</v>
      </c>
      <c r="F2" s="1161" t="s">
        <v>1190</v>
      </c>
      <c r="G2" s="1162" t="s">
        <v>2573</v>
      </c>
      <c r="H2" s="1163" t="s">
        <v>1118</v>
      </c>
      <c r="I2" s="1164" t="s">
        <v>2424</v>
      </c>
    </row>
    <row r="3" spans="1:11" ht="92.25" customHeight="1" thickBot="1" x14ac:dyDescent="0.25">
      <c r="A3" s="2504" t="str">
        <f>OF!A109</f>
        <v>OF22</v>
      </c>
      <c r="B3" s="2487" t="str">
        <f>OF!B109</f>
        <v>Wetland as a % of Its Contributing Area (Catchment)</v>
      </c>
      <c r="C3" s="345" t="str">
        <f>OF!C109</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3" s="382"/>
      <c r="E3" s="398"/>
      <c r="F3" s="404"/>
      <c r="G3" s="1042">
        <f>MAX(F4:F7)/MAX(E4:E7)</f>
        <v>0</v>
      </c>
      <c r="H3" s="2520" t="s">
        <v>1877</v>
      </c>
      <c r="I3" s="2491" t="s">
        <v>2355</v>
      </c>
    </row>
    <row r="4" spans="1:11" ht="15" customHeight="1" x14ac:dyDescent="0.2">
      <c r="A4" s="2504"/>
      <c r="B4" s="2487"/>
      <c r="C4" s="1888" t="str">
        <f>OF!C110</f>
        <v>&lt;0.01, or catchment size unknown due to stormwater pipes that collect water from an indeterminate area.</v>
      </c>
      <c r="D4" s="218">
        <f>OF!D110</f>
        <v>0</v>
      </c>
      <c r="E4" s="385">
        <v>0</v>
      </c>
      <c r="F4" s="386">
        <f>D4*E4</f>
        <v>0</v>
      </c>
      <c r="G4" s="405"/>
      <c r="H4" s="2521"/>
      <c r="I4" s="2492"/>
    </row>
    <row r="5" spans="1:11" ht="15" customHeight="1" x14ac:dyDescent="0.2">
      <c r="A5" s="2504"/>
      <c r="B5" s="2487"/>
      <c r="C5" s="1889" t="str">
        <f>OF!C111</f>
        <v>0.01 to 0.1.</v>
      </c>
      <c r="D5" s="203">
        <f>OF!D111</f>
        <v>0</v>
      </c>
      <c r="E5" s="385">
        <v>1</v>
      </c>
      <c r="F5" s="386">
        <f>D5*E5</f>
        <v>0</v>
      </c>
      <c r="G5" s="402"/>
      <c r="H5" s="2521"/>
      <c r="I5" s="2492"/>
    </row>
    <row r="6" spans="1:11" ht="15" customHeight="1" x14ac:dyDescent="0.2">
      <c r="A6" s="2504"/>
      <c r="B6" s="2487"/>
      <c r="C6" s="1889" t="str">
        <f>OF!C112</f>
        <v>0.1 to 1.</v>
      </c>
      <c r="D6" s="203">
        <f>OF!D112</f>
        <v>0</v>
      </c>
      <c r="E6" s="385">
        <v>2</v>
      </c>
      <c r="F6" s="386">
        <f>D6*E6</f>
        <v>0</v>
      </c>
      <c r="G6" s="402"/>
      <c r="H6" s="2521"/>
      <c r="I6" s="2492"/>
    </row>
    <row r="7" spans="1:11" ht="27" customHeight="1" thickBot="1" x14ac:dyDescent="0.25">
      <c r="A7" s="2504"/>
      <c r="B7" s="2487"/>
      <c r="C7" s="1890" t="str">
        <f>OF!C113</f>
        <v xml:space="preserve">&gt;1 (wetland is larger than its catchment (e.g., wetland with flat surrounding terrain and no inlet, or is entirely isolated by dikes, or is a raised bog). </v>
      </c>
      <c r="D7" s="232">
        <f>OF!D113</f>
        <v>0</v>
      </c>
      <c r="E7" s="389">
        <v>3</v>
      </c>
      <c r="F7" s="400">
        <f>D7*E7</f>
        <v>0</v>
      </c>
      <c r="G7" s="388"/>
      <c r="H7" s="2522"/>
      <c r="I7" s="2494"/>
    </row>
    <row r="8" spans="1:11" ht="26.25" customHeight="1" thickBot="1" x14ac:dyDescent="0.25">
      <c r="A8" s="2495" t="str">
        <f>OF!A122</f>
        <v>OF25</v>
      </c>
      <c r="B8" s="2486" t="str">
        <f>OF!B122</f>
        <v>Aspect</v>
      </c>
      <c r="C8" s="348" t="str">
        <f>OF!C122</f>
        <v>The overland flow direction of most surface water (in streams, rivers, or runoff) that enters the AA is:</v>
      </c>
      <c r="D8" s="382"/>
      <c r="E8" s="382"/>
      <c r="F8" s="401"/>
      <c r="G8" s="393">
        <f>MAX(F9:F11)/MAX(E9:E11)</f>
        <v>0.66666666666666663</v>
      </c>
      <c r="H8" s="2368" t="s">
        <v>579</v>
      </c>
      <c r="I8" s="2496" t="s">
        <v>2356</v>
      </c>
    </row>
    <row r="9" spans="1:11" ht="15" customHeight="1" x14ac:dyDescent="0.2">
      <c r="A9" s="2484"/>
      <c r="B9" s="2487"/>
      <c r="C9" s="1888" t="str">
        <f>OF!C123</f>
        <v>Northward (N, NE). north-facing contributing area.</v>
      </c>
      <c r="D9" s="218">
        <f>OF!D123</f>
        <v>0</v>
      </c>
      <c r="E9" s="385">
        <v>1</v>
      </c>
      <c r="F9" s="386">
        <f>D9*E9</f>
        <v>0</v>
      </c>
      <c r="G9" s="394"/>
      <c r="H9" s="2369"/>
      <c r="I9" s="2492"/>
    </row>
    <row r="10" spans="1:11" ht="15" customHeight="1" x14ac:dyDescent="0.2">
      <c r="A10" s="2484"/>
      <c r="B10" s="2487"/>
      <c r="C10" s="1888" t="str">
        <f>OF!C124</f>
        <v>Southward (S, SW). south-facing contributing area.</v>
      </c>
      <c r="D10" s="218">
        <f>OF!D124</f>
        <v>0</v>
      </c>
      <c r="E10" s="385">
        <v>3</v>
      </c>
      <c r="F10" s="386">
        <f>D10*E10</f>
        <v>0</v>
      </c>
      <c r="G10" s="396"/>
      <c r="H10" s="2369"/>
      <c r="I10" s="2492"/>
    </row>
    <row r="11" spans="1:11" ht="15" customHeight="1" thickBot="1" x14ac:dyDescent="0.25">
      <c r="A11" s="2485"/>
      <c r="B11" s="2488"/>
      <c r="C11" s="1891" t="str">
        <f>OF!C125</f>
        <v>Other (E, SE, W, NW), or no detectable uphill slope or input channel (flat).</v>
      </c>
      <c r="D11" s="277">
        <f>OF!D125</f>
        <v>1</v>
      </c>
      <c r="E11" s="390">
        <v>2</v>
      </c>
      <c r="F11" s="391">
        <f>D11*E11</f>
        <v>2</v>
      </c>
      <c r="G11" s="397"/>
      <c r="H11" s="2370"/>
      <c r="I11" s="2493"/>
    </row>
    <row r="12" spans="1:11" ht="21" customHeight="1" thickBot="1" x14ac:dyDescent="0.25">
      <c r="A12" s="2495" t="str">
        <f>OF!A126</f>
        <v>OF26</v>
      </c>
      <c r="B12" s="2505" t="str">
        <f>OF!B126</f>
        <v>Internal Flow Distance (Path Length)</v>
      </c>
      <c r="C12" s="348" t="str">
        <f>OF!C126</f>
        <v xml:space="preserve">The horizontal flow distance from the wetland's inlet to outlet is: </v>
      </c>
      <c r="D12" s="382"/>
      <c r="E12" s="382"/>
      <c r="F12" s="383"/>
      <c r="G12" s="384">
        <f>MAX(F13:F18)/MAX(E13:E18)</f>
        <v>1</v>
      </c>
      <c r="H12" s="2368" t="s">
        <v>1001</v>
      </c>
      <c r="I12" s="2491" t="s">
        <v>1093</v>
      </c>
      <c r="K12" s="106" t="s">
        <v>912</v>
      </c>
    </row>
    <row r="13" spans="1:11" ht="15" customHeight="1" x14ac:dyDescent="0.2">
      <c r="A13" s="2484"/>
      <c r="B13" s="2515"/>
      <c r="C13" s="1888" t="str">
        <f>OF!C127</f>
        <v>&lt;10 m.</v>
      </c>
      <c r="D13" s="218">
        <f>OF!D127</f>
        <v>0</v>
      </c>
      <c r="E13" s="385">
        <v>0</v>
      </c>
      <c r="F13" s="386">
        <f t="shared" ref="F13:F18" si="0">D13*E13</f>
        <v>0</v>
      </c>
      <c r="G13" s="402"/>
      <c r="H13" s="2369"/>
      <c r="I13" s="2492"/>
    </row>
    <row r="14" spans="1:11" ht="15" customHeight="1" x14ac:dyDescent="0.2">
      <c r="A14" s="2484"/>
      <c r="B14" s="2515"/>
      <c r="C14" s="1889" t="str">
        <f>OF!C128</f>
        <v>10 - 50 m.</v>
      </c>
      <c r="D14" s="203">
        <f>OF!D128</f>
        <v>0</v>
      </c>
      <c r="E14" s="385">
        <v>1</v>
      </c>
      <c r="F14" s="386">
        <f t="shared" si="0"/>
        <v>0</v>
      </c>
      <c r="G14" s="402"/>
      <c r="H14" s="2369"/>
      <c r="I14" s="2492"/>
    </row>
    <row r="15" spans="1:11" ht="15" customHeight="1" x14ac:dyDescent="0.2">
      <c r="A15" s="2484"/>
      <c r="B15" s="2515"/>
      <c r="C15" s="1889" t="str">
        <f>OF!C129</f>
        <v>50 - 100 m.</v>
      </c>
      <c r="D15" s="203">
        <f>OF!D129</f>
        <v>0</v>
      </c>
      <c r="E15" s="385">
        <v>2</v>
      </c>
      <c r="F15" s="386">
        <f t="shared" si="0"/>
        <v>0</v>
      </c>
      <c r="G15" s="402"/>
      <c r="H15" s="2369"/>
      <c r="I15" s="2492"/>
    </row>
    <row r="16" spans="1:11" ht="15" customHeight="1" x14ac:dyDescent="0.2">
      <c r="A16" s="2484"/>
      <c r="B16" s="2515"/>
      <c r="C16" s="1889" t="str">
        <f>OF!C130</f>
        <v>100 - 1000 m.</v>
      </c>
      <c r="D16" s="203">
        <f>OF!D130</f>
        <v>0</v>
      </c>
      <c r="E16" s="385">
        <v>3</v>
      </c>
      <c r="F16" s="386">
        <f t="shared" si="0"/>
        <v>0</v>
      </c>
      <c r="G16" s="402"/>
      <c r="H16" s="2369"/>
      <c r="I16" s="2492"/>
    </row>
    <row r="17" spans="1:9" ht="15" customHeight="1" x14ac:dyDescent="0.2">
      <c r="A17" s="2484"/>
      <c r="B17" s="2515"/>
      <c r="C17" s="1889" t="str">
        <f>OF!C131</f>
        <v>1- 2 km.</v>
      </c>
      <c r="D17" s="203">
        <f>OF!D131</f>
        <v>0</v>
      </c>
      <c r="E17" s="385">
        <v>4</v>
      </c>
      <c r="F17" s="386">
        <f t="shared" si="0"/>
        <v>0</v>
      </c>
      <c r="G17" s="402"/>
      <c r="H17" s="2369"/>
      <c r="I17" s="2492"/>
    </row>
    <row r="18" spans="1:9" ht="15" customHeight="1" thickBot="1" x14ac:dyDescent="0.25">
      <c r="A18" s="2484"/>
      <c r="B18" s="2515"/>
      <c r="C18" s="1890" t="str">
        <f>OF!C132</f>
        <v>&gt;2 km, or wetland lacks an inlet and outlet.</v>
      </c>
      <c r="D18" s="232">
        <f>OF!D132</f>
        <v>1</v>
      </c>
      <c r="E18" s="389">
        <v>6</v>
      </c>
      <c r="F18" s="400">
        <f t="shared" si="0"/>
        <v>6</v>
      </c>
      <c r="G18" s="388"/>
      <c r="H18" s="2370"/>
      <c r="I18" s="2494"/>
    </row>
    <row r="19" spans="1:9" ht="45" customHeight="1" thickBot="1" x14ac:dyDescent="0.25">
      <c r="A19" s="1584" t="str">
        <f>OF!A133</f>
        <v>OF27</v>
      </c>
      <c r="B19" s="113" t="str">
        <f>OF!B133</f>
        <v>Growing Degree Days</v>
      </c>
      <c r="C19" s="1584" t="str">
        <f>OF!C133</f>
        <v>In Google Earth, open the KMZ file that accompanies this calculator, called NB-PEI_GrowingDegreeDays. Place your cursor over the AA and left-click. From the pop-up, enter the GRIDCODE in the next column.</v>
      </c>
      <c r="D19" s="2044">
        <f>OF!D133</f>
        <v>2135</v>
      </c>
      <c r="E19" s="2045"/>
      <c r="F19" s="2046"/>
      <c r="G19" s="1583">
        <f>IF((GrowD&lt;1),"",(GrowD-1305)/1328)</f>
        <v>0.625</v>
      </c>
      <c r="H19" s="1571" t="s">
        <v>1492</v>
      </c>
      <c r="I19" s="1572" t="s">
        <v>1661</v>
      </c>
    </row>
    <row r="20" spans="1:9" ht="60" customHeight="1" thickBot="1" x14ac:dyDescent="0.25">
      <c r="A20" s="2501" t="str">
        <f>F!A69</f>
        <v>F12</v>
      </c>
      <c r="B20" s="2515" t="str">
        <f>F!B69</f>
        <v xml:space="preserve">Ground Irregularity </v>
      </c>
      <c r="C20" s="487"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20" s="398"/>
      <c r="E20" s="398"/>
      <c r="F20" s="404"/>
      <c r="G20" s="2043">
        <f>MAX(F21:F23)/MAX(E21:E23)</f>
        <v>0.66666666666666663</v>
      </c>
      <c r="H20" s="2489" t="s">
        <v>1789</v>
      </c>
      <c r="I20" s="2491" t="s">
        <v>2357</v>
      </c>
    </row>
    <row r="21" spans="1:9" ht="27" customHeight="1" x14ac:dyDescent="0.2">
      <c r="A21" s="2484"/>
      <c r="B21" s="2487"/>
      <c r="C21" s="356" t="str">
        <f>F!C70</f>
        <v>Few or none (minimal microtopography; &lt;1% of the land has such features, or entire AA is always water-covered).</v>
      </c>
      <c r="D21" s="220">
        <f>F!D70</f>
        <v>0</v>
      </c>
      <c r="E21" s="385">
        <v>1</v>
      </c>
      <c r="F21" s="400">
        <f>D21*E21</f>
        <v>0</v>
      </c>
      <c r="G21" s="407"/>
      <c r="H21" s="2371"/>
      <c r="I21" s="2492"/>
    </row>
    <row r="22" spans="1:9" ht="15" customHeight="1" x14ac:dyDescent="0.2">
      <c r="A22" s="2484"/>
      <c r="B22" s="2487"/>
      <c r="C22" s="357" t="str">
        <f>F!C71</f>
        <v>Intermediate.</v>
      </c>
      <c r="D22" s="221">
        <f>F!D71</f>
        <v>1</v>
      </c>
      <c r="E22" s="385">
        <v>2</v>
      </c>
      <c r="F22" s="400">
        <f>D22*E22</f>
        <v>2</v>
      </c>
      <c r="G22" s="395"/>
      <c r="H22" s="2371"/>
      <c r="I22" s="2492"/>
    </row>
    <row r="23" spans="1:9" ht="15" customHeight="1" thickBot="1" x14ac:dyDescent="0.25">
      <c r="A23" s="2485"/>
      <c r="B23" s="2488"/>
      <c r="C23" s="358" t="str">
        <f>F!C72</f>
        <v>Several (extensive micro-topography).</v>
      </c>
      <c r="D23" s="226">
        <f>F!D72</f>
        <v>0</v>
      </c>
      <c r="E23" s="390">
        <v>3</v>
      </c>
      <c r="F23" s="391">
        <f>D23*E23</f>
        <v>0</v>
      </c>
      <c r="G23" s="397"/>
      <c r="H23" s="2490"/>
      <c r="I23" s="2494"/>
    </row>
    <row r="24" spans="1:9" ht="45" customHeight="1" thickBot="1" x14ac:dyDescent="0.25">
      <c r="A24" s="2517" t="str">
        <f>F!A77</f>
        <v>F14</v>
      </c>
      <c r="B24" s="2498" t="str">
        <f>F!B77</f>
        <v>Soil Texture</v>
      </c>
      <c r="C24" s="362" t="str">
        <f>F!C77</f>
        <v xml:space="preserve">In parts of the AA that lack persistent water, the texture of soil in the uppermost layer is mostly:  [To determine this, use a trowel to check in at least 3 widely spaced locations, and use the soil texture key (in Appendix A of the Manual).] </v>
      </c>
      <c r="D24" s="382"/>
      <c r="E24" s="398"/>
      <c r="F24" s="404"/>
      <c r="G24" s="399">
        <f>MAX(F25:F29)/MAX(E25:E29)</f>
        <v>0.2</v>
      </c>
      <c r="H24" s="2371" t="s">
        <v>1444</v>
      </c>
      <c r="I24" s="2496" t="s">
        <v>584</v>
      </c>
    </row>
    <row r="25" spans="1:9" ht="27" customHeight="1" x14ac:dyDescent="0.2">
      <c r="A25" s="2517"/>
      <c r="B25" s="2498"/>
      <c r="C25" s="363" t="str">
        <f>F!C78</f>
        <v>Loamy: soils that may contain a little fine grit and do not make a "ribbon" longer than 2 cm when moistened, rolled, squeezed, and extended between thumb and forefinger.</v>
      </c>
      <c r="D25" s="223">
        <f>F!D78</f>
        <v>0</v>
      </c>
      <c r="E25" s="385">
        <v>3</v>
      </c>
      <c r="F25" s="386">
        <f>D25*E25</f>
        <v>0</v>
      </c>
      <c r="G25" s="405"/>
      <c r="H25" s="2371"/>
      <c r="I25" s="2492"/>
    </row>
    <row r="26" spans="1:9" ht="27" customHeight="1" x14ac:dyDescent="0.2">
      <c r="A26" s="2517"/>
      <c r="B26" s="2498"/>
      <c r="C26" s="364" t="str">
        <f>F!C79</f>
        <v>Fines: includes silt, clay, silt, soils that make a ribbon longer than 2 cm when moistened, rolled, squeezed, and extended between thumb and forefinger.</v>
      </c>
      <c r="D26" s="224">
        <f>F!D79</f>
        <v>1</v>
      </c>
      <c r="E26" s="385">
        <v>1</v>
      </c>
      <c r="F26" s="386">
        <f>D26*E26</f>
        <v>1</v>
      </c>
      <c r="G26" s="402"/>
      <c r="H26" s="2371"/>
      <c r="I26" s="2492"/>
    </row>
    <row r="27" spans="1:9" ht="18" customHeight="1" x14ac:dyDescent="0.2">
      <c r="A27" s="2517"/>
      <c r="B27" s="2498"/>
      <c r="C27" s="364" t="str">
        <f>F!C80</f>
        <v>Deep Peat, to 40 cm depth or greater.</v>
      </c>
      <c r="D27" s="224">
        <f>F!D80</f>
        <v>0</v>
      </c>
      <c r="E27" s="385">
        <v>5</v>
      </c>
      <c r="F27" s="386">
        <f>D27*E27</f>
        <v>0</v>
      </c>
      <c r="G27" s="402"/>
      <c r="H27" s="2371"/>
      <c r="I27" s="2492"/>
    </row>
    <row r="28" spans="1:9" ht="18" customHeight="1" x14ac:dyDescent="0.2">
      <c r="A28" s="2517"/>
      <c r="B28" s="2498"/>
      <c r="C28" s="364" t="str">
        <f>F!C81</f>
        <v xml:space="preserve">Shallow Peat or organic &lt;40 cm deep. </v>
      </c>
      <c r="D28" s="224">
        <f>F!D81</f>
        <v>0</v>
      </c>
      <c r="E28" s="385">
        <v>4</v>
      </c>
      <c r="F28" s="386">
        <f>D28*E28</f>
        <v>0</v>
      </c>
      <c r="G28" s="402"/>
      <c r="H28" s="2371"/>
      <c r="I28" s="2492"/>
    </row>
    <row r="29" spans="1:9" ht="27" customHeight="1" thickBot="1" x14ac:dyDescent="0.25">
      <c r="A29" s="2517"/>
      <c r="B29" s="2498"/>
      <c r="C29" s="1225" t="str">
        <f>F!C82</f>
        <v>Coarse: includes sand, loamy sand, gravel, cobble, soils that do not make a ribbon when moistened, rolled, squeezed, and extended between thumb and forefinger.</v>
      </c>
      <c r="D29" s="235">
        <f>F!D82</f>
        <v>0</v>
      </c>
      <c r="E29" s="389">
        <v>2</v>
      </c>
      <c r="F29" s="400">
        <f>D29*E29</f>
        <v>0</v>
      </c>
      <c r="G29" s="388"/>
      <c r="H29" s="2371"/>
      <c r="I29" s="2493"/>
    </row>
    <row r="30" spans="1:9" ht="30" customHeight="1" thickBot="1" x14ac:dyDescent="0.25">
      <c r="A30" s="2495" t="str">
        <f>F!A140</f>
        <v>F27</v>
      </c>
      <c r="B30" s="2486" t="str">
        <f>F!B140</f>
        <v>% of AA that is Flooded Only Seasonally</v>
      </c>
      <c r="C30" s="345" t="str">
        <f>F!C140</f>
        <v>The percentage of the AA's area that is between the annual high water and the annual low water (surface water) is:</v>
      </c>
      <c r="D30" s="382"/>
      <c r="E30" s="382"/>
      <c r="F30" s="403"/>
      <c r="G30" s="384">
        <f>IF((AllSat1&gt;0),"",MAX(F31:F35)/MAX(E31:E35))</f>
        <v>0.75</v>
      </c>
      <c r="H30" s="2489" t="s">
        <v>1792</v>
      </c>
      <c r="I30" s="2491" t="s">
        <v>265</v>
      </c>
    </row>
    <row r="31" spans="1:9" ht="15" customHeight="1" x14ac:dyDescent="0.2">
      <c r="A31" s="2484"/>
      <c r="B31" s="2487"/>
      <c r="C31" s="353" t="str">
        <f>F!C141</f>
        <v>None, or &lt;0.01 hectare and &lt;1% of the AA.  SKIP to F29.</v>
      </c>
      <c r="D31" s="296">
        <f>F!D141</f>
        <v>0</v>
      </c>
      <c r="E31" s="385">
        <v>0</v>
      </c>
      <c r="F31" s="400">
        <f>D31*E31</f>
        <v>0</v>
      </c>
      <c r="G31" s="387"/>
      <c r="H31" s="2371"/>
      <c r="I31" s="2492"/>
    </row>
    <row r="32" spans="1:9" ht="15" customHeight="1" x14ac:dyDescent="0.2">
      <c r="A32" s="2484"/>
      <c r="B32" s="2487"/>
      <c r="C32" s="354" t="str">
        <f>F!C142</f>
        <v>1-20% of the AA, or &lt;1% but &gt;0.01 ha.</v>
      </c>
      <c r="D32" s="222">
        <f>F!D142</f>
        <v>0</v>
      </c>
      <c r="E32" s="385">
        <v>1</v>
      </c>
      <c r="F32" s="400">
        <f>D32*E32</f>
        <v>0</v>
      </c>
      <c r="G32" s="388"/>
      <c r="H32" s="2371"/>
      <c r="I32" s="2492"/>
    </row>
    <row r="33" spans="1:9" ht="15" customHeight="1" x14ac:dyDescent="0.2">
      <c r="A33" s="2484"/>
      <c r="B33" s="2487"/>
      <c r="C33" s="354" t="str">
        <f>F!C143</f>
        <v>20-50% of the AA.</v>
      </c>
      <c r="D33" s="222">
        <f>F!D143</f>
        <v>0</v>
      </c>
      <c r="E33" s="385">
        <v>2</v>
      </c>
      <c r="F33" s="400">
        <f>D33*E33</f>
        <v>0</v>
      </c>
      <c r="G33" s="388"/>
      <c r="H33" s="2371"/>
      <c r="I33" s="2492"/>
    </row>
    <row r="34" spans="1:9" ht="15" customHeight="1" x14ac:dyDescent="0.2">
      <c r="A34" s="2484"/>
      <c r="B34" s="2487"/>
      <c r="C34" s="354" t="str">
        <f>F!C144</f>
        <v>50-95% of the AA.</v>
      </c>
      <c r="D34" s="222">
        <f>F!D144</f>
        <v>1</v>
      </c>
      <c r="E34" s="385">
        <v>3</v>
      </c>
      <c r="F34" s="400">
        <f>D34*E34</f>
        <v>3</v>
      </c>
      <c r="G34" s="388"/>
      <c r="H34" s="2371"/>
      <c r="I34" s="2492"/>
    </row>
    <row r="35" spans="1:9" ht="15" customHeight="1" thickBot="1" x14ac:dyDescent="0.25">
      <c r="A35" s="2485"/>
      <c r="B35" s="2488"/>
      <c r="C35" s="358" t="str">
        <f>F!C145</f>
        <v xml:space="preserve">&gt;95% of the AA. </v>
      </c>
      <c r="D35" s="226">
        <f>F!D145</f>
        <v>0</v>
      </c>
      <c r="E35" s="390">
        <v>4</v>
      </c>
      <c r="F35" s="391">
        <f>D35*E35</f>
        <v>0</v>
      </c>
      <c r="G35" s="392"/>
      <c r="H35" s="2490"/>
      <c r="I35" s="2494"/>
    </row>
    <row r="36" spans="1:9" ht="30" customHeight="1" thickBot="1" x14ac:dyDescent="0.25">
      <c r="A36" s="2483" t="str">
        <f>F!A146</f>
        <v>F28</v>
      </c>
      <c r="B36" s="2505" t="str">
        <f>F!B146</f>
        <v>Annual Water Fluctuation Range</v>
      </c>
      <c r="C36" s="355" t="str">
        <f>F!C146</f>
        <v>The annual fluctuation in surface water level within most of the parts of the AA that contain surface water at least temporarily is:</v>
      </c>
      <c r="D36" s="382"/>
      <c r="E36" s="382"/>
      <c r="F36" s="403"/>
      <c r="G36" s="393">
        <f>IF((AllSat1=1),"",IF((NoSeasonal=1),"",MAX(F37:F41)/MAX(E37:E41)))</f>
        <v>1</v>
      </c>
      <c r="H36" s="2489" t="s">
        <v>1174</v>
      </c>
      <c r="I36" s="2491" t="s">
        <v>267</v>
      </c>
    </row>
    <row r="37" spans="1:9" ht="15" customHeight="1" x14ac:dyDescent="0.2">
      <c r="A37" s="2484"/>
      <c r="B37" s="2487"/>
      <c r="C37" s="356" t="str">
        <f>F!C147</f>
        <v>&lt;10 cm change (stable or nearly so).</v>
      </c>
      <c r="D37" s="220">
        <f>F!D147</f>
        <v>0</v>
      </c>
      <c r="E37" s="385">
        <v>0</v>
      </c>
      <c r="F37" s="400">
        <f>D37*E37</f>
        <v>0</v>
      </c>
      <c r="G37" s="394"/>
      <c r="H37" s="2371"/>
      <c r="I37" s="2492"/>
    </row>
    <row r="38" spans="1:9" ht="15" customHeight="1" x14ac:dyDescent="0.2">
      <c r="A38" s="2484"/>
      <c r="B38" s="2487"/>
      <c r="C38" s="357" t="str">
        <f>F!C148</f>
        <v>10 cm - 50 cm change.</v>
      </c>
      <c r="D38" s="221">
        <f>F!D148</f>
        <v>0</v>
      </c>
      <c r="E38" s="385">
        <v>2</v>
      </c>
      <c r="F38" s="400">
        <f>D38*E38</f>
        <v>0</v>
      </c>
      <c r="G38" s="396"/>
      <c r="H38" s="2371"/>
      <c r="I38" s="2492"/>
    </row>
    <row r="39" spans="1:9" ht="15" customHeight="1" x14ac:dyDescent="0.2">
      <c r="A39" s="2484"/>
      <c r="B39" s="2487"/>
      <c r="C39" s="357" t="str">
        <f>F!C149</f>
        <v>0.5 - 1 m change.</v>
      </c>
      <c r="D39" s="221">
        <f>F!D149</f>
        <v>0</v>
      </c>
      <c r="E39" s="385">
        <v>3</v>
      </c>
      <c r="F39" s="400">
        <f>D39*E39</f>
        <v>0</v>
      </c>
      <c r="G39" s="396"/>
      <c r="H39" s="2371"/>
      <c r="I39" s="2492"/>
    </row>
    <row r="40" spans="1:9" ht="15" customHeight="1" x14ac:dyDescent="0.2">
      <c r="A40" s="2484"/>
      <c r="B40" s="2487"/>
      <c r="C40" s="357" t="str">
        <f>F!C150</f>
        <v>1-2 m change.</v>
      </c>
      <c r="D40" s="221">
        <f>F!D150</f>
        <v>0</v>
      </c>
      <c r="E40" s="389">
        <v>4</v>
      </c>
      <c r="F40" s="400">
        <f>D40*E40</f>
        <v>0</v>
      </c>
      <c r="G40" s="396"/>
      <c r="H40" s="2371"/>
      <c r="I40" s="2493"/>
    </row>
    <row r="41" spans="1:9" ht="15" customHeight="1" thickBot="1" x14ac:dyDescent="0.25">
      <c r="A41" s="2485"/>
      <c r="B41" s="2488"/>
      <c r="C41" s="357" t="str">
        <f>F!C151</f>
        <v>&gt;2 m change.</v>
      </c>
      <c r="D41" s="221">
        <f>F!D151</f>
        <v>1</v>
      </c>
      <c r="E41" s="390">
        <v>5</v>
      </c>
      <c r="F41" s="391">
        <f>D41*E41</f>
        <v>5</v>
      </c>
      <c r="G41" s="397"/>
      <c r="H41" s="2490"/>
      <c r="I41" s="2494"/>
    </row>
    <row r="42" spans="1:9" ht="45" customHeight="1" thickBot="1" x14ac:dyDescent="0.25">
      <c r="A42" s="2500" t="str">
        <f>F!A163</f>
        <v>F31</v>
      </c>
      <c r="B42" s="2505" t="str">
        <f>F!B163</f>
        <v>% of Water That Is Ponded (not Flowing)</v>
      </c>
      <c r="C42" s="355" t="str">
        <f>F!C163</f>
        <v>During most times when surface water is present, the percentage that is (1) ponded (stagnant, or flows so slowly that fine sediment is not held in suspension) AND (2) is likely to be deeper than 0.5 m in some places, is:</v>
      </c>
      <c r="D42" s="382"/>
      <c r="E42" s="382"/>
      <c r="F42" s="383"/>
      <c r="G42" s="384">
        <f>IF((AllSat1=1),"",MAX(F43:F47)/MAX(E43:E47))</f>
        <v>0</v>
      </c>
      <c r="H42" s="2489" t="s">
        <v>1874</v>
      </c>
      <c r="I42" s="2491" t="s">
        <v>266</v>
      </c>
    </row>
    <row r="43" spans="1:9" ht="15" customHeight="1" x14ac:dyDescent="0.2">
      <c r="A43" s="2501"/>
      <c r="B43" s="2515"/>
      <c r="C43" s="356" t="str">
        <f>F!C164</f>
        <v>&lt;5% of the water, or it occupies &lt;100 sq.m cumulatively. Nearly all the surface water is flowing. SKIP to F34.</v>
      </c>
      <c r="D43" s="934">
        <f>F!D164</f>
        <v>1</v>
      </c>
      <c r="E43" s="385">
        <v>0</v>
      </c>
      <c r="F43" s="400">
        <f>D43*E43</f>
        <v>0</v>
      </c>
      <c r="G43" s="388"/>
      <c r="H43" s="2371"/>
      <c r="I43" s="2492"/>
    </row>
    <row r="44" spans="1:9" ht="15" customHeight="1" x14ac:dyDescent="0.2">
      <c r="A44" s="2501"/>
      <c r="B44" s="2515"/>
      <c r="C44" s="357" t="str">
        <f>F!C165</f>
        <v>5-30% of the water.</v>
      </c>
      <c r="D44" s="935">
        <f>F!D165</f>
        <v>0</v>
      </c>
      <c r="E44" s="385">
        <v>2</v>
      </c>
      <c r="F44" s="400">
        <f>D44*E44</f>
        <v>0</v>
      </c>
      <c r="G44" s="388"/>
      <c r="H44" s="2371"/>
      <c r="I44" s="2492"/>
    </row>
    <row r="45" spans="1:9" ht="15" customHeight="1" x14ac:dyDescent="0.2">
      <c r="A45" s="2501"/>
      <c r="B45" s="2515"/>
      <c r="C45" s="357" t="str">
        <f>F!C166</f>
        <v>30-70% of the water.</v>
      </c>
      <c r="D45" s="935">
        <f>F!D166</f>
        <v>0</v>
      </c>
      <c r="E45" s="385">
        <v>3</v>
      </c>
      <c r="F45" s="400">
        <f>D45*E45</f>
        <v>0</v>
      </c>
      <c r="G45" s="388"/>
      <c r="H45" s="2371"/>
      <c r="I45" s="2492"/>
    </row>
    <row r="46" spans="1:9" ht="15" customHeight="1" x14ac:dyDescent="0.2">
      <c r="A46" s="2501"/>
      <c r="B46" s="2515"/>
      <c r="C46" s="357" t="str">
        <f>F!C167</f>
        <v>70-95% of the water.</v>
      </c>
      <c r="D46" s="935">
        <f>F!D167</f>
        <v>0</v>
      </c>
      <c r="E46" s="385">
        <v>4</v>
      </c>
      <c r="F46" s="400">
        <f>D46*E46</f>
        <v>0</v>
      </c>
      <c r="G46" s="388"/>
      <c r="H46" s="2371"/>
      <c r="I46" s="2492"/>
    </row>
    <row r="47" spans="1:9" ht="15" customHeight="1" thickBot="1" x14ac:dyDescent="0.25">
      <c r="A47" s="2502"/>
      <c r="B47" s="2516"/>
      <c r="C47" s="358" t="str">
        <f>F!C168</f>
        <v>&gt;95% of the water.</v>
      </c>
      <c r="D47" s="955">
        <f>F!D168</f>
        <v>0</v>
      </c>
      <c r="E47" s="390">
        <v>5</v>
      </c>
      <c r="F47" s="391">
        <f>D47*E47</f>
        <v>0</v>
      </c>
      <c r="G47" s="392"/>
      <c r="H47" s="2490"/>
      <c r="I47" s="2494"/>
    </row>
    <row r="48" spans="1:9" ht="69" customHeight="1" thickBot="1" x14ac:dyDescent="0.25">
      <c r="A48" s="2495" t="str">
        <f>F!A206</f>
        <v>F42</v>
      </c>
      <c r="B48" s="2486" t="str">
        <f>F!B206</f>
        <v>Channel Connection &amp; Outflow Duration</v>
      </c>
      <c r="C48" s="345"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48" s="382"/>
      <c r="E48" s="382"/>
      <c r="F48" s="403"/>
      <c r="G48" s="393">
        <f>MAX(F49:F53)/MAX(E49:E53)</f>
        <v>0.33333333333333331</v>
      </c>
      <c r="H48" s="2489" t="s">
        <v>1791</v>
      </c>
      <c r="I48" s="2496" t="s">
        <v>268</v>
      </c>
    </row>
    <row r="49" spans="1:9" ht="18" customHeight="1" x14ac:dyDescent="0.2">
      <c r="A49" s="2484"/>
      <c r="B49" s="2487"/>
      <c r="C49" s="130" t="str">
        <f>F!C207</f>
        <v>Persistent (surface water flows out for &gt;9 months/year).</v>
      </c>
      <c r="D49" s="218">
        <f>F!D207</f>
        <v>0</v>
      </c>
      <c r="E49" s="385">
        <v>1</v>
      </c>
      <c r="F49" s="400">
        <f>D49*E49</f>
        <v>0</v>
      </c>
      <c r="G49" s="394"/>
      <c r="H49" s="2371"/>
      <c r="I49" s="2492"/>
    </row>
    <row r="50" spans="1:9" ht="15" customHeight="1" x14ac:dyDescent="0.2">
      <c r="A50" s="2484"/>
      <c r="B50" s="2487"/>
      <c r="C50" s="74" t="str">
        <f>F!C208</f>
        <v>Seasonal (surface water flows out for 14 days to 9 months/year, not necessarily consecutive).</v>
      </c>
      <c r="D50" s="203">
        <f>F!D208</f>
        <v>1</v>
      </c>
      <c r="E50" s="385">
        <v>2</v>
      </c>
      <c r="F50" s="400">
        <f>D50*E50</f>
        <v>2</v>
      </c>
      <c r="G50" s="396"/>
      <c r="H50" s="2371"/>
      <c r="I50" s="2492"/>
    </row>
    <row r="51" spans="1:9" ht="15" customHeight="1" x14ac:dyDescent="0.2">
      <c r="A51" s="2484"/>
      <c r="B51" s="2487"/>
      <c r="C51" s="74" t="str">
        <f>F!C209</f>
        <v>Temporary (surface water flows out for &lt;14 days, not necessarily consecutive).</v>
      </c>
      <c r="D51" s="203">
        <f>F!D209</f>
        <v>0</v>
      </c>
      <c r="E51" s="385">
        <v>3</v>
      </c>
      <c r="F51" s="400">
        <f>D51*E51</f>
        <v>0</v>
      </c>
      <c r="G51" s="396"/>
      <c r="H51" s="2371"/>
      <c r="I51" s="2492"/>
    </row>
    <row r="52" spans="1:9" ht="27" customHeight="1" x14ac:dyDescent="0.2">
      <c r="A52" s="2484"/>
      <c r="B52" s="2487"/>
      <c r="C52" s="360" t="str">
        <f>F!C210</f>
        <v>None -- but maps show a stream network downslope from the AA and within a distance that is less than the AA's length. SKIP to F47 (pH Measurement).</v>
      </c>
      <c r="D52" s="278">
        <f>F!D210</f>
        <v>0</v>
      </c>
      <c r="E52" s="406">
        <v>6</v>
      </c>
      <c r="F52" s="400">
        <f>D52*E52</f>
        <v>0</v>
      </c>
      <c r="G52" s="396"/>
      <c r="H52" s="2371"/>
      <c r="I52" s="2492"/>
    </row>
    <row r="53" spans="1:9" ht="27" customHeight="1" thickBot="1" x14ac:dyDescent="0.25">
      <c r="A53" s="2485"/>
      <c r="B53" s="2488"/>
      <c r="C53" s="361" t="str">
        <f>F!C211</f>
        <v>No surface water flows out of the wetland except possibly during extreme events (&lt;once per 10 years). Or, water flows only into a wetland, ditch, or lake that lacks an outlet. SKIP to F47 (pH Measurement).</v>
      </c>
      <c r="D53" s="279">
        <f>F!D211</f>
        <v>0</v>
      </c>
      <c r="E53" s="390">
        <v>6</v>
      </c>
      <c r="F53" s="391">
        <f>D53*E53</f>
        <v>0</v>
      </c>
      <c r="G53" s="397"/>
      <c r="H53" s="2490"/>
      <c r="I53" s="2493"/>
    </row>
    <row r="54" spans="1:9" ht="30" customHeight="1" thickBot="1" x14ac:dyDescent="0.25">
      <c r="A54" s="2504" t="str">
        <f>F!A212</f>
        <v>F43</v>
      </c>
      <c r="B54" s="2487" t="str">
        <f>F!B212</f>
        <v xml:space="preserve">Outflow Confinement </v>
      </c>
      <c r="C54" s="345" t="str">
        <f>F!C212</f>
        <v>During major runoff events, in the places where surface water exits the AA or connected waters nearby, the water:</v>
      </c>
      <c r="D54" s="382"/>
      <c r="E54" s="398"/>
      <c r="F54" s="404"/>
      <c r="G54" s="399">
        <f>IF((OutNone + OutNone1&gt;0),"",IF((D57=1),0,IF((D55=1),1,0.5)))</f>
        <v>0.5</v>
      </c>
      <c r="H54" s="2371" t="s">
        <v>1800</v>
      </c>
      <c r="I54" s="2491" t="s">
        <v>269</v>
      </c>
    </row>
    <row r="55" spans="1:9" ht="42" customHeight="1" x14ac:dyDescent="0.2">
      <c r="A55" s="2504"/>
      <c r="B55" s="2487"/>
      <c r="C55" s="347" t="str">
        <f>F!C213</f>
        <v>Mostly passes through a pipe, culvert, narrowly breached dike, berm, beaver dam, or other partial obstruction (other than natural topography) that does not appear to drain the wetland artificially during most of the growing season.</v>
      </c>
      <c r="D55" s="219">
        <f>F!D213</f>
        <v>0</v>
      </c>
      <c r="E55" s="385">
        <v>3</v>
      </c>
      <c r="F55" s="386">
        <f>D55*E55</f>
        <v>0</v>
      </c>
      <c r="G55" s="405"/>
      <c r="H55" s="2371"/>
      <c r="I55" s="2492"/>
    </row>
    <row r="56" spans="1:9" ht="30" customHeight="1" x14ac:dyDescent="0.2">
      <c r="A56" s="2504"/>
      <c r="B56" s="2487"/>
      <c r="C56" s="146" t="str">
        <f>F!C214</f>
        <v>Leaves through natural exits (channels or diffuse outflow), not mainly through artificial or temporary features.</v>
      </c>
      <c r="D56" s="232">
        <f>F!D214</f>
        <v>1</v>
      </c>
      <c r="E56" s="385">
        <v>2</v>
      </c>
      <c r="F56" s="386">
        <f>D56*E56</f>
        <v>2</v>
      </c>
      <c r="G56" s="387"/>
      <c r="H56" s="2371"/>
      <c r="I56" s="2492"/>
    </row>
    <row r="57" spans="1:9" ht="40.5" customHeight="1" thickBot="1" x14ac:dyDescent="0.25">
      <c r="A57" s="2504"/>
      <c r="B57" s="2487"/>
      <c r="C57" s="146" t="str">
        <f>F!C215</f>
        <v>Is exported more quickly than usual due to ditches or pipes within the AA or connected to its outlet, or within 10 m of the AA's edge, which drain the wetland artificially, or water is pumped out of the AA.</v>
      </c>
      <c r="D57" s="232">
        <f>F!D215</f>
        <v>0</v>
      </c>
      <c r="E57" s="389">
        <v>0</v>
      </c>
      <c r="F57" s="400">
        <f>D57*E57</f>
        <v>0</v>
      </c>
      <c r="G57" s="388"/>
      <c r="H57" s="2371"/>
      <c r="I57" s="2494"/>
    </row>
    <row r="58" spans="1:9" ht="30" customHeight="1" thickBot="1" x14ac:dyDescent="0.25">
      <c r="A58" s="2495" t="str">
        <f>F!A218</f>
        <v>F46</v>
      </c>
      <c r="B58" s="2486" t="str">
        <f>F!B218</f>
        <v>Throughflow Resistance</v>
      </c>
      <c r="C58" s="345" t="str">
        <f>F!C218</f>
        <v>During its travel through the AA at the time of peak annual flow, water arriving in channels: [select only the ONE encountered by most of the incoming water].</v>
      </c>
      <c r="D58" s="382"/>
      <c r="E58" s="382"/>
      <c r="F58" s="401"/>
      <c r="G58" s="393">
        <f>IF(AND(Inflows=0,OutNone=1,OutNone1=1),"", MAX(F59:F63)/MAX(E59:E63))</f>
        <v>0.5</v>
      </c>
      <c r="H58" s="2489" t="s">
        <v>1790</v>
      </c>
      <c r="I58" s="2496" t="s">
        <v>270</v>
      </c>
    </row>
    <row r="59" spans="1:9" ht="42" customHeight="1" x14ac:dyDescent="0.2">
      <c r="A59" s="2484"/>
      <c r="B59" s="2487"/>
      <c r="C59" s="130" t="str">
        <f>F!C219</f>
        <v>Does not bump into many plant stems as it travels through the AA. Nearly all the water continues to travel in unvegetated (often incised) channels that have minimal contact with wetland vegetation, or through a zone of open water such as an instream pond or lake.</v>
      </c>
      <c r="D59" s="218">
        <f>F!D219</f>
        <v>0</v>
      </c>
      <c r="E59" s="385">
        <v>0</v>
      </c>
      <c r="F59" s="386">
        <f>D59*E59</f>
        <v>0</v>
      </c>
      <c r="G59" s="407"/>
      <c r="H59" s="2371"/>
      <c r="I59" s="2492"/>
    </row>
    <row r="60" spans="1:9" ht="14.45" customHeight="1" x14ac:dyDescent="0.2">
      <c r="A60" s="2484"/>
      <c r="B60" s="2487"/>
      <c r="C60" s="74" t="str">
        <f>F!C220</f>
        <v>Bumps into herbaceous vegetation but mostly remains in fairly straight channels.</v>
      </c>
      <c r="D60" s="203">
        <f>F!D220</f>
        <v>0</v>
      </c>
      <c r="E60" s="385">
        <v>3</v>
      </c>
      <c r="F60" s="386">
        <f>D60*E60</f>
        <v>0</v>
      </c>
      <c r="G60" s="395"/>
      <c r="H60" s="2371"/>
      <c r="I60" s="2492"/>
    </row>
    <row r="61" spans="1:9" ht="27" customHeight="1" x14ac:dyDescent="0.2">
      <c r="A61" s="2484"/>
      <c r="B61" s="2487"/>
      <c r="C61" s="74" t="str">
        <f>F!C221</f>
        <v>Bumps into herbaceous vegetation and mostly spreads throughout, or is in widely meandering, multi-branched, or braided channels.</v>
      </c>
      <c r="D61" s="203">
        <f>F!D221</f>
        <v>1</v>
      </c>
      <c r="E61" s="385">
        <v>4</v>
      </c>
      <c r="F61" s="386">
        <f>D61*E61</f>
        <v>4</v>
      </c>
      <c r="G61" s="395"/>
      <c r="H61" s="2371"/>
      <c r="I61" s="2492"/>
    </row>
    <row r="62" spans="1:9" ht="16.899999999999999" customHeight="1" x14ac:dyDescent="0.2">
      <c r="A62" s="2484"/>
      <c r="B62" s="2487"/>
      <c r="C62" s="74" t="str">
        <f>F!C222</f>
        <v>Bumps into tree trunks and/or shrub stems but mostly remains in fairly straight channels.</v>
      </c>
      <c r="D62" s="203">
        <f>F!D222</f>
        <v>0</v>
      </c>
      <c r="E62" s="385">
        <v>6</v>
      </c>
      <c r="F62" s="386">
        <f>D62*E62</f>
        <v>0</v>
      </c>
      <c r="G62" s="395"/>
      <c r="H62" s="2371"/>
      <c r="I62" s="2492"/>
    </row>
    <row r="63" spans="1:9" ht="27" customHeight="1" thickBot="1" x14ac:dyDescent="0.25">
      <c r="A63" s="2485"/>
      <c r="B63" s="2488"/>
      <c r="C63" s="367" t="str">
        <f>F!C223</f>
        <v>Bumps into tree trunks and/or shrub stems and follows a fairly indirect path from entrance to exit (meandering, multi-branched, or braided).</v>
      </c>
      <c r="D63" s="204">
        <f>F!D223</f>
        <v>0</v>
      </c>
      <c r="E63" s="390">
        <v>8</v>
      </c>
      <c r="F63" s="391">
        <f>D63*E63</f>
        <v>0</v>
      </c>
      <c r="G63" s="397"/>
      <c r="H63" s="2490"/>
      <c r="I63" s="2493"/>
    </row>
    <row r="64" spans="1:9" ht="21" customHeight="1" thickBot="1" x14ac:dyDescent="0.25">
      <c r="A64" s="2497" t="str">
        <f>F!A237</f>
        <v>F50</v>
      </c>
      <c r="B64" s="2497" t="str">
        <f>F!B237</f>
        <v>Groundwater Strength of Evidence</v>
      </c>
      <c r="C64" s="362" t="str">
        <f>F!C237</f>
        <v>Select first applicable choice:</v>
      </c>
      <c r="D64" s="382"/>
      <c r="E64" s="382"/>
      <c r="F64" s="383"/>
      <c r="G64" s="384" t="str">
        <f>IF((D67=1),"",MAX(F65:F67)/MAX(E65:E67))</f>
        <v/>
      </c>
      <c r="H64" s="2368" t="s">
        <v>2335</v>
      </c>
      <c r="I64" s="2491" t="s">
        <v>585</v>
      </c>
    </row>
    <row r="65" spans="1:9" ht="42" customHeight="1" x14ac:dyDescent="0.2">
      <c r="A65" s="2498"/>
      <c r="B65" s="2498"/>
      <c r="C65" s="363"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65" s="223">
        <f>F!D238</f>
        <v>0</v>
      </c>
      <c r="E65" s="385">
        <v>1</v>
      </c>
      <c r="F65" s="386">
        <f>D65*E65</f>
        <v>0</v>
      </c>
      <c r="G65" s="405"/>
      <c r="H65" s="2369"/>
      <c r="I65" s="2492"/>
    </row>
    <row r="66" spans="1:9" ht="32.25" customHeight="1" x14ac:dyDescent="0.2">
      <c r="A66" s="2498"/>
      <c r="B66" s="2498"/>
      <c r="C66" s="364" t="str">
        <f>F!C239</f>
        <v>Most of the AA has a slope of &gt;5%, or is very close to the base of a natural slope longer than 100 and much steeper than the slope of the AA,  AND the pH of surface water, if known, is &gt;5.5.</v>
      </c>
      <c r="D66" s="224">
        <f>F!D239</f>
        <v>0</v>
      </c>
      <c r="E66" s="385">
        <v>2</v>
      </c>
      <c r="F66" s="386">
        <f>D66*E66</f>
        <v>0</v>
      </c>
      <c r="G66" s="402"/>
      <c r="H66" s="2369"/>
      <c r="I66" s="2492"/>
    </row>
    <row r="67" spans="1:9" ht="27" customHeight="1" thickBot="1" x14ac:dyDescent="0.25">
      <c r="A67" s="2499"/>
      <c r="B67" s="2498"/>
      <c r="C67" s="1225" t="str">
        <f>F!C240</f>
        <v>Neither of above is true, although some groundwater may discharge to or flow through the AA. Or groundwater influx is unknown.</v>
      </c>
      <c r="D67" s="235">
        <f>F!D240</f>
        <v>1</v>
      </c>
      <c r="E67" s="389">
        <v>3</v>
      </c>
      <c r="F67" s="400">
        <f>D67*E67</f>
        <v>3</v>
      </c>
      <c r="G67" s="388"/>
      <c r="H67" s="2369"/>
      <c r="I67" s="2493"/>
    </row>
    <row r="68" spans="1:9" ht="21" customHeight="1" thickBot="1" x14ac:dyDescent="0.25">
      <c r="A68" s="2486" t="str">
        <f>F!A241</f>
        <v>F51</v>
      </c>
      <c r="B68" s="2486" t="str">
        <f>F!B241</f>
        <v>Internal Gradient</v>
      </c>
      <c r="C68" s="345" t="str">
        <f>F!C241</f>
        <v>The gradient along most of the flow path within the AA is:</v>
      </c>
      <c r="D68" s="1230"/>
      <c r="E68" s="382"/>
      <c r="F68" s="401"/>
      <c r="G68" s="384">
        <f>MAX(F69:F72)/MAX(E69:E72)</f>
        <v>1</v>
      </c>
      <c r="H68" s="2489" t="s">
        <v>1531</v>
      </c>
      <c r="I68" s="2491" t="s">
        <v>271</v>
      </c>
    </row>
    <row r="69" spans="1:9" ht="15" customHeight="1" x14ac:dyDescent="0.2">
      <c r="A69" s="2487"/>
      <c r="B69" s="2487"/>
      <c r="C69" s="1226" t="str">
        <f>F!C242</f>
        <v>&lt;2% or the AA has no surface water outlet (not even seasonally).</v>
      </c>
      <c r="D69" s="203">
        <f>F!D242</f>
        <v>1</v>
      </c>
      <c r="E69" s="406">
        <v>5</v>
      </c>
      <c r="F69" s="386">
        <f>D69*E69</f>
        <v>5</v>
      </c>
      <c r="G69" s="405"/>
      <c r="H69" s="2371"/>
      <c r="I69" s="2492"/>
    </row>
    <row r="70" spans="1:9" ht="15" customHeight="1" x14ac:dyDescent="0.2">
      <c r="A70" s="2487"/>
      <c r="B70" s="2487"/>
      <c r="C70" s="1227" t="str">
        <f>F!C243</f>
        <v>2-5%.</v>
      </c>
      <c r="D70" s="219">
        <f>F!D243</f>
        <v>0</v>
      </c>
      <c r="E70" s="406">
        <v>3</v>
      </c>
      <c r="F70" s="386">
        <f>D70*E70</f>
        <v>0</v>
      </c>
      <c r="G70" s="402"/>
      <c r="H70" s="2371"/>
      <c r="I70" s="2492"/>
    </row>
    <row r="71" spans="1:9" ht="15" customHeight="1" x14ac:dyDescent="0.2">
      <c r="A71" s="2487"/>
      <c r="B71" s="2487"/>
      <c r="C71" s="1227" t="str">
        <f>F!C244</f>
        <v>6-10%.</v>
      </c>
      <c r="D71" s="232">
        <f>F!D244</f>
        <v>0</v>
      </c>
      <c r="E71" s="406">
        <v>2</v>
      </c>
      <c r="F71" s="386">
        <f>D71*E71</f>
        <v>0</v>
      </c>
      <c r="G71" s="402"/>
      <c r="H71" s="2371"/>
      <c r="I71" s="2492"/>
    </row>
    <row r="72" spans="1:9" ht="15" customHeight="1" thickBot="1" x14ac:dyDescent="0.25">
      <c r="A72" s="2488"/>
      <c r="B72" s="2488"/>
      <c r="C72" s="1228" t="str">
        <f>F!C245</f>
        <v>&gt;10%.</v>
      </c>
      <c r="D72" s="204">
        <f>F!D245</f>
        <v>0</v>
      </c>
      <c r="E72" s="1229">
        <v>0</v>
      </c>
      <c r="F72" s="391">
        <f>D72*E72</f>
        <v>0</v>
      </c>
      <c r="G72" s="392"/>
      <c r="H72" s="2367"/>
      <c r="I72" s="2494"/>
    </row>
    <row r="73" spans="1:9" s="106" customFormat="1" ht="36" customHeight="1" thickBot="1" x14ac:dyDescent="0.25">
      <c r="A73" s="1183" t="s">
        <v>88</v>
      </c>
      <c r="B73" s="1184" t="s">
        <v>1899</v>
      </c>
      <c r="C73" s="1185" t="s">
        <v>1165</v>
      </c>
      <c r="D73" s="1186" t="s">
        <v>45</v>
      </c>
      <c r="E73" s="1187" t="s">
        <v>1189</v>
      </c>
      <c r="F73" s="1188" t="s">
        <v>2580</v>
      </c>
      <c r="G73" s="1936" t="s">
        <v>2573</v>
      </c>
      <c r="H73" s="1184" t="s">
        <v>1118</v>
      </c>
      <c r="I73" s="1206" t="s">
        <v>2424</v>
      </c>
    </row>
    <row r="74" spans="1:9" ht="21" customHeight="1" thickBot="1" x14ac:dyDescent="0.25">
      <c r="A74" s="2503" t="str">
        <f>OF!A92</f>
        <v>OF17</v>
      </c>
      <c r="B74" s="2486" t="str">
        <f>OF!B92</f>
        <v>Flood Damage from Non-tidal Waters</v>
      </c>
      <c r="C74" s="348" t="str">
        <f>OF!C92</f>
        <v>Within 5 km downstream or downslope of the AA (select first true choice):</v>
      </c>
      <c r="D74" s="1565"/>
      <c r="E74" s="398"/>
      <c r="F74" s="404"/>
      <c r="G74" s="1043">
        <f>(MAX(F75:F78)/MAX(E75:E78))</f>
        <v>1</v>
      </c>
      <c r="H74" s="2323" t="s">
        <v>599</v>
      </c>
      <c r="I74" s="2326" t="s">
        <v>272</v>
      </c>
    </row>
    <row r="75" spans="1:9" ht="27" customHeight="1" x14ac:dyDescent="0.2">
      <c r="A75" s="2503"/>
      <c r="B75" s="2487"/>
      <c r="C75" s="349" t="str">
        <f>OF!C93</f>
        <v>Maps show Flood Zone or Flood Risk areas and there appears to be infrastructure vulnerable to river flooding not caused by tidal storm surges.</v>
      </c>
      <c r="D75" s="203">
        <f>OF!D93</f>
        <v>1</v>
      </c>
      <c r="E75" s="385">
        <v>4</v>
      </c>
      <c r="F75" s="386">
        <f>D75*E75</f>
        <v>4</v>
      </c>
      <c r="G75" s="404"/>
      <c r="H75" s="2324"/>
      <c r="I75" s="2327"/>
    </row>
    <row r="76" spans="1:9" ht="42" customHeight="1" x14ac:dyDescent="0.2">
      <c r="A76" s="2503"/>
      <c r="B76" s="2487"/>
      <c r="C76" s="351" t="str">
        <f>OF!C94</f>
        <v>Maps show Flood Zone or Flood Risk areas, but infrastructure is absent or is not vulnerable to floods from a non-tidal river.  In some cases levees, upriver dams, or other measures may partly limit damage or risk from smaller events.</v>
      </c>
      <c r="D76" s="203">
        <f>OF!D94</f>
        <v>0</v>
      </c>
      <c r="E76" s="385">
        <v>1</v>
      </c>
      <c r="F76" s="386">
        <f>D76*E76</f>
        <v>0</v>
      </c>
      <c r="G76" s="1859"/>
      <c r="H76" s="2324"/>
      <c r="I76" s="2327"/>
    </row>
    <row r="77" spans="1:9" ht="30.75" customHeight="1" x14ac:dyDescent="0.2">
      <c r="A77" s="2503"/>
      <c r="B77" s="2487"/>
      <c r="C77" s="351" t="str">
        <f>OF!C95</f>
        <v>Maps do not show Flood Zone or Flood Risk areas (or no such mapping has been done locally) and there appears to be infrastructure vulnerable to river flooding unrelated to tidal storm surges.</v>
      </c>
      <c r="D77" s="203">
        <f>OF!D95</f>
        <v>0</v>
      </c>
      <c r="E77" s="385">
        <v>2</v>
      </c>
      <c r="F77" s="386">
        <f>D77*E77</f>
        <v>0</v>
      </c>
      <c r="G77" s="1859"/>
      <c r="H77" s="2324"/>
      <c r="I77" s="2327"/>
    </row>
    <row r="78" spans="1:9" ht="27" customHeight="1" thickBot="1" x14ac:dyDescent="0.25">
      <c r="A78" s="2503"/>
      <c r="B78" s="2487"/>
      <c r="C78" s="537" t="str">
        <f>OF!C96</f>
        <v>Maps do not show Flood Zone or Flood Risk areas (or no such mapping has been done locally) and there is no infrastructure vulnerable to river flooding unrelated to tidal storm surges.</v>
      </c>
      <c r="D78" s="232">
        <f>OF!D96</f>
        <v>0</v>
      </c>
      <c r="E78" s="389">
        <v>0</v>
      </c>
      <c r="F78" s="386">
        <f>D78*E78</f>
        <v>0</v>
      </c>
      <c r="G78" s="1860"/>
      <c r="H78" s="2325"/>
      <c r="I78" s="2328"/>
    </row>
    <row r="79" spans="1:9" ht="60" customHeight="1" thickBot="1" x14ac:dyDescent="0.25">
      <c r="A79" s="1120" t="str">
        <f>OF!A114</f>
        <v>OF23</v>
      </c>
      <c r="B79" s="1120" t="str">
        <f>OF!B97</f>
        <v>Relative Elevation in Watershed</v>
      </c>
      <c r="C79" s="1566" t="str">
        <f>OF!C97</f>
        <v>In Google Earth, enable the Terrain layer (lower left menu) and open the NB_Watersheds KMZ file that accompanies this calculator. Then determine the AA's approximate elevation (bottom right, NOT the "eye alt").  Then move cursor around to determine the watershed's maximum and minimum elevation.  Divide the AA's elevation by the (max-min).</v>
      </c>
      <c r="D79" s="1856"/>
      <c r="E79" s="1856"/>
      <c r="F79" s="1857"/>
      <c r="G79" s="1858">
        <f>ShedPos</f>
        <v>0.01</v>
      </c>
      <c r="H79" s="1842" t="s">
        <v>1532</v>
      </c>
      <c r="I79" s="1843" t="s">
        <v>1533</v>
      </c>
    </row>
    <row r="80" spans="1:9" ht="69" customHeight="1" thickBot="1" x14ac:dyDescent="0.25">
      <c r="A80" s="2486" t="str">
        <f>OF!A114</f>
        <v>OF23</v>
      </c>
      <c r="B80" s="2495" t="str">
        <f>OF!B114</f>
        <v>Unvegetated Surface in the Contributing Area</v>
      </c>
      <c r="C80" s="1120" t="str">
        <f>OF!C114</f>
        <v>The proportion of the AA's contributing area (measured to no more than 1000 m upslope) that is comprised of buildings, roads, parking lots, other pavement, exposed bedrock, landslides, and other mostly-bare surface is about :</v>
      </c>
      <c r="D80" s="1870"/>
      <c r="E80" s="382"/>
      <c r="F80" s="401"/>
      <c r="G80" s="408">
        <f>IF((NoCA=1),"",MAX(F81:F83)/MAX(E81:E83))</f>
        <v>0</v>
      </c>
      <c r="H80" s="2529" t="s">
        <v>1878</v>
      </c>
      <c r="I80" s="2491" t="s">
        <v>273</v>
      </c>
    </row>
    <row r="81" spans="1:11" ht="33" customHeight="1" x14ac:dyDescent="0.2">
      <c r="A81" s="2487"/>
      <c r="B81" s="2484"/>
      <c r="C81" s="2047" t="str">
        <f>OF!C115</f>
        <v>&lt;10%.</v>
      </c>
      <c r="D81" s="203">
        <f>OF!D115</f>
        <v>1</v>
      </c>
      <c r="E81" s="385">
        <v>0</v>
      </c>
      <c r="F81" s="386">
        <f>D81*E81</f>
        <v>0</v>
      </c>
      <c r="G81" s="405"/>
      <c r="H81" s="2404"/>
      <c r="I81" s="2492"/>
    </row>
    <row r="82" spans="1:11" ht="33" customHeight="1" x14ac:dyDescent="0.2">
      <c r="A82" s="2487"/>
      <c r="B82" s="2484"/>
      <c r="C82" s="2048" t="str">
        <f>OF!C116</f>
        <v>10 to 25%.</v>
      </c>
      <c r="D82" s="203">
        <f>OF!D116</f>
        <v>0</v>
      </c>
      <c r="E82" s="385">
        <v>3</v>
      </c>
      <c r="F82" s="386">
        <f>D82*E82</f>
        <v>0</v>
      </c>
      <c r="G82" s="402"/>
      <c r="H82" s="2404"/>
      <c r="I82" s="2492"/>
    </row>
    <row r="83" spans="1:11" ht="33" customHeight="1" thickBot="1" x14ac:dyDescent="0.25">
      <c r="A83" s="2488"/>
      <c r="B83" s="2485"/>
      <c r="C83" s="2049" t="str">
        <f>OF!C117</f>
        <v>&gt;25%.</v>
      </c>
      <c r="D83" s="204">
        <f>OF!D117</f>
        <v>0</v>
      </c>
      <c r="E83" s="390">
        <v>4</v>
      </c>
      <c r="F83" s="391">
        <f>D83*E83</f>
        <v>0</v>
      </c>
      <c r="G83" s="392"/>
      <c r="H83" s="2530"/>
      <c r="I83" s="2494"/>
    </row>
    <row r="84" spans="1:11" ht="126" customHeight="1" thickBot="1" x14ac:dyDescent="0.25">
      <c r="A84" s="2487" t="str">
        <f>OF!A118</f>
        <v>OF24</v>
      </c>
      <c r="B84" s="2487" t="str">
        <f>OF!B118</f>
        <v>Transport From Upslope</v>
      </c>
      <c r="C84" s="1980" t="str">
        <f>OF!C118</f>
        <v>A relatively large proportion of the precipitation that falls farther upslope in the CA reaches this wetland quickly as runoff (surface water), as indicated by the following: 
(a) input channel is present,
(b) input channels have been straightened,
(c) upslope wetlands have been ditched extensively,
(d) land cover is mostly non-forest,
(e) CA slopes are steep, and/or
(f) most CA soils are shallow (bedrock near surface) and/or have high runoff coefficients. 
This statement is:</v>
      </c>
      <c r="D84" s="398"/>
      <c r="E84" s="398"/>
      <c r="F84" s="404"/>
      <c r="G84" s="1043">
        <f>IF((NoCA=1),"",MAX(F85:F87)/MAX(E85:E87))</f>
        <v>0</v>
      </c>
      <c r="H84" s="2371" t="s">
        <v>912</v>
      </c>
      <c r="I84" s="2491" t="s">
        <v>274</v>
      </c>
    </row>
    <row r="85" spans="1:11" ht="15" customHeight="1" x14ac:dyDescent="0.2">
      <c r="A85" s="2487"/>
      <c r="B85" s="2484"/>
      <c r="C85" s="1875" t="str">
        <f>OF!C119</f>
        <v>Mostly true.</v>
      </c>
      <c r="D85" s="1871">
        <f>OF!D119</f>
        <v>0</v>
      </c>
      <c r="E85" s="385">
        <v>2</v>
      </c>
      <c r="F85" s="386">
        <f>D85*E85</f>
        <v>0</v>
      </c>
      <c r="G85" s="405"/>
      <c r="H85" s="2371"/>
      <c r="I85" s="2492"/>
    </row>
    <row r="86" spans="1:11" ht="15" customHeight="1" x14ac:dyDescent="0.2">
      <c r="A86" s="2487"/>
      <c r="B86" s="2484"/>
      <c r="C86" s="1874" t="str">
        <f>OF!C120</f>
        <v>Somewhat true.</v>
      </c>
      <c r="D86" s="1872">
        <f>OF!D120</f>
        <v>0</v>
      </c>
      <c r="E86" s="385">
        <v>1</v>
      </c>
      <c r="F86" s="386">
        <f>D86*E86</f>
        <v>0</v>
      </c>
      <c r="G86" s="402"/>
      <c r="H86" s="2371"/>
      <c r="I86" s="2492"/>
    </row>
    <row r="87" spans="1:11" ht="15" customHeight="1" thickBot="1" x14ac:dyDescent="0.25">
      <c r="A87" s="2488"/>
      <c r="B87" s="2485"/>
      <c r="C87" s="1876" t="str">
        <f>OF!C121</f>
        <v>Mostly untrue.</v>
      </c>
      <c r="D87" s="1873">
        <f>OF!D121</f>
        <v>1</v>
      </c>
      <c r="E87" s="390">
        <v>0</v>
      </c>
      <c r="F87" s="391">
        <f>D87*E87</f>
        <v>0</v>
      </c>
      <c r="G87" s="392"/>
      <c r="H87" s="2490"/>
      <c r="I87" s="2494"/>
    </row>
    <row r="88" spans="1:11" ht="21" customHeight="1" thickBot="1" x14ac:dyDescent="0.25">
      <c r="A88" s="974"/>
      <c r="B88" s="60"/>
      <c r="C88" s="60"/>
      <c r="D88" s="1933"/>
      <c r="E88" s="60"/>
      <c r="F88" s="60"/>
      <c r="G88" s="60"/>
      <c r="H88" s="60"/>
      <c r="I88" s="60"/>
    </row>
    <row r="89" spans="1:11" ht="28.9" customHeight="1" x14ac:dyDescent="0.2">
      <c r="A89" s="974"/>
      <c r="B89" s="60"/>
      <c r="C89" s="60"/>
      <c r="D89" s="2509" t="s">
        <v>2411</v>
      </c>
      <c r="E89" s="2510"/>
      <c r="F89" s="2510"/>
      <c r="G89" s="1421">
        <f>(3*AVERAGE(SoilTex1,Groundw1, CApct1) + AVERAGE(_GDD1, Aspect1))/4</f>
        <v>0.23645833333333333</v>
      </c>
      <c r="H89" s="1422" t="s">
        <v>2412</v>
      </c>
      <c r="I89" s="1423" t="s">
        <v>2095</v>
      </c>
    </row>
    <row r="90" spans="1:11" ht="21" customHeight="1" x14ac:dyDescent="0.2">
      <c r="A90" s="974"/>
      <c r="B90" s="60"/>
      <c r="C90" s="60"/>
      <c r="D90" s="2511" t="s">
        <v>1120</v>
      </c>
      <c r="E90" s="2512"/>
      <c r="F90" s="2512"/>
      <c r="G90" s="1420">
        <f>IF((AllSat1=1),"",AVERAGE(Fluctua1,SeasPct1))</f>
        <v>0.875</v>
      </c>
      <c r="H90" s="1427" t="s">
        <v>2883</v>
      </c>
      <c r="I90" s="1424" t="s">
        <v>2450</v>
      </c>
    </row>
    <row r="91" spans="1:11" ht="30" customHeight="1" thickBot="1" x14ac:dyDescent="0.25">
      <c r="A91" s="974"/>
      <c r="B91" s="60"/>
      <c r="C91" s="60"/>
      <c r="D91" s="2513" t="s">
        <v>319</v>
      </c>
      <c r="E91" s="2514"/>
      <c r="F91" s="2514"/>
      <c r="G91" s="1280">
        <f>IF((AllSat1=1),(3*Gradient1+Girreg1)/4, AVERAGE(Gradient1,Constric1,ThruFlo1,FloDist1,IsoDry1))</f>
        <v>0.6</v>
      </c>
      <c r="H91" s="1425" t="s">
        <v>2093</v>
      </c>
      <c r="I91" s="1426" t="s">
        <v>319</v>
      </c>
    </row>
    <row r="92" spans="1:11" ht="21" customHeight="1" thickBot="1" x14ac:dyDescent="0.25">
      <c r="A92" s="974"/>
      <c r="B92" s="974"/>
      <c r="C92" s="974"/>
      <c r="D92" s="1930"/>
      <c r="E92" s="974"/>
      <c r="F92" s="974"/>
      <c r="G92" s="974"/>
      <c r="H92" s="974"/>
    </row>
    <row r="93" spans="1:11" s="409" customFormat="1" ht="30" customHeight="1" thickBot="1" x14ac:dyDescent="0.25">
      <c r="A93" s="974"/>
      <c r="B93" s="1165"/>
      <c r="C93" s="2506" t="s">
        <v>79</v>
      </c>
      <c r="D93" s="2507"/>
      <c r="E93" s="2508"/>
      <c r="F93" s="1193" t="s">
        <v>52</v>
      </c>
      <c r="G93" s="1281">
        <f>10*(IF((AllSat1=1),AVERAGE(OutDura1,AVERAGE(Friction,Subsurf)), AVERAGE(OutDura1,(4*LiveStore+2*Friction+Subsurf)/7)))</f>
        <v>5.1927083333333339</v>
      </c>
      <c r="H93" s="2525" t="s">
        <v>2413</v>
      </c>
      <c r="I93" s="2526"/>
      <c r="K93" s="411"/>
    </row>
    <row r="94" spans="1:11" s="1939" customFormat="1" ht="30" customHeight="1" thickBot="1" x14ac:dyDescent="0.25">
      <c r="A94" s="1937"/>
      <c r="B94" s="1938"/>
      <c r="C94" s="2506" t="s">
        <v>1900</v>
      </c>
      <c r="D94" s="2507"/>
      <c r="E94" s="2508"/>
      <c r="F94" s="1453" t="s">
        <v>2219</v>
      </c>
      <c r="G94" s="1282">
        <f>10*(IF((FloodBdg1=1), 1,AVERAGE(FloodBdg1,ShedPos1,CAunveg1,Transport1)))</f>
        <v>10</v>
      </c>
      <c r="H94" s="2527" t="s">
        <v>2581</v>
      </c>
      <c r="I94" s="2528"/>
      <c r="K94" s="1940"/>
    </row>
    <row r="95" spans="1:11" ht="21" customHeight="1" thickBot="1" x14ac:dyDescent="0.25">
      <c r="A95" s="974"/>
      <c r="B95" s="974"/>
      <c r="C95" s="974"/>
      <c r="D95" s="1930"/>
      <c r="E95" s="974"/>
      <c r="F95" s="974"/>
      <c r="G95" s="974"/>
      <c r="H95" s="974"/>
    </row>
    <row r="96" spans="1:11" ht="21" customHeight="1" thickBot="1" x14ac:dyDescent="0.25">
      <c r="A96" s="974"/>
      <c r="B96" s="974"/>
      <c r="C96" s="974"/>
      <c r="D96" s="1930"/>
      <c r="E96" s="974"/>
      <c r="F96" s="974"/>
      <c r="G96" s="974"/>
      <c r="H96" s="2539" t="s">
        <v>669</v>
      </c>
      <c r="I96" s="2540"/>
    </row>
    <row r="97" spans="1:9" ht="27" customHeight="1" x14ac:dyDescent="0.2">
      <c r="A97" s="974"/>
      <c r="B97" s="974"/>
      <c r="C97" s="974"/>
      <c r="D97" s="1930"/>
      <c r="E97" s="974"/>
      <c r="F97" s="974"/>
      <c r="G97" s="974"/>
      <c r="H97" s="2541" t="s">
        <v>2582</v>
      </c>
      <c r="I97" s="2542"/>
    </row>
    <row r="98" spans="1:9" ht="27" customHeight="1" x14ac:dyDescent="0.2">
      <c r="A98" s="974"/>
      <c r="B98" s="974"/>
      <c r="C98" s="974"/>
      <c r="D98" s="1930"/>
      <c r="E98" s="974"/>
      <c r="F98" s="974"/>
      <c r="G98" s="974"/>
      <c r="H98" s="2531" t="s">
        <v>670</v>
      </c>
      <c r="I98" s="2532"/>
    </row>
    <row r="99" spans="1:9" ht="42" customHeight="1" x14ac:dyDescent="0.2">
      <c r="A99" s="974"/>
      <c r="B99" s="974"/>
      <c r="C99" s="974"/>
      <c r="D99" s="1930"/>
      <c r="E99" s="974"/>
      <c r="F99" s="974"/>
      <c r="G99" s="974"/>
      <c r="H99" s="2531" t="s">
        <v>1703</v>
      </c>
      <c r="I99" s="2532"/>
    </row>
    <row r="100" spans="1:9" ht="42" customHeight="1" x14ac:dyDescent="0.2">
      <c r="A100" s="974"/>
      <c r="B100" s="974"/>
      <c r="C100" s="974"/>
      <c r="D100" s="1930"/>
      <c r="E100" s="974"/>
      <c r="F100" s="974"/>
      <c r="G100" s="974"/>
      <c r="H100" s="2531" t="s">
        <v>1901</v>
      </c>
      <c r="I100" s="2532"/>
    </row>
    <row r="101" spans="1:9" ht="42" customHeight="1" x14ac:dyDescent="0.2">
      <c r="A101" s="974"/>
      <c r="B101" s="974"/>
      <c r="C101" s="974"/>
      <c r="D101" s="1930"/>
      <c r="E101" s="974"/>
      <c r="F101" s="974"/>
      <c r="G101" s="974"/>
      <c r="H101" s="2531" t="s">
        <v>671</v>
      </c>
      <c r="I101" s="2532"/>
    </row>
    <row r="102" spans="1:9" ht="42" customHeight="1" x14ac:dyDescent="0.2">
      <c r="A102" s="974"/>
      <c r="B102" s="974"/>
      <c r="C102" s="974"/>
      <c r="D102" s="1930"/>
      <c r="E102" s="974"/>
      <c r="F102" s="974"/>
      <c r="G102" s="974"/>
      <c r="H102" s="2531" t="s">
        <v>1119</v>
      </c>
      <c r="I102" s="2532"/>
    </row>
    <row r="103" spans="1:9" ht="42" customHeight="1" x14ac:dyDescent="0.2">
      <c r="A103" s="974"/>
      <c r="B103" s="974"/>
      <c r="C103" s="974"/>
      <c r="D103" s="1930"/>
      <c r="E103" s="974"/>
      <c r="F103" s="974"/>
      <c r="G103" s="974"/>
      <c r="H103" s="2537" t="s">
        <v>1702</v>
      </c>
      <c r="I103" s="2538"/>
    </row>
    <row r="104" spans="1:9" ht="27" customHeight="1" x14ac:dyDescent="0.2">
      <c r="A104" s="974"/>
      <c r="B104" s="974"/>
      <c r="C104" s="974"/>
      <c r="D104" s="1930"/>
      <c r="E104" s="974"/>
      <c r="F104" s="974"/>
      <c r="G104" s="974"/>
      <c r="H104" s="2531" t="s">
        <v>1423</v>
      </c>
      <c r="I104" s="2532"/>
    </row>
    <row r="105" spans="1:9" ht="42" customHeight="1" x14ac:dyDescent="0.2">
      <c r="A105" s="974"/>
      <c r="B105" s="974"/>
      <c r="C105" s="974"/>
      <c r="D105" s="1930"/>
      <c r="E105" s="974"/>
      <c r="F105" s="974"/>
      <c r="G105" s="974"/>
      <c r="H105" s="2531" t="s">
        <v>672</v>
      </c>
      <c r="I105" s="2532"/>
    </row>
    <row r="106" spans="1:9" ht="27" customHeight="1" x14ac:dyDescent="0.2">
      <c r="A106" s="82"/>
      <c r="B106" s="974"/>
      <c r="C106" s="974"/>
      <c r="D106" s="1930"/>
      <c r="E106" s="974"/>
      <c r="F106" s="974"/>
      <c r="G106" s="974"/>
      <c r="H106" s="2531" t="s">
        <v>673</v>
      </c>
      <c r="I106" s="2532"/>
    </row>
    <row r="107" spans="1:9" ht="27" customHeight="1" x14ac:dyDescent="0.2">
      <c r="A107" s="82"/>
      <c r="B107" s="974"/>
      <c r="C107" s="974"/>
      <c r="D107" s="1930"/>
      <c r="E107" s="974"/>
      <c r="F107" s="974"/>
      <c r="G107" s="974"/>
      <c r="H107" s="2535" t="s">
        <v>1416</v>
      </c>
      <c r="I107" s="2536"/>
    </row>
    <row r="108" spans="1:9" ht="27" customHeight="1" x14ac:dyDescent="0.2">
      <c r="A108" s="82"/>
      <c r="B108" s="974"/>
      <c r="C108" s="974"/>
      <c r="D108" s="1930"/>
      <c r="E108" s="974"/>
      <c r="F108" s="974"/>
      <c r="G108" s="974"/>
      <c r="H108" s="2531" t="s">
        <v>674</v>
      </c>
      <c r="I108" s="2532"/>
    </row>
    <row r="109" spans="1:9" ht="27" customHeight="1" x14ac:dyDescent="0.2">
      <c r="A109" s="82"/>
      <c r="B109" s="974"/>
      <c r="C109" s="974"/>
      <c r="D109" s="1930"/>
      <c r="E109" s="974"/>
      <c r="F109" s="974"/>
      <c r="G109" s="974"/>
      <c r="H109" s="2531" t="s">
        <v>675</v>
      </c>
      <c r="I109" s="2532"/>
    </row>
    <row r="110" spans="1:9" ht="27" customHeight="1" thickBot="1" x14ac:dyDescent="0.25">
      <c r="A110" s="82"/>
      <c r="B110" s="81"/>
      <c r="C110" s="60"/>
      <c r="E110" s="410"/>
      <c r="H110" s="2533" t="s">
        <v>676</v>
      </c>
      <c r="I110" s="2534"/>
    </row>
    <row r="111" spans="1:9" ht="15" customHeight="1" x14ac:dyDescent="0.2">
      <c r="A111" s="82"/>
      <c r="B111" s="81"/>
      <c r="C111" s="60"/>
      <c r="E111" s="410"/>
      <c r="H111" s="1053"/>
    </row>
    <row r="112" spans="1:9" ht="15" customHeight="1" x14ac:dyDescent="0.2">
      <c r="A112" s="82"/>
      <c r="B112" s="81"/>
      <c r="C112" s="60"/>
      <c r="E112" s="410"/>
    </row>
    <row r="113" spans="1:8" ht="15" customHeight="1" x14ac:dyDescent="0.2">
      <c r="A113" s="82"/>
      <c r="B113" s="81"/>
      <c r="C113" s="60"/>
      <c r="E113" s="410"/>
    </row>
    <row r="114" spans="1:8" ht="15" customHeight="1" x14ac:dyDescent="0.2">
      <c r="A114" s="82"/>
      <c r="B114" s="81"/>
      <c r="C114" s="60"/>
      <c r="E114" s="410"/>
    </row>
    <row r="115" spans="1:8" ht="15" customHeight="1" x14ac:dyDescent="0.2">
      <c r="A115" s="82"/>
      <c r="B115" s="81"/>
      <c r="C115" s="60"/>
      <c r="E115" s="410"/>
    </row>
    <row r="116" spans="1:8" ht="15" customHeight="1" x14ac:dyDescent="0.2">
      <c r="A116" s="82"/>
      <c r="B116" s="81"/>
      <c r="C116" s="60"/>
      <c r="E116" s="410"/>
    </row>
    <row r="117" spans="1:8" ht="15" customHeight="1" x14ac:dyDescent="0.2">
      <c r="A117" s="82"/>
      <c r="B117" s="81"/>
      <c r="C117" s="60"/>
      <c r="E117" s="410"/>
      <c r="H117" s="6" t="s">
        <v>912</v>
      </c>
    </row>
    <row r="118" spans="1:8" ht="15" customHeight="1" x14ac:dyDescent="0.2">
      <c r="A118" s="82"/>
      <c r="B118" s="81"/>
      <c r="C118" s="60"/>
      <c r="E118" s="410"/>
    </row>
    <row r="119" spans="1:8" ht="15" customHeight="1" x14ac:dyDescent="0.2">
      <c r="A119" s="82"/>
      <c r="B119" s="81"/>
      <c r="C119" s="60"/>
      <c r="E119" s="410"/>
    </row>
    <row r="120" spans="1:8" ht="15" customHeight="1" x14ac:dyDescent="0.2">
      <c r="A120" s="82"/>
      <c r="B120" s="81"/>
      <c r="C120" s="60"/>
      <c r="E120" s="410"/>
    </row>
    <row r="121" spans="1:8" ht="15" customHeight="1" x14ac:dyDescent="0.2">
      <c r="A121" s="82"/>
      <c r="B121" s="81"/>
      <c r="C121" s="60"/>
      <c r="E121" s="410"/>
    </row>
    <row r="122" spans="1:8" ht="15" customHeight="1" x14ac:dyDescent="0.2">
      <c r="A122" s="82"/>
      <c r="B122" s="81"/>
      <c r="C122" s="60"/>
      <c r="E122" s="410"/>
    </row>
    <row r="123" spans="1:8" ht="15" customHeight="1" x14ac:dyDescent="0.2">
      <c r="A123" s="82"/>
      <c r="B123" s="81"/>
      <c r="C123" s="60"/>
      <c r="E123" s="410"/>
    </row>
    <row r="124" spans="1:8" ht="15" customHeight="1" x14ac:dyDescent="0.2">
      <c r="A124" s="82"/>
      <c r="B124" s="81"/>
      <c r="C124" s="60"/>
      <c r="E124" s="410"/>
    </row>
    <row r="125" spans="1:8" ht="15" customHeight="1" x14ac:dyDescent="0.2">
      <c r="A125" s="82"/>
      <c r="B125" s="81"/>
      <c r="C125" s="60"/>
      <c r="E125" s="410"/>
    </row>
    <row r="126" spans="1:8" ht="15" customHeight="1" x14ac:dyDescent="0.2">
      <c r="A126" s="82"/>
      <c r="B126" s="81"/>
      <c r="C126" s="60"/>
      <c r="E126" s="410"/>
    </row>
    <row r="127" spans="1:8" ht="15" customHeight="1" x14ac:dyDescent="0.2">
      <c r="A127" s="82"/>
      <c r="B127" s="81"/>
      <c r="C127" s="60"/>
      <c r="E127" s="410"/>
    </row>
    <row r="128" spans="1:8" ht="15" customHeight="1" x14ac:dyDescent="0.2">
      <c r="A128" s="82"/>
      <c r="B128" s="81"/>
      <c r="C128" s="60"/>
      <c r="E128" s="410"/>
    </row>
    <row r="129" spans="1:5" ht="15" customHeight="1" x14ac:dyDescent="0.2">
      <c r="A129" s="82"/>
      <c r="B129" s="81"/>
      <c r="C129" s="60"/>
      <c r="E129" s="410"/>
    </row>
    <row r="130" spans="1:5" ht="15" customHeight="1" x14ac:dyDescent="0.2">
      <c r="A130" s="82"/>
      <c r="B130" s="81"/>
      <c r="C130" s="60"/>
      <c r="E130" s="410"/>
    </row>
    <row r="131" spans="1:5" ht="15" customHeight="1" x14ac:dyDescent="0.2">
      <c r="A131" s="82"/>
      <c r="B131" s="81"/>
      <c r="C131" s="60"/>
      <c r="E131" s="410"/>
    </row>
    <row r="132" spans="1:5" ht="15" customHeight="1" x14ac:dyDescent="0.2">
      <c r="A132" s="82"/>
      <c r="B132" s="81"/>
      <c r="C132" s="60"/>
      <c r="E132" s="410"/>
    </row>
    <row r="133" spans="1:5" ht="15" customHeight="1" x14ac:dyDescent="0.2">
      <c r="A133" s="82"/>
      <c r="B133" s="81"/>
      <c r="C133" s="60"/>
      <c r="E133" s="410"/>
    </row>
    <row r="134" spans="1:5" ht="15" customHeight="1" x14ac:dyDescent="0.2">
      <c r="A134" s="82"/>
      <c r="B134" s="81"/>
      <c r="C134" s="60"/>
      <c r="E134" s="410"/>
    </row>
    <row r="135" spans="1:5" ht="15" customHeight="1" x14ac:dyDescent="0.2">
      <c r="A135" s="82"/>
      <c r="B135" s="81"/>
      <c r="C135" s="60"/>
      <c r="E135" s="410"/>
    </row>
    <row r="136" spans="1:5" ht="15" customHeight="1" x14ac:dyDescent="0.2">
      <c r="A136" s="82"/>
      <c r="B136" s="81"/>
      <c r="C136" s="60"/>
      <c r="E136" s="410"/>
    </row>
    <row r="137" spans="1:5" ht="15" customHeight="1" x14ac:dyDescent="0.2">
      <c r="A137" s="82"/>
      <c r="B137" s="81"/>
      <c r="C137" s="60"/>
      <c r="E137" s="410"/>
    </row>
    <row r="138" spans="1:5" ht="15" customHeight="1" x14ac:dyDescent="0.2">
      <c r="A138" s="82"/>
      <c r="B138" s="81"/>
      <c r="C138" s="60"/>
      <c r="E138" s="410"/>
    </row>
    <row r="139" spans="1:5" ht="15" customHeight="1" x14ac:dyDescent="0.2">
      <c r="A139" s="82"/>
      <c r="B139" s="81"/>
      <c r="C139" s="60"/>
      <c r="E139" s="410"/>
    </row>
    <row r="140" spans="1:5" ht="15" customHeight="1" x14ac:dyDescent="0.2">
      <c r="A140" s="82"/>
      <c r="B140" s="81"/>
      <c r="C140" s="60"/>
      <c r="E140" s="410"/>
    </row>
    <row r="141" spans="1:5" ht="15" customHeight="1" x14ac:dyDescent="0.2">
      <c r="A141" s="82"/>
      <c r="B141" s="81"/>
      <c r="C141" s="60"/>
      <c r="E141" s="410"/>
    </row>
    <row r="142" spans="1:5" ht="15" customHeight="1" x14ac:dyDescent="0.2">
      <c r="A142" s="82"/>
      <c r="B142" s="81"/>
      <c r="C142" s="60"/>
      <c r="E142" s="410"/>
    </row>
    <row r="143" spans="1:5" ht="15" customHeight="1" x14ac:dyDescent="0.2">
      <c r="A143" s="82"/>
      <c r="B143" s="81"/>
      <c r="C143" s="60"/>
      <c r="E143" s="410"/>
    </row>
    <row r="144" spans="1:5" ht="15" customHeight="1" x14ac:dyDescent="0.2">
      <c r="A144" s="82"/>
      <c r="B144" s="81"/>
      <c r="C144" s="60"/>
      <c r="E144" s="410"/>
    </row>
    <row r="145" spans="1:5" ht="15" customHeight="1" x14ac:dyDescent="0.2">
      <c r="A145" s="82"/>
      <c r="B145" s="81"/>
      <c r="C145" s="60"/>
      <c r="E145" s="410"/>
    </row>
    <row r="146" spans="1:5" ht="15" customHeight="1" x14ac:dyDescent="0.2">
      <c r="A146" s="82"/>
      <c r="B146" s="81"/>
      <c r="C146" s="60"/>
      <c r="E146" s="410"/>
    </row>
    <row r="147" spans="1:5" ht="15" customHeight="1" x14ac:dyDescent="0.2">
      <c r="A147" s="82"/>
      <c r="B147" s="81"/>
      <c r="C147" s="60"/>
      <c r="E147" s="410"/>
    </row>
    <row r="148" spans="1:5" ht="15" customHeight="1" x14ac:dyDescent="0.2">
      <c r="A148" s="82"/>
      <c r="B148" s="81"/>
      <c r="C148" s="60"/>
      <c r="E148" s="410"/>
    </row>
    <row r="149" spans="1:5" ht="15" customHeight="1" x14ac:dyDescent="0.2">
      <c r="A149" s="82"/>
      <c r="B149" s="81"/>
      <c r="C149" s="60"/>
      <c r="E149" s="410"/>
    </row>
    <row r="150" spans="1:5" ht="15" customHeight="1" x14ac:dyDescent="0.2">
      <c r="A150" s="82"/>
      <c r="B150" s="81"/>
      <c r="C150" s="60"/>
      <c r="E150" s="410"/>
    </row>
    <row r="151" spans="1:5" ht="15" customHeight="1" x14ac:dyDescent="0.2">
      <c r="A151" s="82"/>
      <c r="B151" s="81"/>
      <c r="C151" s="60"/>
      <c r="E151" s="410"/>
    </row>
    <row r="152" spans="1:5" ht="15" customHeight="1" x14ac:dyDescent="0.2">
      <c r="A152" s="82"/>
      <c r="B152" s="81"/>
      <c r="C152" s="60"/>
      <c r="E152" s="410"/>
    </row>
    <row r="153" spans="1:5" ht="15" customHeight="1" x14ac:dyDescent="0.2">
      <c r="A153" s="82"/>
      <c r="B153" s="81"/>
      <c r="C153" s="60"/>
      <c r="E153" s="410"/>
    </row>
    <row r="154" spans="1:5" ht="15" customHeight="1" x14ac:dyDescent="0.2">
      <c r="A154" s="82"/>
      <c r="B154" s="81"/>
      <c r="C154" s="60"/>
      <c r="E154" s="410"/>
    </row>
    <row r="155" spans="1:5" ht="15" customHeight="1" x14ac:dyDescent="0.2">
      <c r="A155" s="82"/>
      <c r="B155" s="81"/>
      <c r="C155" s="60"/>
      <c r="E155" s="410"/>
    </row>
    <row r="156" spans="1:5" ht="15" customHeight="1" x14ac:dyDescent="0.2">
      <c r="A156" s="82"/>
      <c r="B156" s="81"/>
      <c r="C156" s="60"/>
      <c r="E156" s="410"/>
    </row>
    <row r="157" spans="1:5" ht="15" customHeight="1" x14ac:dyDescent="0.2">
      <c r="A157" s="82"/>
      <c r="B157" s="81"/>
      <c r="C157" s="60"/>
      <c r="E157" s="410"/>
    </row>
    <row r="158" spans="1:5" ht="15" customHeight="1" x14ac:dyDescent="0.2">
      <c r="A158" s="82"/>
      <c r="B158" s="81"/>
      <c r="C158" s="60"/>
      <c r="E158" s="410"/>
    </row>
    <row r="159" spans="1:5" ht="15" customHeight="1" x14ac:dyDescent="0.2">
      <c r="A159" s="82"/>
      <c r="B159" s="81"/>
      <c r="C159" s="60"/>
      <c r="E159" s="410"/>
    </row>
    <row r="160" spans="1:5" ht="15" customHeight="1" x14ac:dyDescent="0.2">
      <c r="A160" s="82"/>
      <c r="B160" s="81"/>
      <c r="C160" s="60"/>
      <c r="E160" s="410"/>
    </row>
    <row r="161" spans="1:5" ht="15" customHeight="1" x14ac:dyDescent="0.2">
      <c r="A161" s="82"/>
      <c r="B161" s="81"/>
      <c r="C161" s="60"/>
      <c r="E161" s="410"/>
    </row>
    <row r="162" spans="1:5" ht="15" customHeight="1" x14ac:dyDescent="0.2">
      <c r="A162" s="82"/>
      <c r="B162" s="81"/>
      <c r="C162" s="60"/>
      <c r="E162" s="410"/>
    </row>
    <row r="163" spans="1:5" ht="15" customHeight="1" x14ac:dyDescent="0.2">
      <c r="A163" s="82"/>
      <c r="B163" s="81"/>
      <c r="C163" s="60"/>
      <c r="E163" s="410"/>
    </row>
    <row r="164" spans="1:5" ht="15" customHeight="1" x14ac:dyDescent="0.2">
      <c r="A164" s="82"/>
      <c r="B164" s="81"/>
      <c r="C164" s="60"/>
      <c r="E164" s="410"/>
    </row>
    <row r="165" spans="1:5" ht="15" customHeight="1" x14ac:dyDescent="0.2">
      <c r="A165" s="82"/>
      <c r="B165" s="81"/>
      <c r="C165" s="60"/>
      <c r="E165" s="410"/>
    </row>
    <row r="166" spans="1:5" ht="15" customHeight="1" x14ac:dyDescent="0.2">
      <c r="A166" s="82"/>
      <c r="B166" s="81"/>
      <c r="C166" s="60"/>
      <c r="E166" s="410"/>
    </row>
    <row r="167" spans="1:5" ht="15" customHeight="1" x14ac:dyDescent="0.2">
      <c r="A167" s="82"/>
      <c r="B167" s="81"/>
      <c r="C167" s="60"/>
      <c r="E167" s="410"/>
    </row>
    <row r="168" spans="1:5" ht="15" customHeight="1" x14ac:dyDescent="0.2">
      <c r="A168" s="82"/>
      <c r="B168" s="81"/>
      <c r="C168" s="60"/>
      <c r="E168" s="410"/>
    </row>
    <row r="169" spans="1:5" ht="15" customHeight="1" x14ac:dyDescent="0.2">
      <c r="A169" s="82"/>
      <c r="B169" s="81"/>
      <c r="C169" s="60"/>
      <c r="E169" s="410"/>
    </row>
    <row r="170" spans="1:5" ht="15" customHeight="1" x14ac:dyDescent="0.2">
      <c r="A170" s="82"/>
      <c r="B170" s="81"/>
      <c r="C170" s="60"/>
      <c r="E170" s="410"/>
    </row>
    <row r="171" spans="1:5" ht="15" customHeight="1" x14ac:dyDescent="0.2">
      <c r="A171" s="82"/>
      <c r="B171" s="81"/>
      <c r="C171" s="60"/>
      <c r="E171" s="410"/>
    </row>
    <row r="172" spans="1:5" ht="15" customHeight="1" x14ac:dyDescent="0.2">
      <c r="A172" s="82"/>
      <c r="B172" s="81"/>
      <c r="C172" s="60"/>
      <c r="E172" s="410"/>
    </row>
    <row r="173" spans="1:5" ht="15" customHeight="1" x14ac:dyDescent="0.2">
      <c r="A173" s="82"/>
      <c r="B173" s="81"/>
      <c r="C173" s="60"/>
      <c r="E173" s="410"/>
    </row>
    <row r="174" spans="1:5" ht="15" customHeight="1" x14ac:dyDescent="0.2">
      <c r="A174" s="82"/>
      <c r="B174" s="81"/>
      <c r="C174" s="60"/>
      <c r="E174" s="410"/>
    </row>
    <row r="175" spans="1:5" ht="15" customHeight="1" x14ac:dyDescent="0.2">
      <c r="A175" s="82"/>
      <c r="B175" s="81"/>
      <c r="C175" s="60"/>
      <c r="E175" s="410"/>
    </row>
    <row r="176" spans="1:5" ht="15" customHeight="1" x14ac:dyDescent="0.2">
      <c r="A176" s="82"/>
      <c r="B176" s="81"/>
      <c r="C176" s="60"/>
      <c r="E176" s="410"/>
    </row>
    <row r="177" spans="1:5" ht="15" customHeight="1" x14ac:dyDescent="0.2">
      <c r="A177" s="82"/>
      <c r="B177" s="81"/>
      <c r="C177" s="60"/>
      <c r="E177" s="410"/>
    </row>
    <row r="178" spans="1:5" ht="15" customHeight="1" x14ac:dyDescent="0.2">
      <c r="A178" s="82"/>
      <c r="B178" s="81"/>
      <c r="C178" s="60"/>
      <c r="E178" s="410"/>
    </row>
    <row r="179" spans="1:5" ht="15" customHeight="1" x14ac:dyDescent="0.2">
      <c r="A179" s="82"/>
      <c r="B179" s="81"/>
      <c r="C179" s="60"/>
      <c r="E179" s="410"/>
    </row>
    <row r="180" spans="1:5" ht="15" customHeight="1" x14ac:dyDescent="0.2">
      <c r="A180" s="82"/>
      <c r="B180" s="81"/>
      <c r="C180" s="60"/>
      <c r="E180" s="410"/>
    </row>
    <row r="181" spans="1:5" ht="15" customHeight="1" x14ac:dyDescent="0.2">
      <c r="A181" s="82"/>
      <c r="B181" s="81"/>
      <c r="C181" s="60"/>
      <c r="E181" s="410"/>
    </row>
    <row r="182" spans="1:5" ht="15" customHeight="1" x14ac:dyDescent="0.2">
      <c r="A182" s="82"/>
      <c r="B182" s="81"/>
      <c r="C182" s="60"/>
      <c r="E182" s="410"/>
    </row>
    <row r="183" spans="1:5" ht="15" customHeight="1" x14ac:dyDescent="0.2">
      <c r="A183" s="82"/>
      <c r="B183" s="81"/>
      <c r="C183" s="60"/>
      <c r="E183" s="410"/>
    </row>
    <row r="184" spans="1:5" ht="15" customHeight="1" x14ac:dyDescent="0.2">
      <c r="A184" s="82"/>
      <c r="B184" s="81"/>
      <c r="C184" s="60"/>
      <c r="E184" s="410"/>
    </row>
    <row r="185" spans="1:5" ht="15" customHeight="1" x14ac:dyDescent="0.2">
      <c r="A185" s="82"/>
      <c r="B185" s="81"/>
      <c r="C185" s="60"/>
      <c r="E185" s="410"/>
    </row>
    <row r="186" spans="1:5" ht="15" customHeight="1" x14ac:dyDescent="0.2">
      <c r="A186" s="82"/>
      <c r="B186" s="81"/>
      <c r="C186" s="60"/>
      <c r="E186" s="410"/>
    </row>
    <row r="187" spans="1:5" ht="15" customHeight="1" x14ac:dyDescent="0.2">
      <c r="A187" s="82"/>
      <c r="B187" s="81"/>
      <c r="C187" s="60"/>
      <c r="E187" s="410"/>
    </row>
    <row r="188" spans="1:5" ht="15" customHeight="1" x14ac:dyDescent="0.2">
      <c r="A188" s="82"/>
      <c r="B188" s="81"/>
      <c r="C188" s="60"/>
      <c r="E188" s="410"/>
    </row>
    <row r="189" spans="1:5" ht="15" customHeight="1" x14ac:dyDescent="0.2">
      <c r="A189" s="82"/>
      <c r="B189" s="81"/>
      <c r="C189" s="60"/>
      <c r="E189" s="410"/>
    </row>
    <row r="190" spans="1:5" ht="15" customHeight="1" x14ac:dyDescent="0.2">
      <c r="A190" s="82"/>
      <c r="B190" s="81"/>
      <c r="C190" s="60"/>
      <c r="E190" s="410"/>
    </row>
    <row r="191" spans="1:5" ht="15" customHeight="1" x14ac:dyDescent="0.2">
      <c r="A191" s="82"/>
      <c r="B191" s="81"/>
      <c r="C191" s="60"/>
      <c r="E191" s="410"/>
    </row>
    <row r="192" spans="1:5" ht="15" customHeight="1" x14ac:dyDescent="0.2">
      <c r="A192" s="82"/>
      <c r="B192" s="81"/>
      <c r="C192" s="60"/>
      <c r="E192" s="410"/>
    </row>
    <row r="193" spans="1:5" ht="15" customHeight="1" x14ac:dyDescent="0.2">
      <c r="A193" s="82"/>
      <c r="B193" s="81"/>
      <c r="C193" s="60"/>
      <c r="E193" s="410"/>
    </row>
    <row r="194" spans="1:5" ht="15" customHeight="1" x14ac:dyDescent="0.2">
      <c r="A194" s="82"/>
      <c r="B194" s="81"/>
      <c r="C194" s="60"/>
      <c r="E194" s="410"/>
    </row>
    <row r="195" spans="1:5" ht="15" customHeight="1" x14ac:dyDescent="0.2">
      <c r="A195" s="82"/>
      <c r="B195" s="81"/>
      <c r="C195" s="60"/>
      <c r="E195" s="410"/>
    </row>
    <row r="196" spans="1:5" ht="15" customHeight="1" x14ac:dyDescent="0.2">
      <c r="A196" s="82"/>
      <c r="B196" s="81"/>
      <c r="C196" s="60"/>
      <c r="E196" s="410"/>
    </row>
    <row r="197" spans="1:5" ht="15" customHeight="1" x14ac:dyDescent="0.2">
      <c r="A197" s="82"/>
      <c r="B197" s="81"/>
      <c r="C197" s="60"/>
      <c r="E197" s="410"/>
    </row>
    <row r="198" spans="1:5" ht="15" customHeight="1" x14ac:dyDescent="0.2">
      <c r="A198" s="82"/>
      <c r="B198" s="81"/>
      <c r="C198" s="60"/>
      <c r="E198" s="410"/>
    </row>
    <row r="199" spans="1:5" ht="15" customHeight="1" x14ac:dyDescent="0.2">
      <c r="A199" s="82"/>
      <c r="B199" s="81"/>
      <c r="C199" s="60"/>
      <c r="E199" s="410"/>
    </row>
    <row r="200" spans="1:5" ht="15" customHeight="1" x14ac:dyDescent="0.2">
      <c r="A200" s="82"/>
      <c r="B200" s="81"/>
      <c r="C200" s="60"/>
      <c r="E200" s="410"/>
    </row>
    <row r="201" spans="1:5" ht="15" customHeight="1" x14ac:dyDescent="0.2">
      <c r="A201" s="82"/>
      <c r="B201" s="81"/>
      <c r="C201" s="60"/>
      <c r="E201" s="410"/>
    </row>
    <row r="202" spans="1:5" ht="15" customHeight="1" x14ac:dyDescent="0.2">
      <c r="A202" s="82"/>
      <c r="B202" s="81"/>
      <c r="C202" s="60"/>
      <c r="E202" s="410"/>
    </row>
    <row r="203" spans="1:5" ht="15" customHeight="1" x14ac:dyDescent="0.2">
      <c r="A203" s="82"/>
      <c r="B203" s="81"/>
      <c r="C203" s="60"/>
      <c r="E203" s="410"/>
    </row>
    <row r="204" spans="1:5" ht="15" customHeight="1" x14ac:dyDescent="0.2">
      <c r="A204" s="82"/>
      <c r="B204" s="81"/>
      <c r="C204" s="60"/>
      <c r="E204" s="410"/>
    </row>
    <row r="205" spans="1:5" ht="15" customHeight="1" x14ac:dyDescent="0.2">
      <c r="A205" s="82"/>
      <c r="B205" s="81"/>
      <c r="C205" s="60"/>
      <c r="E205" s="410"/>
    </row>
    <row r="206" spans="1:5" ht="15" customHeight="1" x14ac:dyDescent="0.2">
      <c r="A206" s="82"/>
      <c r="B206" s="81"/>
      <c r="C206" s="60"/>
      <c r="E206" s="410"/>
    </row>
    <row r="207" spans="1:5" ht="15" customHeight="1" x14ac:dyDescent="0.2">
      <c r="A207" s="82"/>
      <c r="B207" s="81"/>
      <c r="C207" s="60"/>
      <c r="E207" s="410"/>
    </row>
    <row r="208" spans="1:5" ht="15" customHeight="1" x14ac:dyDescent="0.2">
      <c r="A208" s="82"/>
      <c r="B208" s="81"/>
      <c r="C208" s="60"/>
      <c r="E208" s="410"/>
    </row>
    <row r="209" spans="1:5" ht="15" customHeight="1" x14ac:dyDescent="0.2">
      <c r="A209" s="82"/>
      <c r="B209" s="81"/>
      <c r="C209" s="60"/>
      <c r="E209" s="410"/>
    </row>
    <row r="210" spans="1:5" ht="15" customHeight="1" x14ac:dyDescent="0.2">
      <c r="A210" s="82"/>
      <c r="B210" s="81"/>
      <c r="C210" s="60"/>
      <c r="E210" s="410"/>
    </row>
    <row r="211" spans="1:5" ht="15" customHeight="1" x14ac:dyDescent="0.2">
      <c r="A211" s="82"/>
      <c r="B211" s="81"/>
      <c r="C211" s="60"/>
      <c r="E211" s="410"/>
    </row>
    <row r="212" spans="1:5" ht="15" customHeight="1" x14ac:dyDescent="0.2">
      <c r="A212" s="82"/>
      <c r="B212" s="81"/>
      <c r="C212" s="60"/>
      <c r="E212" s="410"/>
    </row>
    <row r="213" spans="1:5" ht="15" customHeight="1" x14ac:dyDescent="0.2">
      <c r="A213" s="82"/>
      <c r="B213" s="81"/>
      <c r="C213" s="60"/>
      <c r="E213" s="410"/>
    </row>
    <row r="214" spans="1:5" ht="15" customHeight="1" x14ac:dyDescent="0.2">
      <c r="A214" s="82"/>
      <c r="B214" s="81"/>
      <c r="C214" s="60"/>
      <c r="E214" s="410"/>
    </row>
    <row r="215" spans="1:5" ht="15" customHeight="1" x14ac:dyDescent="0.2">
      <c r="A215" s="82"/>
      <c r="B215" s="81"/>
      <c r="C215" s="60"/>
      <c r="E215" s="410"/>
    </row>
    <row r="216" spans="1:5" ht="15" customHeight="1" x14ac:dyDescent="0.2">
      <c r="A216" s="82"/>
      <c r="B216" s="81"/>
      <c r="C216" s="60"/>
      <c r="E216" s="410"/>
    </row>
    <row r="217" spans="1:5" ht="15" customHeight="1" x14ac:dyDescent="0.2">
      <c r="A217" s="82"/>
      <c r="B217" s="81"/>
      <c r="C217" s="60"/>
      <c r="E217" s="410"/>
    </row>
    <row r="218" spans="1:5" ht="15" customHeight="1" x14ac:dyDescent="0.2">
      <c r="A218" s="82"/>
      <c r="B218" s="81"/>
      <c r="C218" s="60"/>
      <c r="E218" s="410"/>
    </row>
    <row r="219" spans="1:5" ht="15" customHeight="1" x14ac:dyDescent="0.2">
      <c r="A219" s="82"/>
      <c r="B219" s="81"/>
      <c r="C219" s="60"/>
      <c r="E219" s="410"/>
    </row>
    <row r="220" spans="1:5" ht="15" customHeight="1" x14ac:dyDescent="0.2">
      <c r="A220" s="82"/>
      <c r="B220" s="81"/>
      <c r="C220" s="60"/>
      <c r="E220" s="410"/>
    </row>
    <row r="221" spans="1:5" ht="15" customHeight="1" x14ac:dyDescent="0.2">
      <c r="A221" s="82"/>
      <c r="B221" s="81"/>
      <c r="C221" s="60"/>
      <c r="E221" s="410"/>
    </row>
    <row r="222" spans="1:5" ht="15" customHeight="1" x14ac:dyDescent="0.2">
      <c r="A222" s="82"/>
      <c r="B222" s="81"/>
      <c r="C222" s="60"/>
      <c r="E222" s="410"/>
    </row>
    <row r="223" spans="1:5" ht="15" customHeight="1" x14ac:dyDescent="0.2">
      <c r="A223" s="82"/>
      <c r="B223" s="81"/>
      <c r="C223" s="60"/>
      <c r="E223" s="410"/>
    </row>
    <row r="224" spans="1:5" ht="15" customHeight="1" x14ac:dyDescent="0.2">
      <c r="A224" s="82"/>
      <c r="B224" s="81"/>
      <c r="C224" s="60"/>
      <c r="E224" s="410"/>
    </row>
    <row r="225" spans="1:5" ht="15" customHeight="1" x14ac:dyDescent="0.2">
      <c r="A225" s="82"/>
      <c r="B225" s="81"/>
      <c r="C225" s="60"/>
      <c r="E225" s="410"/>
    </row>
    <row r="226" spans="1:5" ht="15" customHeight="1" x14ac:dyDescent="0.2">
      <c r="A226" s="82"/>
      <c r="B226" s="81"/>
      <c r="C226" s="60"/>
      <c r="E226" s="410"/>
    </row>
    <row r="227" spans="1:5" ht="15" customHeight="1" x14ac:dyDescent="0.2">
      <c r="A227" s="82"/>
      <c r="B227" s="81"/>
      <c r="C227" s="60"/>
      <c r="E227" s="410"/>
    </row>
    <row r="228" spans="1:5" ht="15" customHeight="1" x14ac:dyDescent="0.2">
      <c r="A228" s="82"/>
      <c r="B228" s="81"/>
      <c r="C228" s="60"/>
      <c r="E228" s="410"/>
    </row>
    <row r="229" spans="1:5" ht="15" customHeight="1" x14ac:dyDescent="0.2">
      <c r="A229" s="82"/>
      <c r="B229" s="81"/>
      <c r="C229" s="60"/>
      <c r="E229" s="410"/>
    </row>
    <row r="230" spans="1:5" ht="15" customHeight="1" x14ac:dyDescent="0.2">
      <c r="A230" s="82"/>
      <c r="B230" s="81"/>
      <c r="C230" s="60"/>
      <c r="E230" s="410"/>
    </row>
    <row r="231" spans="1:5" ht="15" customHeight="1" x14ac:dyDescent="0.2">
      <c r="A231" s="82"/>
      <c r="B231" s="81"/>
      <c r="C231" s="60"/>
      <c r="E231" s="410"/>
    </row>
    <row r="232" spans="1:5" ht="15" customHeight="1" x14ac:dyDescent="0.2">
      <c r="A232" s="82"/>
      <c r="B232" s="81"/>
      <c r="C232" s="60"/>
      <c r="E232" s="410"/>
    </row>
    <row r="233" spans="1:5" ht="15" customHeight="1" x14ac:dyDescent="0.2">
      <c r="A233" s="82"/>
      <c r="B233" s="81"/>
      <c r="C233" s="60"/>
      <c r="E233" s="410"/>
    </row>
    <row r="234" spans="1:5" ht="15" customHeight="1" x14ac:dyDescent="0.2">
      <c r="A234" s="82"/>
      <c r="B234" s="81"/>
      <c r="C234" s="60"/>
      <c r="E234" s="410"/>
    </row>
    <row r="235" spans="1:5" ht="15" customHeight="1" x14ac:dyDescent="0.2">
      <c r="A235" s="82"/>
      <c r="B235" s="81"/>
      <c r="C235" s="60"/>
      <c r="E235" s="410"/>
    </row>
    <row r="236" spans="1:5" ht="15" customHeight="1" x14ac:dyDescent="0.2">
      <c r="A236" s="82"/>
      <c r="B236" s="81"/>
      <c r="C236" s="60"/>
      <c r="E236" s="410"/>
    </row>
    <row r="237" spans="1:5" ht="15" customHeight="1" x14ac:dyDescent="0.2">
      <c r="A237" s="82"/>
      <c r="B237" s="81"/>
      <c r="C237" s="60"/>
      <c r="E237" s="410"/>
    </row>
    <row r="238" spans="1:5" ht="15" customHeight="1" x14ac:dyDescent="0.2">
      <c r="A238" s="82"/>
      <c r="B238" s="81"/>
      <c r="C238" s="60"/>
      <c r="E238" s="410"/>
    </row>
    <row r="239" spans="1:5" ht="15" customHeight="1" x14ac:dyDescent="0.2">
      <c r="A239" s="82"/>
      <c r="B239" s="81"/>
      <c r="C239" s="60"/>
      <c r="E239" s="410"/>
    </row>
    <row r="240" spans="1:5" ht="15" customHeight="1" x14ac:dyDescent="0.2">
      <c r="A240" s="82"/>
      <c r="B240" s="81"/>
      <c r="C240" s="60"/>
      <c r="E240" s="410"/>
    </row>
    <row r="241" spans="1:5" ht="15" customHeight="1" x14ac:dyDescent="0.2">
      <c r="A241" s="82"/>
      <c r="B241" s="81"/>
      <c r="C241" s="60"/>
      <c r="E241" s="410"/>
    </row>
    <row r="242" spans="1:5" ht="15" customHeight="1" x14ac:dyDescent="0.2">
      <c r="A242" s="82"/>
      <c r="B242" s="81"/>
      <c r="C242" s="60"/>
      <c r="E242" s="410"/>
    </row>
    <row r="243" spans="1:5" ht="15" customHeight="1" x14ac:dyDescent="0.2">
      <c r="A243" s="82"/>
      <c r="B243" s="81"/>
      <c r="C243" s="60"/>
      <c r="E243" s="410"/>
    </row>
    <row r="244" spans="1:5" ht="15" customHeight="1" x14ac:dyDescent="0.2">
      <c r="A244" s="82"/>
      <c r="B244" s="81"/>
      <c r="C244" s="60"/>
      <c r="E244" s="410"/>
    </row>
    <row r="245" spans="1:5" ht="15" customHeight="1" x14ac:dyDescent="0.2">
      <c r="A245" s="82"/>
      <c r="B245" s="81"/>
      <c r="C245" s="60"/>
      <c r="E245" s="410"/>
    </row>
    <row r="246" spans="1:5" ht="15" customHeight="1" x14ac:dyDescent="0.2">
      <c r="A246" s="82"/>
      <c r="B246" s="81"/>
      <c r="C246" s="60"/>
      <c r="E246" s="410"/>
    </row>
    <row r="247" spans="1:5" ht="15" customHeight="1" x14ac:dyDescent="0.2">
      <c r="A247" s="82"/>
      <c r="B247" s="81"/>
      <c r="C247" s="60"/>
      <c r="E247" s="410"/>
    </row>
    <row r="248" spans="1:5" ht="15" customHeight="1" x14ac:dyDescent="0.2">
      <c r="A248" s="82"/>
      <c r="B248" s="81"/>
      <c r="C248" s="60"/>
      <c r="E248" s="410"/>
    </row>
    <row r="249" spans="1:5" ht="15" customHeight="1" x14ac:dyDescent="0.2">
      <c r="A249" s="82"/>
      <c r="B249" s="81"/>
      <c r="C249" s="60"/>
      <c r="E249" s="410"/>
    </row>
    <row r="250" spans="1:5" ht="15" customHeight="1" x14ac:dyDescent="0.2">
      <c r="A250" s="82"/>
      <c r="B250" s="81"/>
      <c r="C250" s="60"/>
      <c r="E250" s="410"/>
    </row>
    <row r="251" spans="1:5" ht="15" customHeight="1" x14ac:dyDescent="0.2">
      <c r="A251" s="82"/>
      <c r="B251" s="81"/>
      <c r="C251" s="60"/>
      <c r="E251" s="410"/>
    </row>
    <row r="252" spans="1:5" ht="15" customHeight="1" x14ac:dyDescent="0.2">
      <c r="A252" s="82"/>
      <c r="B252" s="81"/>
      <c r="C252" s="60"/>
      <c r="E252" s="410"/>
    </row>
    <row r="253" spans="1:5" ht="15" customHeight="1" x14ac:dyDescent="0.2">
      <c r="A253" s="82"/>
      <c r="B253" s="81"/>
      <c r="C253" s="60"/>
      <c r="E253" s="410"/>
    </row>
    <row r="254" spans="1:5" ht="15" customHeight="1" x14ac:dyDescent="0.2">
      <c r="A254" s="82"/>
      <c r="B254" s="81"/>
      <c r="C254" s="60"/>
      <c r="E254" s="410"/>
    </row>
    <row r="255" spans="1:5" ht="15" customHeight="1" x14ac:dyDescent="0.2">
      <c r="A255" s="82"/>
      <c r="B255" s="81"/>
      <c r="C255" s="60"/>
      <c r="E255" s="410"/>
    </row>
    <row r="256" spans="1:5" ht="15" customHeight="1" x14ac:dyDescent="0.2">
      <c r="A256" s="82"/>
      <c r="B256" s="81"/>
      <c r="C256" s="60"/>
      <c r="E256" s="410"/>
    </row>
    <row r="257" spans="1:5" ht="15" customHeight="1" x14ac:dyDescent="0.2">
      <c r="A257" s="82"/>
      <c r="B257" s="81"/>
      <c r="C257" s="60"/>
      <c r="E257" s="410"/>
    </row>
    <row r="258" spans="1:5" ht="15" customHeight="1" x14ac:dyDescent="0.2">
      <c r="A258" s="82"/>
      <c r="B258" s="81"/>
      <c r="C258" s="60"/>
      <c r="E258" s="410"/>
    </row>
    <row r="259" spans="1:5" ht="15" customHeight="1" x14ac:dyDescent="0.2">
      <c r="A259" s="82"/>
      <c r="B259" s="81"/>
      <c r="C259" s="60"/>
      <c r="E259" s="410"/>
    </row>
    <row r="260" spans="1:5" ht="15" customHeight="1" x14ac:dyDescent="0.2">
      <c r="A260" s="82"/>
      <c r="B260" s="81"/>
      <c r="C260" s="60"/>
      <c r="E260" s="410"/>
    </row>
    <row r="261" spans="1:5" ht="15" customHeight="1" x14ac:dyDescent="0.2">
      <c r="A261" s="82"/>
      <c r="B261" s="81"/>
      <c r="C261" s="60"/>
      <c r="E261" s="410"/>
    </row>
    <row r="262" spans="1:5" ht="15" customHeight="1" x14ac:dyDescent="0.2">
      <c r="A262" s="82"/>
      <c r="B262" s="81"/>
      <c r="C262" s="60"/>
      <c r="E262" s="410"/>
    </row>
    <row r="263" spans="1:5" ht="15" customHeight="1" x14ac:dyDescent="0.2">
      <c r="A263" s="82"/>
      <c r="B263" s="81"/>
      <c r="C263" s="60"/>
      <c r="E263" s="410"/>
    </row>
    <row r="264" spans="1:5" ht="15" customHeight="1" x14ac:dyDescent="0.2">
      <c r="A264" s="82"/>
      <c r="B264" s="81"/>
      <c r="C264" s="60"/>
      <c r="E264" s="410"/>
    </row>
    <row r="265" spans="1:5" ht="15" customHeight="1" x14ac:dyDescent="0.2">
      <c r="A265" s="82"/>
      <c r="B265" s="81"/>
      <c r="C265" s="60"/>
      <c r="E265" s="410"/>
    </row>
    <row r="266" spans="1:5" ht="15" customHeight="1" x14ac:dyDescent="0.2">
      <c r="A266" s="82"/>
      <c r="B266" s="81"/>
      <c r="C266" s="60"/>
      <c r="E266" s="410"/>
    </row>
    <row r="267" spans="1:5" ht="15" customHeight="1" x14ac:dyDescent="0.2">
      <c r="A267" s="82"/>
      <c r="B267" s="81"/>
      <c r="C267" s="60"/>
      <c r="E267" s="410"/>
    </row>
    <row r="268" spans="1:5" ht="15" customHeight="1" x14ac:dyDescent="0.2">
      <c r="A268" s="82"/>
      <c r="B268" s="81"/>
      <c r="C268" s="60"/>
      <c r="E268" s="410"/>
    </row>
    <row r="269" spans="1:5" ht="15" customHeight="1" x14ac:dyDescent="0.2">
      <c r="A269" s="82"/>
      <c r="B269" s="81"/>
      <c r="C269" s="60"/>
      <c r="E269" s="410"/>
    </row>
    <row r="270" spans="1:5" ht="15" customHeight="1" x14ac:dyDescent="0.2">
      <c r="A270" s="82"/>
      <c r="B270" s="81"/>
      <c r="C270" s="60"/>
      <c r="E270" s="410"/>
    </row>
    <row r="271" spans="1:5" ht="15" customHeight="1" x14ac:dyDescent="0.2">
      <c r="A271" s="82"/>
      <c r="B271" s="81"/>
      <c r="C271" s="60"/>
      <c r="E271" s="410"/>
    </row>
    <row r="272" spans="1:5" ht="15" customHeight="1" x14ac:dyDescent="0.2">
      <c r="A272" s="82"/>
      <c r="B272" s="81"/>
      <c r="C272" s="60"/>
      <c r="E272" s="410"/>
    </row>
    <row r="273" spans="1:5" ht="15" customHeight="1" x14ac:dyDescent="0.2">
      <c r="A273" s="82"/>
      <c r="B273" s="81"/>
      <c r="C273" s="60"/>
      <c r="E273" s="410"/>
    </row>
    <row r="274" spans="1:5" ht="15" customHeight="1" x14ac:dyDescent="0.2">
      <c r="A274" s="82"/>
      <c r="B274" s="81"/>
      <c r="C274" s="60"/>
      <c r="E274" s="410"/>
    </row>
    <row r="275" spans="1:5" ht="15" customHeight="1" x14ac:dyDescent="0.2">
      <c r="A275" s="82"/>
      <c r="B275" s="81"/>
      <c r="C275" s="60"/>
      <c r="E275" s="410"/>
    </row>
    <row r="276" spans="1:5" ht="15" customHeight="1" x14ac:dyDescent="0.2">
      <c r="A276" s="82"/>
      <c r="B276" s="81"/>
      <c r="C276" s="60"/>
      <c r="E276" s="410"/>
    </row>
    <row r="277" spans="1:5" ht="15" customHeight="1" x14ac:dyDescent="0.2">
      <c r="A277" s="82"/>
      <c r="B277" s="81"/>
      <c r="C277" s="60"/>
      <c r="E277" s="410"/>
    </row>
    <row r="278" spans="1:5" ht="15" customHeight="1" x14ac:dyDescent="0.2">
      <c r="A278" s="82"/>
      <c r="B278" s="81"/>
      <c r="C278" s="60"/>
      <c r="E278" s="410"/>
    </row>
    <row r="279" spans="1:5" ht="15" customHeight="1" x14ac:dyDescent="0.2">
      <c r="A279" s="82"/>
      <c r="B279" s="81"/>
      <c r="C279" s="60"/>
      <c r="E279" s="410"/>
    </row>
    <row r="280" spans="1:5" ht="15" customHeight="1" x14ac:dyDescent="0.2">
      <c r="A280" s="82"/>
      <c r="B280" s="81"/>
      <c r="C280" s="60"/>
      <c r="E280" s="410"/>
    </row>
    <row r="281" spans="1:5" ht="15" customHeight="1" x14ac:dyDescent="0.2">
      <c r="A281" s="82"/>
      <c r="B281" s="81"/>
      <c r="C281" s="60"/>
      <c r="E281" s="410"/>
    </row>
    <row r="282" spans="1:5" ht="15" customHeight="1" x14ac:dyDescent="0.2">
      <c r="A282" s="82"/>
      <c r="B282" s="81"/>
      <c r="C282" s="60"/>
      <c r="E282" s="410"/>
    </row>
    <row r="283" spans="1:5" ht="15" customHeight="1" x14ac:dyDescent="0.2">
      <c r="A283" s="82"/>
      <c r="B283" s="81"/>
      <c r="C283" s="60"/>
      <c r="E283" s="410"/>
    </row>
    <row r="284" spans="1:5" ht="15" customHeight="1" x14ac:dyDescent="0.2">
      <c r="A284" s="82"/>
      <c r="B284" s="81"/>
      <c r="C284" s="60"/>
      <c r="E284" s="410"/>
    </row>
    <row r="285" spans="1:5" ht="15" customHeight="1" x14ac:dyDescent="0.2">
      <c r="A285" s="82"/>
      <c r="B285" s="81"/>
      <c r="C285" s="60"/>
      <c r="E285" s="410"/>
    </row>
    <row r="286" spans="1:5" ht="15" customHeight="1" x14ac:dyDescent="0.2">
      <c r="A286" s="82"/>
      <c r="B286" s="81"/>
      <c r="C286" s="60"/>
      <c r="E286" s="410"/>
    </row>
    <row r="287" spans="1:5" ht="15" customHeight="1" x14ac:dyDescent="0.2">
      <c r="A287" s="82"/>
      <c r="B287" s="81"/>
      <c r="C287" s="60"/>
      <c r="E287" s="410"/>
    </row>
    <row r="288" spans="1:5" ht="15" customHeight="1" x14ac:dyDescent="0.2">
      <c r="A288" s="82"/>
      <c r="B288" s="81"/>
      <c r="C288" s="60"/>
      <c r="E288" s="410"/>
    </row>
    <row r="289" spans="1:5" ht="15" customHeight="1" x14ac:dyDescent="0.2">
      <c r="A289" s="82"/>
      <c r="B289" s="81"/>
      <c r="C289" s="60"/>
      <c r="E289" s="410"/>
    </row>
    <row r="290" spans="1:5" ht="15" customHeight="1" x14ac:dyDescent="0.2">
      <c r="A290" s="82"/>
      <c r="B290" s="81"/>
      <c r="C290" s="60"/>
      <c r="E290" s="410"/>
    </row>
    <row r="291" spans="1:5" ht="15" customHeight="1" x14ac:dyDescent="0.2">
      <c r="A291" s="82"/>
      <c r="B291" s="81"/>
      <c r="C291" s="60"/>
      <c r="E291" s="410"/>
    </row>
    <row r="292" spans="1:5" ht="15" customHeight="1" x14ac:dyDescent="0.2">
      <c r="A292" s="82"/>
      <c r="B292" s="81"/>
      <c r="C292" s="60"/>
      <c r="E292" s="410"/>
    </row>
    <row r="293" spans="1:5" ht="15" customHeight="1" x14ac:dyDescent="0.2">
      <c r="A293" s="82"/>
      <c r="B293" s="81"/>
      <c r="C293" s="60"/>
      <c r="E293" s="410"/>
    </row>
    <row r="294" spans="1:5" ht="15" customHeight="1" x14ac:dyDescent="0.2">
      <c r="A294" s="82"/>
      <c r="B294" s="81"/>
      <c r="C294" s="60"/>
      <c r="E294" s="410"/>
    </row>
    <row r="295" spans="1:5" ht="15" customHeight="1" x14ac:dyDescent="0.2">
      <c r="A295" s="82"/>
      <c r="B295" s="81"/>
      <c r="C295" s="60"/>
      <c r="E295" s="410"/>
    </row>
    <row r="296" spans="1:5" ht="15" customHeight="1" x14ac:dyDescent="0.2">
      <c r="A296" s="82"/>
      <c r="B296" s="81"/>
      <c r="C296" s="60"/>
      <c r="E296" s="410"/>
    </row>
    <row r="297" spans="1:5" ht="15" customHeight="1" x14ac:dyDescent="0.2">
      <c r="A297" s="82"/>
      <c r="B297" s="81"/>
      <c r="C297" s="60"/>
      <c r="E297" s="410"/>
    </row>
    <row r="298" spans="1:5" ht="15" customHeight="1" x14ac:dyDescent="0.2">
      <c r="A298" s="82"/>
      <c r="B298" s="81"/>
      <c r="C298" s="60"/>
      <c r="E298" s="410"/>
    </row>
    <row r="299" spans="1:5" ht="15" customHeight="1" x14ac:dyDescent="0.2">
      <c r="A299" s="82"/>
      <c r="B299" s="81"/>
      <c r="C299" s="60"/>
      <c r="E299" s="410"/>
    </row>
    <row r="300" spans="1:5" ht="15" customHeight="1" x14ac:dyDescent="0.2">
      <c r="A300" s="82"/>
      <c r="B300" s="81"/>
      <c r="C300" s="60"/>
      <c r="E300" s="410"/>
    </row>
    <row r="301" spans="1:5" ht="15" customHeight="1" x14ac:dyDescent="0.2">
      <c r="A301" s="82"/>
      <c r="B301" s="81"/>
      <c r="C301" s="60"/>
      <c r="E301" s="410"/>
    </row>
    <row r="302" spans="1:5" ht="15" customHeight="1" x14ac:dyDescent="0.2">
      <c r="A302" s="82"/>
      <c r="B302" s="81"/>
      <c r="C302" s="60"/>
      <c r="E302" s="410"/>
    </row>
    <row r="303" spans="1:5" ht="15" customHeight="1" x14ac:dyDescent="0.2">
      <c r="A303" s="82"/>
      <c r="B303" s="81"/>
      <c r="C303" s="60"/>
      <c r="E303" s="410"/>
    </row>
    <row r="304" spans="1:5" ht="15" customHeight="1" x14ac:dyDescent="0.2">
      <c r="A304" s="82"/>
      <c r="B304" s="81"/>
      <c r="C304" s="60"/>
      <c r="E304" s="410"/>
    </row>
    <row r="305" spans="1:5" ht="15" customHeight="1" x14ac:dyDescent="0.2">
      <c r="A305" s="82"/>
      <c r="B305" s="81"/>
      <c r="C305" s="60"/>
      <c r="E305" s="410"/>
    </row>
    <row r="306" spans="1:5" ht="15" customHeight="1" x14ac:dyDescent="0.2">
      <c r="A306" s="82"/>
      <c r="B306" s="81"/>
      <c r="C306" s="60"/>
      <c r="E306" s="410"/>
    </row>
    <row r="307" spans="1:5" ht="15" customHeight="1" x14ac:dyDescent="0.2">
      <c r="A307" s="82"/>
      <c r="B307" s="81"/>
      <c r="C307" s="60"/>
      <c r="E307" s="410"/>
    </row>
    <row r="308" spans="1:5" ht="15" customHeight="1" x14ac:dyDescent="0.2">
      <c r="A308" s="82"/>
      <c r="B308" s="81"/>
      <c r="C308" s="60"/>
      <c r="E308" s="410"/>
    </row>
    <row r="309" spans="1:5" ht="15" customHeight="1" x14ac:dyDescent="0.2">
      <c r="A309" s="82"/>
      <c r="B309" s="81"/>
      <c r="C309" s="60"/>
      <c r="E309" s="410"/>
    </row>
    <row r="310" spans="1:5" ht="15" customHeight="1" x14ac:dyDescent="0.2">
      <c r="A310" s="82"/>
      <c r="B310" s="81"/>
      <c r="C310" s="60"/>
      <c r="E310" s="410"/>
    </row>
    <row r="311" spans="1:5" ht="15" customHeight="1" x14ac:dyDescent="0.2">
      <c r="A311" s="82"/>
      <c r="B311" s="81"/>
      <c r="C311" s="60"/>
      <c r="E311" s="410"/>
    </row>
    <row r="312" spans="1:5" ht="15" customHeight="1" x14ac:dyDescent="0.2">
      <c r="A312" s="82"/>
      <c r="B312" s="81"/>
      <c r="C312" s="60"/>
      <c r="E312" s="410"/>
    </row>
    <row r="313" spans="1:5" ht="15" customHeight="1" x14ac:dyDescent="0.2">
      <c r="A313" s="82"/>
      <c r="B313" s="81"/>
      <c r="C313" s="60"/>
      <c r="E313" s="410"/>
    </row>
    <row r="314" spans="1:5" ht="15" customHeight="1" x14ac:dyDescent="0.2">
      <c r="A314" s="82"/>
      <c r="B314" s="81"/>
      <c r="C314" s="60"/>
      <c r="E314" s="410"/>
    </row>
    <row r="315" spans="1:5" ht="15" customHeight="1" x14ac:dyDescent="0.2">
      <c r="A315" s="82"/>
      <c r="B315" s="81"/>
      <c r="C315" s="60"/>
      <c r="E315" s="410"/>
    </row>
    <row r="316" spans="1:5" ht="15" customHeight="1" x14ac:dyDescent="0.2">
      <c r="A316" s="82"/>
      <c r="B316" s="81"/>
      <c r="C316" s="60"/>
      <c r="E316" s="410"/>
    </row>
    <row r="317" spans="1:5" ht="15" customHeight="1" x14ac:dyDescent="0.2">
      <c r="A317" s="82"/>
      <c r="B317" s="81"/>
      <c r="C317" s="60"/>
      <c r="E317" s="410"/>
    </row>
    <row r="318" spans="1:5" ht="15" customHeight="1" x14ac:dyDescent="0.2">
      <c r="A318" s="82"/>
      <c r="B318" s="81"/>
      <c r="C318" s="60"/>
      <c r="E318" s="410"/>
    </row>
    <row r="319" spans="1:5" ht="15" customHeight="1" x14ac:dyDescent="0.2">
      <c r="A319" s="82"/>
      <c r="B319" s="81"/>
      <c r="C319" s="60"/>
      <c r="E319" s="410"/>
    </row>
    <row r="320" spans="1:5" ht="15" customHeight="1" x14ac:dyDescent="0.2">
      <c r="A320" s="82"/>
      <c r="B320" s="81"/>
      <c r="C320" s="60"/>
      <c r="E320" s="410"/>
    </row>
    <row r="321" spans="1:5" ht="15" customHeight="1" x14ac:dyDescent="0.2">
      <c r="A321" s="82"/>
      <c r="B321" s="81"/>
      <c r="C321" s="60"/>
      <c r="E321" s="410"/>
    </row>
    <row r="322" spans="1:5" ht="15" customHeight="1" x14ac:dyDescent="0.2">
      <c r="A322" s="82"/>
      <c r="B322" s="81"/>
      <c r="C322" s="60"/>
      <c r="E322" s="410"/>
    </row>
    <row r="323" spans="1:5" ht="15" customHeight="1" x14ac:dyDescent="0.2">
      <c r="A323" s="82"/>
      <c r="B323" s="81"/>
      <c r="C323" s="60"/>
      <c r="E323" s="410"/>
    </row>
    <row r="324" spans="1:5" ht="15" customHeight="1" x14ac:dyDescent="0.2">
      <c r="B324" s="81"/>
      <c r="C324" s="60"/>
      <c r="E324" s="410"/>
    </row>
    <row r="325" spans="1:5" ht="15" customHeight="1" x14ac:dyDescent="0.2">
      <c r="B325" s="81"/>
      <c r="C325" s="60"/>
      <c r="E325" s="410"/>
    </row>
    <row r="326" spans="1:5" ht="15" customHeight="1" x14ac:dyDescent="0.2">
      <c r="B326" s="81"/>
      <c r="C326" s="60"/>
      <c r="E326" s="410"/>
    </row>
  </sheetData>
  <sheetProtection algorithmName="SHA-512" hashValue="t33ed07jTE+WTbJNqRjwvupeYaP8KpD/5U2CM90Vx5+n6VZoFHsnMbu8wlnqFBg600DDZ2P7x4vns5Htw4olVg==" saltValue="secfpiADUkBhaavQufwoGw==" spinCount="100000" sheet="1" formatCells="0" formatColumns="0" formatRows="0"/>
  <customSheetViews>
    <customSheetView guid="{B8E02330-2419-4DE6-AD01-7ACC7A5D18DD}" scale="75" topLeftCell="A108">
      <selection activeCell="F120" sqref="F120"/>
      <pageMargins left="0.75" right="0.75" top="1" bottom="1" header="0.5" footer="0.5"/>
      <pageSetup orientation="portrait" horizontalDpi="4294967294" verticalDpi="300" r:id="rId1"/>
      <headerFooter alignWithMargins="0"/>
    </customSheetView>
  </customSheetViews>
  <mergeCells count="88">
    <mergeCell ref="A84:A87"/>
    <mergeCell ref="H98:I98"/>
    <mergeCell ref="H109:I109"/>
    <mergeCell ref="H110:I110"/>
    <mergeCell ref="H104:I104"/>
    <mergeCell ref="H105:I105"/>
    <mergeCell ref="H106:I106"/>
    <mergeCell ref="H107:I107"/>
    <mergeCell ref="H108:I108"/>
    <mergeCell ref="H99:I99"/>
    <mergeCell ref="H100:I100"/>
    <mergeCell ref="H101:I101"/>
    <mergeCell ref="H102:I102"/>
    <mergeCell ref="H103:I103"/>
    <mergeCell ref="H96:I96"/>
    <mergeCell ref="H97:I97"/>
    <mergeCell ref="I12:I18"/>
    <mergeCell ref="I20:I23"/>
    <mergeCell ref="I24:I29"/>
    <mergeCell ref="I42:I47"/>
    <mergeCell ref="H12:H18"/>
    <mergeCell ref="H30:H35"/>
    <mergeCell ref="H93:I93"/>
    <mergeCell ref="H94:I94"/>
    <mergeCell ref="I84:I87"/>
    <mergeCell ref="I30:I35"/>
    <mergeCell ref="I36:I41"/>
    <mergeCell ref="H84:H87"/>
    <mergeCell ref="H80:H83"/>
    <mergeCell ref="H68:H72"/>
    <mergeCell ref="H36:H41"/>
    <mergeCell ref="H74:H78"/>
    <mergeCell ref="I74:I78"/>
    <mergeCell ref="A1:B1"/>
    <mergeCell ref="B3:B7"/>
    <mergeCell ref="A8:A11"/>
    <mergeCell ref="B8:B11"/>
    <mergeCell ref="B12:B18"/>
    <mergeCell ref="A12:A18"/>
    <mergeCell ref="A3:A7"/>
    <mergeCell ref="E1:I1"/>
    <mergeCell ref="I3:I7"/>
    <mergeCell ref="I8:I11"/>
    <mergeCell ref="H8:H11"/>
    <mergeCell ref="H3:H7"/>
    <mergeCell ref="A24:A29"/>
    <mergeCell ref="B30:B35"/>
    <mergeCell ref="A20:A23"/>
    <mergeCell ref="H20:H23"/>
    <mergeCell ref="B20:B23"/>
    <mergeCell ref="H24:H29"/>
    <mergeCell ref="B24:B29"/>
    <mergeCell ref="A30:A35"/>
    <mergeCell ref="A68:A72"/>
    <mergeCell ref="A58:A63"/>
    <mergeCell ref="H64:H67"/>
    <mergeCell ref="B64:B67"/>
    <mergeCell ref="B42:B47"/>
    <mergeCell ref="B58:B63"/>
    <mergeCell ref="B48:B53"/>
    <mergeCell ref="H58:H63"/>
    <mergeCell ref="H54:H57"/>
    <mergeCell ref="B68:B72"/>
    <mergeCell ref="B54:B57"/>
    <mergeCell ref="C94:E94"/>
    <mergeCell ref="D89:F89"/>
    <mergeCell ref="B84:B87"/>
    <mergeCell ref="B74:B78"/>
    <mergeCell ref="C93:E93"/>
    <mergeCell ref="D90:F90"/>
    <mergeCell ref="D91:F91"/>
    <mergeCell ref="B80:B83"/>
    <mergeCell ref="A36:A41"/>
    <mergeCell ref="A80:A83"/>
    <mergeCell ref="H42:H47"/>
    <mergeCell ref="I64:I67"/>
    <mergeCell ref="I80:I83"/>
    <mergeCell ref="A48:A53"/>
    <mergeCell ref="I48:I53"/>
    <mergeCell ref="I54:I57"/>
    <mergeCell ref="I58:I63"/>
    <mergeCell ref="I68:I72"/>
    <mergeCell ref="A64:A67"/>
    <mergeCell ref="A42:A47"/>
    <mergeCell ref="A74:A78"/>
    <mergeCell ref="A54:A57"/>
    <mergeCell ref="H48:H53"/>
    <mergeCell ref="B36:B41"/>
  </mergeCells>
  <phoneticPr fontId="3" type="noConversion"/>
  <pageMargins left="0.75" right="0.75" top="1" bottom="1" header="0.5" footer="0.5"/>
  <pageSetup orientation="portrait" horizontalDpi="4294967294" verticalDpi="300" r:id="rId2"/>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LisMode xmlns="http://schemas.microsoft.com/sharepoint/v3" xsi:nil="true"/>
    <RecordID xmlns="http://schemas.microsoft.com/sharepoint/v3" xsi:nil="true"/>
    <LisProjectID xmlns="http://schemas.microsoft.com/sharepoint/v3">MON-AT-2020-84912</LisProjectID>
    <ParcelID xmlns="http://schemas.microsoft.com/sharepoint/v3" xsi:nil="true"/>
    <MonitoringID xmlns="http://schemas.microsoft.com/sharepoint/v3">84912</MonitoringID>
    <Confidential xmlns="http://schemas.microsoft.com/sharepoint/v3">false</Confidential>
    <NCCSubRegion xmlns="http://schemas.microsoft.com/sharepoint/v3" xsi:nil="true"/>
    <LisProjectName xmlns="http://schemas.microsoft.com/sharepoint/v3">Bellisle_Bay_wetland_assessments-MON-AT-2020-84912</LisProjectName>
    <AgreementID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Biodiversity List" ma:contentTypeID="0x010100B76EF5556B0B4CF0A3091E9C5A728B5C0041BE8B06E3382B44B594D8C42F79F6850060A9F6C5A6D0A54B847D43691A52060B" ma:contentTypeVersion="2" ma:contentTypeDescription="Base NCC Content Type, contails all metadata" ma:contentTypeScope="" ma:versionID="05daf015f3a6e35293156e3f25eccf79">
  <xsd:schema xmlns:xsd="http://www.w3.org/2001/XMLSchema" xmlns:p="http://schemas.microsoft.com/office/2006/metadata/properties" xmlns:ns1="http://schemas.microsoft.com/sharepoint/v3" targetNamespace="http://schemas.microsoft.com/office/2006/metadata/properties" ma:root="true" ma:fieldsID="d098314db532ae745ceecf9cbb3628c0" ns1:_="">
    <xsd:import namespace="http://schemas.microsoft.com/sharepoint/v3"/>
    <xsd:element name="properties">
      <xsd:complexType>
        <xsd:sequence>
          <xsd:element name="documentManagement">
            <xsd:complexType>
              <xsd:all>
                <xsd:element ref="ns1:LisProjectID" minOccurs="0"/>
                <xsd:element ref="ns1:LisProjectName" minOccurs="0"/>
                <xsd:element ref="ns1:LisMode" minOccurs="0"/>
                <xsd:element ref="ns1:RecordID" minOccurs="0"/>
                <xsd:element ref="ns1:NCCSubRegion" minOccurs="0"/>
                <xsd:element ref="ns1:Confidential" minOccurs="0"/>
                <xsd:element ref="ns1:AgreementID" minOccurs="0"/>
                <xsd:element ref="ns1:MonitoringID" minOccurs="0"/>
                <xsd:element ref="ns1:ParcelID"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LisProjectID" ma:index="8" nillable="true" ma:displayName="LIS ID" ma:internalName="LisProjectID">
      <xsd:simpleType>
        <xsd:restriction base="dms:Text"/>
      </xsd:simpleType>
    </xsd:element>
    <xsd:element name="LisProjectName" ma:index="9" nillable="true" ma:displayName="LIS Name" ma:internalName="LisProjectName">
      <xsd:simpleType>
        <xsd:restriction base="dms:Text"/>
      </xsd:simpleType>
    </xsd:element>
    <xsd:element name="LisMode" ma:index="10" nillable="true" ma:displayName="LIS Mode" ma:internalName="LisMode">
      <xsd:simpleType>
        <xsd:restriction base="dms:Text"/>
      </xsd:simpleType>
    </xsd:element>
    <xsd:element name="RecordID" ma:index="11" nillable="true" ma:displayName="Record ID" ma:internalName="RecordID">
      <xsd:simpleType>
        <xsd:restriction base="dms:Text"/>
      </xsd:simpleType>
    </xsd:element>
    <xsd:element name="NCCSubRegion" ma:index="12" nillable="true" ma:displayName="Sub Region" ma:internalName="NCCSubRegion">
      <xsd:simpleType>
        <xsd:restriction base="dms:Text"/>
      </xsd:simpleType>
    </xsd:element>
    <xsd:element name="Confidential" ma:index="13" nillable="true" ma:displayName="Confidential" ma:default="0" ma:internalName="Confidential">
      <xsd:simpleType>
        <xsd:restriction base="dms:Boolean"/>
      </xsd:simpleType>
    </xsd:element>
    <xsd:element name="AgreementID" ma:index="14" nillable="true" ma:displayName="Agreement ID" ma:internalName="AgreementID">
      <xsd:simpleType>
        <xsd:restriction base="dms:Text"/>
      </xsd:simpleType>
    </xsd:element>
    <xsd:element name="MonitoringID" ma:index="15" nillable="true" ma:displayName="Monitoring ID" ma:internalName="MonitoringID">
      <xsd:simpleType>
        <xsd:restriction base="dms:Text"/>
      </xsd:simpleType>
    </xsd:element>
    <xsd:element name="ParcelID" ma:index="16" nillable="true" ma:displayName="Parcel ID" ma:internalName="ParcelID">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C4839DD-CA97-4F91-BFFD-21F15E905BE5}">
  <ds:schemaRefs>
    <ds:schemaRef ds:uri="http://schemas.microsoft.com/office/2006/metadata/properties"/>
    <ds:schemaRef ds:uri="http://schemas.microsoft.com/sharepoint/v3"/>
  </ds:schemaRefs>
</ds:datastoreItem>
</file>

<file path=customXml/itemProps2.xml><?xml version="1.0" encoding="utf-8"?>
<ds:datastoreItem xmlns:ds="http://schemas.openxmlformats.org/officeDocument/2006/customXml" ds:itemID="{3318B000-3937-49DC-AF22-1BC8A36013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985542E1-4D0C-45F7-A16E-08988472046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818</vt:i4>
      </vt:variant>
    </vt:vector>
  </HeadingPairs>
  <TitlesOfParts>
    <vt:vector size="847" baseType="lpstr">
      <vt:lpstr>CoverPage</vt:lpstr>
      <vt:lpstr>KeyFindings</vt:lpstr>
      <vt:lpstr>Photos</vt:lpstr>
      <vt:lpstr>OF</vt:lpstr>
      <vt:lpstr>OF_notes</vt:lpstr>
      <vt:lpstr>F</vt:lpstr>
      <vt:lpstr>S</vt:lpstr>
      <vt:lpstr>Scores</vt:lpstr>
      <vt:lpstr>WS</vt:lpstr>
      <vt:lpstr>SFS</vt:lpstr>
      <vt:lpstr>WC</vt:lpstr>
      <vt:lpstr>SR</vt:lpstr>
      <vt:lpstr>PR</vt:lpstr>
      <vt:lpstr>NR</vt:lpstr>
      <vt:lpstr>CS</vt:lpstr>
      <vt:lpstr>OE</vt:lpstr>
      <vt:lpstr>FA</vt:lpstr>
      <vt:lpstr>FR</vt:lpstr>
      <vt:lpstr>INV</vt:lpstr>
      <vt:lpstr>AM</vt:lpstr>
      <vt:lpstr>WBF</vt:lpstr>
      <vt:lpstr>WBN</vt:lpstr>
      <vt:lpstr>SBM</vt:lpstr>
      <vt:lpstr>POL</vt:lpstr>
      <vt:lpstr>PH</vt:lpstr>
      <vt:lpstr>PU</vt:lpstr>
      <vt:lpstr>EC</vt:lpstr>
      <vt:lpstr>Sen</vt:lpstr>
      <vt:lpstr>STR</vt:lpstr>
      <vt:lpstr>__IBA12</vt:lpstr>
      <vt:lpstr>_BMP11</vt:lpstr>
      <vt:lpstr>_BMP12</vt:lpstr>
      <vt:lpstr>_BMP13</vt:lpstr>
      <vt:lpstr>_Bog6</vt:lpstr>
      <vt:lpstr>_GDD1</vt:lpstr>
      <vt:lpstr>_GDD11</vt:lpstr>
      <vt:lpstr>_GDD2</vt:lpstr>
      <vt:lpstr>_GDD3</vt:lpstr>
      <vt:lpstr>_IBA13</vt:lpstr>
      <vt:lpstr>_IBA14</vt:lpstr>
      <vt:lpstr>_Iso2</vt:lpstr>
      <vt:lpstr>_Tox12</vt:lpstr>
      <vt:lpstr>_WBF10</vt:lpstr>
      <vt:lpstr>AbioSens</vt:lpstr>
      <vt:lpstr>ABpct10</vt:lpstr>
      <vt:lpstr>ABpct11</vt:lpstr>
      <vt:lpstr>ABpct12</vt:lpstr>
      <vt:lpstr>ABpct8</vt:lpstr>
      <vt:lpstr>Access10</vt:lpstr>
      <vt:lpstr>Access12</vt:lpstr>
      <vt:lpstr>Access9</vt:lpstr>
      <vt:lpstr>Acid12</vt:lpstr>
      <vt:lpstr>Acid4</vt:lpstr>
      <vt:lpstr>Acid9</vt:lpstr>
      <vt:lpstr>Acidic11</vt:lpstr>
      <vt:lpstr>Acidic13</vt:lpstr>
      <vt:lpstr>Acidic20</vt:lpstr>
      <vt:lpstr>AcidicPool10</vt:lpstr>
      <vt:lpstr>AcidicS</vt:lpstr>
      <vt:lpstr>AcidPool10</vt:lpstr>
      <vt:lpstr>Adsorb3</vt:lpstr>
      <vt:lpstr>AfishShed9</vt:lpstr>
      <vt:lpstr>Algae12</vt:lpstr>
      <vt:lpstr>Algae3</vt:lpstr>
      <vt:lpstr>AllDry11</vt:lpstr>
      <vt:lpstr>AllDry12</vt:lpstr>
      <vt:lpstr>AllDry9</vt:lpstr>
      <vt:lpstr>AllForbCov</vt:lpstr>
      <vt:lpstr>AllOpenPond</vt:lpstr>
      <vt:lpstr>AllSat1</vt:lpstr>
      <vt:lpstr>AllSat2</vt:lpstr>
      <vt:lpstr>AllWet</vt:lpstr>
      <vt:lpstr>AltTime10</vt:lpstr>
      <vt:lpstr>AltTime20</vt:lpstr>
      <vt:lpstr>AltTime8</vt:lpstr>
      <vt:lpstr>AltTime8a</vt:lpstr>
      <vt:lpstr>AltTime9</vt:lpstr>
      <vt:lpstr>AltTiming</vt:lpstr>
      <vt:lpstr>AltTimingIN</vt:lpstr>
      <vt:lpstr>Amphib</vt:lpstr>
      <vt:lpstr>AnadFish</vt:lpstr>
      <vt:lpstr>AnadFish7</vt:lpstr>
      <vt:lpstr>AnadScore2_</vt:lpstr>
      <vt:lpstr>AnoxRisk10</vt:lpstr>
      <vt:lpstr>AqCov8</vt:lpstr>
      <vt:lpstr>AqFertilPD</vt:lpstr>
      <vt:lpstr>AqPlantCov13</vt:lpstr>
      <vt:lpstr>AqPlantCov2</vt:lpstr>
      <vt:lpstr>AqPlantCov3</vt:lpstr>
      <vt:lpstr>AqPlantCov4</vt:lpstr>
      <vt:lpstr>AqPlantCov5</vt:lpstr>
      <vt:lpstr>AqPlantCov6</vt:lpstr>
      <vt:lpstr>AqPlantCov9</vt:lpstr>
      <vt:lpstr>AqStruc11</vt:lpstr>
      <vt:lpstr>Aquifer4</vt:lpstr>
      <vt:lpstr>AreaTotal12</vt:lpstr>
      <vt:lpstr>Aspect1</vt:lpstr>
      <vt:lpstr>Aspect11</vt:lpstr>
      <vt:lpstr>Aspect2_</vt:lpstr>
      <vt:lpstr>Aspect4</vt:lpstr>
      <vt:lpstr>Aspect7</vt:lpstr>
      <vt:lpstr>Aspect7v</vt:lpstr>
      <vt:lpstr>BareGpct</vt:lpstr>
      <vt:lpstr>Bduck13</vt:lpstr>
      <vt:lpstr>Beaver_S</vt:lpstr>
      <vt:lpstr>Beaver10</vt:lpstr>
      <vt:lpstr>Beaver12</vt:lpstr>
      <vt:lpstr>Beaver13</vt:lpstr>
      <vt:lpstr>Beaver14</vt:lpstr>
      <vt:lpstr>Beaver14a</vt:lpstr>
      <vt:lpstr>Beaver9</vt:lpstr>
      <vt:lpstr>BeaverPD</vt:lpstr>
      <vt:lpstr>BigPondProx12</vt:lpstr>
      <vt:lpstr>Biological</vt:lpstr>
      <vt:lpstr>BioSens</vt:lpstr>
      <vt:lpstr>BMPsoils20</vt:lpstr>
      <vt:lpstr>BMPsoilsPU</vt:lpstr>
      <vt:lpstr>BMPwildPU</vt:lpstr>
      <vt:lpstr>BuffAllNat</vt:lpstr>
      <vt:lpstr>BuffCovTyp4</vt:lpstr>
      <vt:lpstr>BuffDisturbTyp</vt:lpstr>
      <vt:lpstr>BuffLU11</vt:lpstr>
      <vt:lpstr>BuffLU9</vt:lpstr>
      <vt:lpstr>BuffLUpd</vt:lpstr>
      <vt:lpstr>BuffLUtype0</vt:lpstr>
      <vt:lpstr>BuffLUtype13</vt:lpstr>
      <vt:lpstr>BuffNatPct13</vt:lpstr>
      <vt:lpstr>BuffPctNat9</vt:lpstr>
      <vt:lpstr>BuffPerim0</vt:lpstr>
      <vt:lpstr>BuffPerim14</vt:lpstr>
      <vt:lpstr>BuffSlope_S</vt:lpstr>
      <vt:lpstr>BuffSlope2</vt:lpstr>
      <vt:lpstr>BuffSlope3</vt:lpstr>
      <vt:lpstr>BuffSlope4</vt:lpstr>
      <vt:lpstr>Burn20</vt:lpstr>
      <vt:lpstr>Burn5</vt:lpstr>
      <vt:lpstr>BurnHist</vt:lpstr>
      <vt:lpstr>CAimperv</vt:lpstr>
      <vt:lpstr>CalcFen15</vt:lpstr>
      <vt:lpstr>CalcFen3</vt:lpstr>
      <vt:lpstr>CAnatPct2</vt:lpstr>
      <vt:lpstr>CAnatPct4</vt:lpstr>
      <vt:lpstr>CApct1</vt:lpstr>
      <vt:lpstr>CApct2</vt:lpstr>
      <vt:lpstr>CApct3</vt:lpstr>
      <vt:lpstr>CApct4</vt:lpstr>
      <vt:lpstr>CApctB3</vt:lpstr>
      <vt:lpstr>CAunveg1</vt:lpstr>
      <vt:lpstr>cliff0</vt:lpstr>
      <vt:lpstr>Cliff14</vt:lpstr>
      <vt:lpstr>Cliffs14</vt:lpstr>
      <vt:lpstr>ClimateLF</vt:lpstr>
      <vt:lpstr>Colonizer</vt:lpstr>
      <vt:lpstr>CompetPD</vt:lpstr>
      <vt:lpstr>Conduc10</vt:lpstr>
      <vt:lpstr>Conduc20</vt:lpstr>
      <vt:lpstr>Conduc3</vt:lpstr>
      <vt:lpstr>Conduc4</vt:lpstr>
      <vt:lpstr>Conduc8</vt:lpstr>
      <vt:lpstr>ConductivS</vt:lpstr>
      <vt:lpstr>Connec3</vt:lpstr>
      <vt:lpstr>Connec4</vt:lpstr>
      <vt:lpstr>Connec8</vt:lpstr>
      <vt:lpstr>ConnectivLF</vt:lpstr>
      <vt:lpstr>ConsDesig</vt:lpstr>
      <vt:lpstr>ConsDesig1</vt:lpstr>
      <vt:lpstr>ConsInvest</vt:lpstr>
      <vt:lpstr>Constric_S</vt:lpstr>
      <vt:lpstr>Constric1</vt:lpstr>
      <vt:lpstr>Constric2</vt:lpstr>
      <vt:lpstr>Constric3</vt:lpstr>
      <vt:lpstr>Constric4</vt:lpstr>
      <vt:lpstr>Constric5</vt:lpstr>
      <vt:lpstr>Constric6</vt:lpstr>
      <vt:lpstr>Constricted</vt:lpstr>
      <vt:lpstr>Conven</vt:lpstr>
      <vt:lpstr>Core1</vt:lpstr>
      <vt:lpstr>Core1_11</vt:lpstr>
      <vt:lpstr>Core1_13</vt:lpstr>
      <vt:lpstr>Core10</vt:lpstr>
      <vt:lpstr>Core12a</vt:lpstr>
      <vt:lpstr>Core12b</vt:lpstr>
      <vt:lpstr>Core13a</vt:lpstr>
      <vt:lpstr>Core14a</vt:lpstr>
      <vt:lpstr>Core14b</vt:lpstr>
      <vt:lpstr>Core1pd</vt:lpstr>
      <vt:lpstr>Core1PU</vt:lpstr>
      <vt:lpstr>Core2</vt:lpstr>
      <vt:lpstr>Core2_11</vt:lpstr>
      <vt:lpstr>Core2_13</vt:lpstr>
      <vt:lpstr>Core2pd</vt:lpstr>
      <vt:lpstr>Core2PU</vt:lpstr>
      <vt:lpstr>Core9</vt:lpstr>
      <vt:lpstr>CovPctScape0</vt:lpstr>
      <vt:lpstr>CUbuffLUtype8</vt:lpstr>
      <vt:lpstr>CUbuffPctNat8</vt:lpstr>
      <vt:lpstr>CUratio_S</vt:lpstr>
      <vt:lpstr>CUratioSS</vt:lpstr>
      <vt:lpstr>CUtypeLU14</vt:lpstr>
      <vt:lpstr>DecidCov15</vt:lpstr>
      <vt:lpstr>DecidTree5</vt:lpstr>
      <vt:lpstr>DecidTree8</vt:lpstr>
      <vt:lpstr>DeepPersis</vt:lpstr>
      <vt:lpstr>DeerHab14</vt:lpstr>
      <vt:lpstr>DeerShed14</vt:lpstr>
      <vt:lpstr>Depth_S</vt:lpstr>
      <vt:lpstr>Depth10</vt:lpstr>
      <vt:lpstr>Depth12</vt:lpstr>
      <vt:lpstr>Depth13</vt:lpstr>
      <vt:lpstr>Depth15</vt:lpstr>
      <vt:lpstr>Depth2_</vt:lpstr>
      <vt:lpstr>Depth5</vt:lpstr>
      <vt:lpstr>Depth6</vt:lpstr>
      <vt:lpstr>Depth7</vt:lpstr>
      <vt:lpstr>Depth8</vt:lpstr>
      <vt:lpstr>Depth9</vt:lpstr>
      <vt:lpstr>DepthC2</vt:lpstr>
      <vt:lpstr>DepthDiv8</vt:lpstr>
      <vt:lpstr>DepthDom5</vt:lpstr>
      <vt:lpstr>DepthEven10</vt:lpstr>
      <vt:lpstr>DepthEven12</vt:lpstr>
      <vt:lpstr>DepthEven13</vt:lpstr>
      <vt:lpstr>Desorb3</vt:lpstr>
      <vt:lpstr>DisRd14</vt:lpstr>
      <vt:lpstr>DistBig15</vt:lpstr>
      <vt:lpstr>DistNat0</vt:lpstr>
      <vt:lpstr>DistPond10</vt:lpstr>
      <vt:lpstr>DistPond12</vt:lpstr>
      <vt:lpstr>DistPond13</vt:lpstr>
      <vt:lpstr>DistPond14</vt:lpstr>
      <vt:lpstr>DistRd</vt:lpstr>
      <vt:lpstr>DistRd10</vt:lpstr>
      <vt:lpstr>DistRd9</vt:lpstr>
      <vt:lpstr>DistRdPD</vt:lpstr>
      <vt:lpstr>DistRdPU</vt:lpstr>
      <vt:lpstr>DisturbStress</vt:lpstr>
      <vt:lpstr>DomDepth3</vt:lpstr>
      <vt:lpstr>downwood0</vt:lpstr>
      <vt:lpstr>DryIntercept</vt:lpstr>
      <vt:lpstr>DuckHunt</vt:lpstr>
      <vt:lpstr>Elev_S</vt:lpstr>
      <vt:lpstr>Elev4</vt:lpstr>
      <vt:lpstr>Elev9</vt:lpstr>
      <vt:lpstr>EmPct12</vt:lpstr>
      <vt:lpstr>EmPct13</vt:lpstr>
      <vt:lpstr>EmRobust13</vt:lpstr>
      <vt:lpstr>EmSens1_C</vt:lpstr>
      <vt:lpstr>EmSens1_S</vt:lpstr>
      <vt:lpstr>Enrich</vt:lpstr>
      <vt:lpstr>Entrain</vt:lpstr>
      <vt:lpstr>Erodible2</vt:lpstr>
      <vt:lpstr>ErodibleSS</vt:lpstr>
      <vt:lpstr>ExportPot6</vt:lpstr>
      <vt:lpstr>Fdamage</vt:lpstr>
      <vt:lpstr>Fen_</vt:lpstr>
      <vt:lpstr>Fen2_</vt:lpstr>
      <vt:lpstr>Fertility</vt:lpstr>
      <vt:lpstr>Fish12a</vt:lpstr>
      <vt:lpstr>fISH13A</vt:lpstr>
      <vt:lpstr>FishAcc11</vt:lpstr>
      <vt:lpstr>Fishing</vt:lpstr>
      <vt:lpstr>Fishing10</vt:lpstr>
      <vt:lpstr>Fishing9</vt:lpstr>
      <vt:lpstr>FloDist1</vt:lpstr>
      <vt:lpstr>FloDist4</vt:lpstr>
      <vt:lpstr>FloDist6</vt:lpstr>
      <vt:lpstr>FloodBdg1</vt:lpstr>
      <vt:lpstr>FlowDist2</vt:lpstr>
      <vt:lpstr>FlowDist3</vt:lpstr>
      <vt:lpstr>Fluc2</vt:lpstr>
      <vt:lpstr>FlucPD</vt:lpstr>
      <vt:lpstr>Fluctu11</vt:lpstr>
      <vt:lpstr>Fluctu13</vt:lpstr>
      <vt:lpstr>Fluctu3</vt:lpstr>
      <vt:lpstr>Fluctu4</vt:lpstr>
      <vt:lpstr>Fluctu5</vt:lpstr>
      <vt:lpstr>Fluctu6</vt:lpstr>
      <vt:lpstr>Fluctu8</vt:lpstr>
      <vt:lpstr>Fluctua1</vt:lpstr>
      <vt:lpstr>Food8</vt:lpstr>
      <vt:lpstr>Forbs0</vt:lpstr>
      <vt:lpstr>FragStress</vt:lpstr>
      <vt:lpstr>FreezeDura3</vt:lpstr>
      <vt:lpstr>Friction</vt:lpstr>
      <vt:lpstr>Fringe12</vt:lpstr>
      <vt:lpstr>Fringe12a</vt:lpstr>
      <vt:lpstr>Fringe13</vt:lpstr>
      <vt:lpstr>Fringe7a</vt:lpstr>
      <vt:lpstr>Fringe7b</vt:lpstr>
      <vt:lpstr>FrozDur4</vt:lpstr>
      <vt:lpstr>FrozDur6</vt:lpstr>
      <vt:lpstr>FscoreSRM</vt:lpstr>
      <vt:lpstr>FscoreWBF</vt:lpstr>
      <vt:lpstr>FscoreWBN</vt:lpstr>
      <vt:lpstr>Gcover_S</vt:lpstr>
      <vt:lpstr>gcover0</vt:lpstr>
      <vt:lpstr>Gcover11</vt:lpstr>
      <vt:lpstr>Gcover14</vt:lpstr>
      <vt:lpstr>Gcover2</vt:lpstr>
      <vt:lpstr>Gcover3</vt:lpstr>
      <vt:lpstr>Gcover4</vt:lpstr>
      <vt:lpstr>Gcover6</vt:lpstr>
      <vt:lpstr>Gcover8</vt:lpstr>
      <vt:lpstr>GDD_S</vt:lpstr>
      <vt:lpstr>GDDpd</vt:lpstr>
      <vt:lpstr>girreg0</vt:lpstr>
      <vt:lpstr>Girreg1</vt:lpstr>
      <vt:lpstr>Girreg11</vt:lpstr>
      <vt:lpstr>Girreg14</vt:lpstr>
      <vt:lpstr>Girreg2</vt:lpstr>
      <vt:lpstr>Girreg3</vt:lpstr>
      <vt:lpstr>Girreg4</vt:lpstr>
      <vt:lpstr>Girreg8</vt:lpstr>
      <vt:lpstr>GirregCQ</vt:lpstr>
      <vt:lpstr>GirregPD</vt:lpstr>
      <vt:lpstr>GpA_2</vt:lpstr>
      <vt:lpstr>GpB_2</vt:lpstr>
      <vt:lpstr>GpC_2</vt:lpstr>
      <vt:lpstr>Gradient1</vt:lpstr>
      <vt:lpstr>Gradient12</vt:lpstr>
      <vt:lpstr>Gradient13</vt:lpstr>
      <vt:lpstr>Gradient2</vt:lpstr>
      <vt:lpstr>Gradient3</vt:lpstr>
      <vt:lpstr>Gradient4</vt:lpstr>
      <vt:lpstr>Gradient5</vt:lpstr>
      <vt:lpstr>Gradient6</vt:lpstr>
      <vt:lpstr>gramin0</vt:lpstr>
      <vt:lpstr>Groundw1</vt:lpstr>
      <vt:lpstr>Groundw10</vt:lpstr>
      <vt:lpstr>GroundW11</vt:lpstr>
      <vt:lpstr>Groundw2_</vt:lpstr>
      <vt:lpstr>Groundw3</vt:lpstr>
      <vt:lpstr>Groundw4</vt:lpstr>
      <vt:lpstr>GroundW5</vt:lpstr>
      <vt:lpstr>Groundw6</vt:lpstr>
      <vt:lpstr>Groundw8</vt:lpstr>
      <vt:lpstr>GroundW9</vt:lpstr>
      <vt:lpstr>GroundwDisch</vt:lpstr>
      <vt:lpstr>GroundwLF</vt:lpstr>
      <vt:lpstr>GrowD</vt:lpstr>
      <vt:lpstr>GrowthRate</vt:lpstr>
      <vt:lpstr>Gwater7</vt:lpstr>
      <vt:lpstr>GWpd</vt:lpstr>
      <vt:lpstr>GWsens</vt:lpstr>
      <vt:lpstr>herbdiv0</vt:lpstr>
      <vt:lpstr>HerbDiv8</vt:lpstr>
      <vt:lpstr>HerbDom1</vt:lpstr>
      <vt:lpstr>herbdom15</vt:lpstr>
      <vt:lpstr>HerbDom2</vt:lpstr>
      <vt:lpstr>herbsens0</vt:lpstr>
      <vt:lpstr>HerbUniq</vt:lpstr>
      <vt:lpstr>HerbUniq0</vt:lpstr>
      <vt:lpstr>HerbUniq12</vt:lpstr>
      <vt:lpstr>HerbUniq13</vt:lpstr>
      <vt:lpstr>HerbUniq14</vt:lpstr>
      <vt:lpstr>HerbUniq20</vt:lpstr>
      <vt:lpstr>HistAccum5</vt:lpstr>
      <vt:lpstr>HistAccum6</vt:lpstr>
      <vt:lpstr>Hydro10</vt:lpstr>
      <vt:lpstr>Hydro11</vt:lpstr>
      <vt:lpstr>Hydro12</vt:lpstr>
      <vt:lpstr>Hydro13</vt:lpstr>
      <vt:lpstr>Hydropd8</vt:lpstr>
      <vt:lpstr>Hydropd9</vt:lpstr>
      <vt:lpstr>HydroStress</vt:lpstr>
      <vt:lpstr>IBA</vt:lpstr>
      <vt:lpstr>IBA12a</vt:lpstr>
      <vt:lpstr>IBird12v</vt:lpstr>
      <vt:lpstr>Imperv4</vt:lpstr>
      <vt:lpstr>Imperv7</vt:lpstr>
      <vt:lpstr>ImpervCA</vt:lpstr>
      <vt:lpstr>ImpervCA3</vt:lpstr>
      <vt:lpstr>ImpervCA9</vt:lpstr>
      <vt:lpstr>ImpervPctSS</vt:lpstr>
      <vt:lpstr>Inclus11</vt:lpstr>
      <vt:lpstr>Inclus11a</vt:lpstr>
      <vt:lpstr>Inclus14</vt:lpstr>
      <vt:lpstr>Inclus4</vt:lpstr>
      <vt:lpstr>Inflo2</vt:lpstr>
      <vt:lpstr>Inflo3</vt:lpstr>
      <vt:lpstr>Inflo4</vt:lpstr>
      <vt:lpstr>InfloPD</vt:lpstr>
      <vt:lpstr>Inflow4a</vt:lpstr>
      <vt:lpstr>InFlowPD</vt:lpstr>
      <vt:lpstr>Inflows</vt:lpstr>
      <vt:lpstr>Intercep4</vt:lpstr>
      <vt:lpstr>IntercepDry3</vt:lpstr>
      <vt:lpstr>IntercepWet3</vt:lpstr>
      <vt:lpstr>Interspers10</vt:lpstr>
      <vt:lpstr>Interspers11</vt:lpstr>
      <vt:lpstr>Interspers12</vt:lpstr>
      <vt:lpstr>Interspers13</vt:lpstr>
      <vt:lpstr>Interspers14</vt:lpstr>
      <vt:lpstr>Interspers2</vt:lpstr>
      <vt:lpstr>Interspers3</vt:lpstr>
      <vt:lpstr>Interspers4</vt:lpstr>
      <vt:lpstr>Interspers6</vt:lpstr>
      <vt:lpstr>Interspers8</vt:lpstr>
      <vt:lpstr>Interspers9</vt:lpstr>
      <vt:lpstr>InterspersPD</vt:lpstr>
      <vt:lpstr>Invas15</vt:lpstr>
      <vt:lpstr>InvasDom1</vt:lpstr>
      <vt:lpstr>Invest</vt:lpstr>
      <vt:lpstr>InvScore2_</vt:lpstr>
      <vt:lpstr>Island13</vt:lpstr>
      <vt:lpstr>IsoDry_S</vt:lpstr>
      <vt:lpstr>IsoDry1</vt:lpstr>
      <vt:lpstr>ISOdry13</vt:lpstr>
      <vt:lpstr>ISOdry7</vt:lpstr>
      <vt:lpstr>ISOwet11</vt:lpstr>
      <vt:lpstr>ISOwet12</vt:lpstr>
      <vt:lpstr>IsoWet2</vt:lpstr>
      <vt:lpstr>IsoWet2a</vt:lpstr>
      <vt:lpstr>IsoWet2s</vt:lpstr>
      <vt:lpstr>ISOwet5</vt:lpstr>
      <vt:lpstr>IsoWet8</vt:lpstr>
      <vt:lpstr>Karst10a</vt:lpstr>
      <vt:lpstr>Karst11</vt:lpstr>
      <vt:lpstr>Karst16</vt:lpstr>
      <vt:lpstr>Karst16a</vt:lpstr>
      <vt:lpstr>karst8</vt:lpstr>
      <vt:lpstr>Karst9</vt:lpstr>
      <vt:lpstr>Karst9a</vt:lpstr>
      <vt:lpstr>Lacus13a</vt:lpstr>
      <vt:lpstr>Lacus7</vt:lpstr>
      <vt:lpstr>Lacust13</vt:lpstr>
      <vt:lpstr>Lake10</vt:lpstr>
      <vt:lpstr>Lake10a</vt:lpstr>
      <vt:lpstr>Lake12</vt:lpstr>
      <vt:lpstr>Lake12a</vt:lpstr>
      <vt:lpstr>Lake3</vt:lpstr>
      <vt:lpstr>Lake3a</vt:lpstr>
      <vt:lpstr>LakeNear13</vt:lpstr>
      <vt:lpstr>LakeProx_S</vt:lpstr>
      <vt:lpstr>LakeProx13</vt:lpstr>
      <vt:lpstr>LakePU</vt:lpstr>
      <vt:lpstr>LiveStore</vt:lpstr>
      <vt:lpstr>LiveStore2</vt:lpstr>
      <vt:lpstr>Lscape</vt:lpstr>
      <vt:lpstr>Lscape11</vt:lpstr>
      <vt:lpstr>Lscape12</vt:lpstr>
      <vt:lpstr>Lscape13</vt:lpstr>
      <vt:lpstr>Lscape14</vt:lpstr>
      <vt:lpstr>Lscape8</vt:lpstr>
      <vt:lpstr>Lscape9</vt:lpstr>
      <vt:lpstr>LscapePD</vt:lpstr>
      <vt:lpstr>Marsh</vt:lpstr>
      <vt:lpstr>MaxFluc2</vt:lpstr>
      <vt:lpstr>MethLimit5</vt:lpstr>
      <vt:lpstr>MitigaSite</vt:lpstr>
      <vt:lpstr>MossCov5</vt:lpstr>
      <vt:lpstr>Mudflat12</vt:lpstr>
      <vt:lpstr>NatCApct3</vt:lpstr>
      <vt:lpstr>NatCov2mi11</vt:lpstr>
      <vt:lpstr>NatVegCA</vt:lpstr>
      <vt:lpstr>NatVegCApd</vt:lpstr>
      <vt:lpstr>NatVegCUpct_S</vt:lpstr>
      <vt:lpstr>NatVegCUpct10</vt:lpstr>
      <vt:lpstr>NatVegCUpct9</vt:lpstr>
      <vt:lpstr>NatVegPct11</vt:lpstr>
      <vt:lpstr>NatVegPctCU8</vt:lpstr>
      <vt:lpstr>NatVegPctScape14</vt:lpstr>
      <vt:lpstr>NatVegProx_S</vt:lpstr>
      <vt:lpstr>NatVegProx11</vt:lpstr>
      <vt:lpstr>NatVegProx14</vt:lpstr>
      <vt:lpstr>NatVegSize_S</vt:lpstr>
      <vt:lpstr>NatVegSize11</vt:lpstr>
      <vt:lpstr>NatVegSize14</vt:lpstr>
      <vt:lpstr>NB</vt:lpstr>
      <vt:lpstr>NestSites</vt:lpstr>
      <vt:lpstr>NewWet</vt:lpstr>
      <vt:lpstr>NewWet_S</vt:lpstr>
      <vt:lpstr>NewWet5</vt:lpstr>
      <vt:lpstr>NewWet6</vt:lpstr>
      <vt:lpstr>NewWetNot6</vt:lpstr>
      <vt:lpstr>Nfix10</vt:lpstr>
      <vt:lpstr>Nfix14</vt:lpstr>
      <vt:lpstr>Nfix4</vt:lpstr>
      <vt:lpstr>Nfix9</vt:lpstr>
      <vt:lpstr>Nfixer6</vt:lpstr>
      <vt:lpstr>Nfixers8</vt:lpstr>
      <vt:lpstr>NfixPD</vt:lpstr>
      <vt:lpstr>NfixS</vt:lpstr>
      <vt:lpstr>NL</vt:lpstr>
      <vt:lpstr>NoCA</vt:lpstr>
      <vt:lpstr>NoHerbCov</vt:lpstr>
      <vt:lpstr>NonHydric6</vt:lpstr>
      <vt:lpstr>NoOpenPonded</vt:lpstr>
      <vt:lpstr>NoOpenPonded1</vt:lpstr>
      <vt:lpstr>NoOut_S</vt:lpstr>
      <vt:lpstr>NoOutlet1</vt:lpstr>
      <vt:lpstr>NoOutlet10</vt:lpstr>
      <vt:lpstr>NoOutlet2</vt:lpstr>
      <vt:lpstr>NoOutlet3</vt:lpstr>
      <vt:lpstr>NoOutlet4</vt:lpstr>
      <vt:lpstr>NoOutlet5</vt:lpstr>
      <vt:lpstr>NoOutlet6</vt:lpstr>
      <vt:lpstr>NoPermW10</vt:lpstr>
      <vt:lpstr>NoPersis</vt:lpstr>
      <vt:lpstr>NoPonded</vt:lpstr>
      <vt:lpstr>NoRobustEm</vt:lpstr>
      <vt:lpstr>NoSeasonal</vt:lpstr>
      <vt:lpstr>NotFen5</vt:lpstr>
      <vt:lpstr>NotNewWet</vt:lpstr>
      <vt:lpstr>NoWater3</vt:lpstr>
      <vt:lpstr>NoWater4a</vt:lpstr>
      <vt:lpstr>NS</vt:lpstr>
      <vt:lpstr>NsampDown</vt:lpstr>
      <vt:lpstr>NsampUp</vt:lpstr>
      <vt:lpstr>Nsource4</vt:lpstr>
      <vt:lpstr>NutrAvail6</vt:lpstr>
      <vt:lpstr>OpenPonded7</vt:lpstr>
      <vt:lpstr>OpenW</vt:lpstr>
      <vt:lpstr>Organic4</vt:lpstr>
      <vt:lpstr>OutDur2</vt:lpstr>
      <vt:lpstr>OutDur2_</vt:lpstr>
      <vt:lpstr>OutDur7</vt:lpstr>
      <vt:lpstr>OutDura_S</vt:lpstr>
      <vt:lpstr>OutDura1</vt:lpstr>
      <vt:lpstr>OutDura10</vt:lpstr>
      <vt:lpstr>OutDura3</vt:lpstr>
      <vt:lpstr>OutDura4</vt:lpstr>
      <vt:lpstr>OutDura5</vt:lpstr>
      <vt:lpstr>OutDura6</vt:lpstr>
      <vt:lpstr>OutDura9</vt:lpstr>
      <vt:lpstr>OutNone</vt:lpstr>
      <vt:lpstr>OutNone1</vt:lpstr>
      <vt:lpstr>OverRich</vt:lpstr>
      <vt:lpstr>Ownership</vt:lpstr>
      <vt:lpstr>OwnerSS</vt:lpstr>
      <vt:lpstr>PEI</vt:lpstr>
      <vt:lpstr>PermWpct10</vt:lpstr>
      <vt:lpstr>PermWpct11</vt:lpstr>
      <vt:lpstr>PermWpct12</vt:lpstr>
      <vt:lpstr>PermWpct13</vt:lpstr>
      <vt:lpstr>PermWpct14</vt:lpstr>
      <vt:lpstr>PermWpct4</vt:lpstr>
      <vt:lpstr>PermWpct5</vt:lpstr>
      <vt:lpstr>PermWpct8</vt:lpstr>
      <vt:lpstr>PermWpct9</vt:lpstr>
      <vt:lpstr>Persis3</vt:lpstr>
      <vt:lpstr>persist0</vt:lpstr>
      <vt:lpstr>PhysAccum5</vt:lpstr>
      <vt:lpstr>PlantCov6</vt:lpstr>
      <vt:lpstr>Pload3</vt:lpstr>
      <vt:lpstr>PollenOn</vt:lpstr>
      <vt:lpstr>PondedPct6</vt:lpstr>
      <vt:lpstr>Ponding2</vt:lpstr>
      <vt:lpstr>PondNum11v</vt:lpstr>
      <vt:lpstr>PondNum12v</vt:lpstr>
      <vt:lpstr>PondNum13v</vt:lpstr>
      <vt:lpstr>PondPct4</vt:lpstr>
      <vt:lpstr>PondProx_S</vt:lpstr>
      <vt:lpstr>PondProx11</vt:lpstr>
      <vt:lpstr>PondProx12</vt:lpstr>
      <vt:lpstr>PondProx13</vt:lpstr>
      <vt:lpstr>PondProx14</vt:lpstr>
      <vt:lpstr>PondProx15</vt:lpstr>
      <vt:lpstr>PopCtr12</vt:lpstr>
      <vt:lpstr>PopCtr14</vt:lpstr>
      <vt:lpstr>PopCtr15</vt:lpstr>
      <vt:lpstr>PopCtr9</vt:lpstr>
      <vt:lpstr>PopCtrDisPU</vt:lpstr>
      <vt:lpstr>PopCtrDist</vt:lpstr>
      <vt:lpstr>PopDist10</vt:lpstr>
      <vt:lpstr>PopDist4</vt:lpstr>
      <vt:lpstr>F!Print_Area</vt:lpstr>
      <vt:lpstr>OF!Print_Area</vt:lpstr>
      <vt:lpstr>S!Print_Area</vt:lpstr>
      <vt:lpstr>Scores!Print_Area</vt:lpstr>
      <vt:lpstr>Produc</vt:lpstr>
      <vt:lpstr>Produc10</vt:lpstr>
      <vt:lpstr>Produc11</vt:lpstr>
      <vt:lpstr>Produc12</vt:lpstr>
      <vt:lpstr>Produc13</vt:lpstr>
      <vt:lpstr>Produc14</vt:lpstr>
      <vt:lpstr>Produc9</vt:lpstr>
      <vt:lpstr>Productiv</vt:lpstr>
      <vt:lpstr>Productiv6</vt:lpstr>
      <vt:lpstr>PsampDown3</vt:lpstr>
      <vt:lpstr>PsampUp3</vt:lpstr>
      <vt:lpstr>Rare12</vt:lpstr>
      <vt:lpstr>Rare13</vt:lpstr>
      <vt:lpstr>Rare14</vt:lpstr>
      <vt:lpstr>RareAll</vt:lpstr>
      <vt:lpstr>rareherb</vt:lpstr>
      <vt:lpstr>RareHerp</vt:lpstr>
      <vt:lpstr>RarePsp20</vt:lpstr>
      <vt:lpstr>RareSpp_S</vt:lpstr>
      <vt:lpstr>RareSpPD</vt:lpstr>
      <vt:lpstr>RareWclassPD</vt:lpstr>
      <vt:lpstr>RdBox</vt:lpstr>
      <vt:lpstr>RdBox14</vt:lpstr>
      <vt:lpstr>RdDis11</vt:lpstr>
      <vt:lpstr>RdDis13</vt:lpstr>
      <vt:lpstr>RdDist4</vt:lpstr>
      <vt:lpstr>RecPot</vt:lpstr>
      <vt:lpstr>RecreaPoten</vt:lpstr>
      <vt:lpstr>RecUse</vt:lpstr>
      <vt:lpstr>Redox4</vt:lpstr>
      <vt:lpstr>ResFish</vt:lpstr>
      <vt:lpstr>ResFishScore2_</vt:lpstr>
      <vt:lpstr>RoadCirc11</vt:lpstr>
      <vt:lpstr>Salt20</vt:lpstr>
      <vt:lpstr>SatPct_S</vt:lpstr>
      <vt:lpstr>SatPct10</vt:lpstr>
      <vt:lpstr>SatPct11</vt:lpstr>
      <vt:lpstr>SatPct12</vt:lpstr>
      <vt:lpstr>SatPct13</vt:lpstr>
      <vt:lpstr>SatPct14</vt:lpstr>
      <vt:lpstr>SatPct2v</vt:lpstr>
      <vt:lpstr>SatPct3</vt:lpstr>
      <vt:lpstr>SatPct4</vt:lpstr>
      <vt:lpstr>SatPct7</vt:lpstr>
      <vt:lpstr>SatPct8</vt:lpstr>
      <vt:lpstr>SatPct9</vt:lpstr>
      <vt:lpstr>SatPctPD</vt:lpstr>
      <vt:lpstr>Satur10</vt:lpstr>
      <vt:lpstr>SBMscore10</vt:lpstr>
      <vt:lpstr>ScapeLU11</vt:lpstr>
      <vt:lpstr>ScapeLU14</vt:lpstr>
      <vt:lpstr>SciUse</vt:lpstr>
      <vt:lpstr>ScorePLDf</vt:lpstr>
      <vt:lpstr>ScorePOLf</vt:lpstr>
      <vt:lpstr>ScoreSBM</vt:lpstr>
      <vt:lpstr>SeasPct1</vt:lpstr>
      <vt:lpstr>SeasPct2</vt:lpstr>
      <vt:lpstr>SeasPct8</vt:lpstr>
      <vt:lpstr>SeasWpct12</vt:lpstr>
      <vt:lpstr>SeasWpct13</vt:lpstr>
      <vt:lpstr>SeasWpct4</vt:lpstr>
      <vt:lpstr>SeasWpct5</vt:lpstr>
      <vt:lpstr>SeasWpct6</vt:lpstr>
      <vt:lpstr>SeasWpct9</vt:lpstr>
      <vt:lpstr>SeasWpctPD</vt:lpstr>
      <vt:lpstr>SedCA8</vt:lpstr>
      <vt:lpstr>SedCA8a</vt:lpstr>
      <vt:lpstr>SedDep20</vt:lpstr>
      <vt:lpstr>SedDisturb20</vt:lpstr>
      <vt:lpstr>SedExcess10</vt:lpstr>
      <vt:lpstr>Sedge5</vt:lpstr>
      <vt:lpstr>SedIn9</vt:lpstr>
      <vt:lpstr>SedLoad</vt:lpstr>
      <vt:lpstr>Shade7</vt:lpstr>
      <vt:lpstr>Shade9</vt:lpstr>
      <vt:lpstr>ShadeIn7</vt:lpstr>
      <vt:lpstr>ShedPos</vt:lpstr>
      <vt:lpstr>ShedPos1</vt:lpstr>
      <vt:lpstr>ShedPos2</vt:lpstr>
      <vt:lpstr>ShedPos7</vt:lpstr>
      <vt:lpstr>ShoreSlope13</vt:lpstr>
      <vt:lpstr>ShrubDiv0</vt:lpstr>
      <vt:lpstr>ShrubDiv14</vt:lpstr>
      <vt:lpstr>ShrubPattS</vt:lpstr>
      <vt:lpstr>ShrubSun11</vt:lpstr>
      <vt:lpstr>SizeHerbac13</vt:lpstr>
      <vt:lpstr>SizeHerbac14</vt:lpstr>
      <vt:lpstr>SizePD</vt:lpstr>
      <vt:lpstr>SizeVegConnec15</vt:lpstr>
      <vt:lpstr>SnagB13</vt:lpstr>
      <vt:lpstr>SnagD14</vt:lpstr>
      <vt:lpstr>Snags0</vt:lpstr>
      <vt:lpstr>Soil2_</vt:lpstr>
      <vt:lpstr>SoilDisturb</vt:lpstr>
      <vt:lpstr>SoilDisturb15</vt:lpstr>
      <vt:lpstr>SoilDisturb3</vt:lpstr>
      <vt:lpstr>SoilDisturb4</vt:lpstr>
      <vt:lpstr>SoilDisturb5</vt:lpstr>
      <vt:lpstr>SoilDisturb8</vt:lpstr>
      <vt:lpstr>SoilDisturb8a</vt:lpstr>
      <vt:lpstr>SoilTex_S</vt:lpstr>
      <vt:lpstr>SoilTex1</vt:lpstr>
      <vt:lpstr>SoilTex3</vt:lpstr>
      <vt:lpstr>SoilTex4</vt:lpstr>
      <vt:lpstr>SoilTex5</vt:lpstr>
      <vt:lpstr>SoilTex6</vt:lpstr>
      <vt:lpstr>SoilTexPD</vt:lpstr>
      <vt:lpstr>SongbMam</vt:lpstr>
      <vt:lpstr>SppArea</vt:lpstr>
      <vt:lpstr>SStorage2</vt:lpstr>
      <vt:lpstr>Stain3</vt:lpstr>
      <vt:lpstr>Steep1</vt:lpstr>
      <vt:lpstr>Steep13</vt:lpstr>
      <vt:lpstr>Steep1ws</vt:lpstr>
      <vt:lpstr>Steep2ws</vt:lpstr>
      <vt:lpstr>Stress0</vt:lpstr>
      <vt:lpstr>Stress10</vt:lpstr>
      <vt:lpstr>Stress11</vt:lpstr>
      <vt:lpstr>Stress12</vt:lpstr>
      <vt:lpstr>Stress14</vt:lpstr>
      <vt:lpstr>Stress9</vt:lpstr>
      <vt:lpstr>Stressors13</vt:lpstr>
      <vt:lpstr>Stressors8</vt:lpstr>
      <vt:lpstr>StressPD</vt:lpstr>
      <vt:lpstr>Struc10</vt:lpstr>
      <vt:lpstr>Struc11</vt:lpstr>
      <vt:lpstr>Struc12</vt:lpstr>
      <vt:lpstr>Struc13</vt:lpstr>
      <vt:lpstr>Struc9</vt:lpstr>
      <vt:lpstr>StrucA</vt:lpstr>
      <vt:lpstr>StrucB</vt:lpstr>
      <vt:lpstr>Structure8</vt:lpstr>
      <vt:lpstr>Subsurf</vt:lpstr>
      <vt:lpstr>Subtypes8</vt:lpstr>
      <vt:lpstr>SWOpd</vt:lpstr>
      <vt:lpstr>TerrFertilPD</vt:lpstr>
      <vt:lpstr>TerrStruc11</vt:lpstr>
      <vt:lpstr>ThruFlo1</vt:lpstr>
      <vt:lpstr>ThruFlo10</vt:lpstr>
      <vt:lpstr>ThruFlo2</vt:lpstr>
      <vt:lpstr>ThruFlo3</vt:lpstr>
      <vt:lpstr>ThruFlo4</vt:lpstr>
      <vt:lpstr>ThruFlo6</vt:lpstr>
      <vt:lpstr>ThruFlo8</vt:lpstr>
      <vt:lpstr>ThruFlo9</vt:lpstr>
      <vt:lpstr>TidalPD</vt:lpstr>
      <vt:lpstr>TidalProx12</vt:lpstr>
      <vt:lpstr>TidalProx8</vt:lpstr>
      <vt:lpstr>TidalProx9</vt:lpstr>
      <vt:lpstr>TidalProxPU</vt:lpstr>
      <vt:lpstr>TooSmall</vt:lpstr>
      <vt:lpstr>TooSteep</vt:lpstr>
      <vt:lpstr>TooSteep12</vt:lpstr>
      <vt:lpstr>TooSteep13</vt:lpstr>
      <vt:lpstr>ToxData10</vt:lpstr>
      <vt:lpstr>ToxData2</vt:lpstr>
      <vt:lpstr>ToxData9</vt:lpstr>
      <vt:lpstr>Toxic</vt:lpstr>
      <vt:lpstr>Toxic0</vt:lpstr>
      <vt:lpstr>Toxic11</vt:lpstr>
      <vt:lpstr>ToxicData</vt:lpstr>
      <vt:lpstr>ToxicIn11</vt:lpstr>
      <vt:lpstr>ToxicIn9</vt:lpstr>
      <vt:lpstr>toxics13</vt:lpstr>
      <vt:lpstr>ToxOnsite</vt:lpstr>
      <vt:lpstr>ToxUp2</vt:lpstr>
      <vt:lpstr>Transport1</vt:lpstr>
      <vt:lpstr>Transport3</vt:lpstr>
      <vt:lpstr>Transport4</vt:lpstr>
      <vt:lpstr>TransportSS</vt:lpstr>
      <vt:lpstr>TreeCanop4</vt:lpstr>
      <vt:lpstr>TreeCovS</vt:lpstr>
      <vt:lpstr>TreeDBHs</vt:lpstr>
      <vt:lpstr>TreeForm13</vt:lpstr>
      <vt:lpstr>TreeForm5</vt:lpstr>
      <vt:lpstr>Trees13</vt:lpstr>
      <vt:lpstr>TreeTyp13</vt:lpstr>
      <vt:lpstr>TreeTypes14</vt:lpstr>
      <vt:lpstr>TreeVar11</vt:lpstr>
      <vt:lpstr>Unif14</vt:lpstr>
      <vt:lpstr>UpEdge_S</vt:lpstr>
      <vt:lpstr>UpEdge14</vt:lpstr>
      <vt:lpstr>UpEdgeShape4</vt:lpstr>
      <vt:lpstr>VegPct5k15</vt:lpstr>
      <vt:lpstr>VegPctScape_S</vt:lpstr>
      <vt:lpstr>VegWabs3</vt:lpstr>
      <vt:lpstr>Visib12</vt:lpstr>
      <vt:lpstr>Visibility</vt:lpstr>
      <vt:lpstr>VisibWet</vt:lpstr>
      <vt:lpstr>VscoreSRM</vt:lpstr>
      <vt:lpstr>VscoreWBF</vt:lpstr>
      <vt:lpstr>VscoreWBN</vt:lpstr>
      <vt:lpstr>Vwidth11</vt:lpstr>
      <vt:lpstr>Vwidth14</vt:lpstr>
      <vt:lpstr>VwidthAbs_S</vt:lpstr>
      <vt:lpstr>VwidthAbs13</vt:lpstr>
      <vt:lpstr>VwidthAbs4</vt:lpstr>
      <vt:lpstr>VwidthAbs5</vt:lpstr>
      <vt:lpstr>VwidthAbs6</vt:lpstr>
      <vt:lpstr>WarmInflo7</vt:lpstr>
      <vt:lpstr>Warmth1</vt:lpstr>
      <vt:lpstr>warmth10</vt:lpstr>
      <vt:lpstr>warmth12</vt:lpstr>
      <vt:lpstr>Warmth2</vt:lpstr>
      <vt:lpstr>Warmth3</vt:lpstr>
      <vt:lpstr>Warmth4</vt:lpstr>
      <vt:lpstr>Warmth5</vt:lpstr>
      <vt:lpstr>Warmth6</vt:lpstr>
      <vt:lpstr>Warmth7</vt:lpstr>
      <vt:lpstr>warmth8</vt:lpstr>
      <vt:lpstr>WatEdgeSlope2</vt:lpstr>
      <vt:lpstr>Water10</vt:lpstr>
      <vt:lpstr>Water11</vt:lpstr>
      <vt:lpstr>Water12</vt:lpstr>
      <vt:lpstr>Water13</vt:lpstr>
      <vt:lpstr>Water14</vt:lpstr>
      <vt:lpstr>Water15</vt:lpstr>
      <vt:lpstr>Water3</vt:lpstr>
      <vt:lpstr>Water4</vt:lpstr>
      <vt:lpstr>Water7</vt:lpstr>
      <vt:lpstr>Water8</vt:lpstr>
      <vt:lpstr>Water9</vt:lpstr>
      <vt:lpstr>Waterscape11</vt:lpstr>
      <vt:lpstr>WBFscore10</vt:lpstr>
      <vt:lpstr>WBFscores</vt:lpstr>
      <vt:lpstr>WbirdF</vt:lpstr>
      <vt:lpstr>WbirdFeed</vt:lpstr>
      <vt:lpstr>WbirdFeed10</vt:lpstr>
      <vt:lpstr>WbirdNest</vt:lpstr>
      <vt:lpstr>WBNsiteS</vt:lpstr>
      <vt:lpstr>WeedSource</vt:lpstr>
      <vt:lpstr>WeedSourcePD</vt:lpstr>
      <vt:lpstr>WetIntercept</vt:lpstr>
      <vt:lpstr>WetPctCA2</vt:lpstr>
      <vt:lpstr>WetPctCA4</vt:lpstr>
      <vt:lpstr>WetSize_S</vt:lpstr>
      <vt:lpstr>Wettype10</vt:lpstr>
      <vt:lpstr>Wettype11</vt:lpstr>
      <vt:lpstr>Wettype12</vt:lpstr>
      <vt:lpstr>Wettype13</vt:lpstr>
      <vt:lpstr>Wettype2</vt:lpstr>
      <vt:lpstr>Wettype4</vt:lpstr>
      <vt:lpstr>Wettype5</vt:lpstr>
      <vt:lpstr>Wettype6</vt:lpstr>
      <vt:lpstr>Wettype8</vt:lpstr>
      <vt:lpstr>Wettype9</vt:lpstr>
      <vt:lpstr>WetTypeDiv11</vt:lpstr>
      <vt:lpstr>WetTypeDiv12</vt:lpstr>
      <vt:lpstr>WetTypeDiv14</vt:lpstr>
      <vt:lpstr>WettypeS</vt:lpstr>
      <vt:lpstr>WidthAbs2</vt:lpstr>
      <vt:lpstr>WidthPD</vt:lpstr>
      <vt:lpstr>WoodAbove10</vt:lpstr>
      <vt:lpstr>WoodAbove11</vt:lpstr>
      <vt:lpstr>WoodAbove9</vt:lpstr>
      <vt:lpstr>WoodDown11</vt:lpstr>
      <vt:lpstr>WoodDown14</vt:lpstr>
      <vt:lpstr>WoodDown8</vt:lpstr>
      <vt:lpstr>WoodHerbMix11</vt:lpstr>
      <vt:lpstr>WoodHerbMix15</vt:lpstr>
      <vt:lpstr>WoodHerbMix8</vt:lpstr>
      <vt:lpstr>WoodPatt14</vt:lpstr>
      <vt:lpstr>WoodSpDom15</vt:lpstr>
      <vt:lpstr>Woody14</vt:lpstr>
      <vt:lpstr>woodydbh0</vt:lpstr>
      <vt:lpstr>WoodyHtDiv14</vt:lpstr>
      <vt:lpstr>WoodyHtDiv15</vt:lpstr>
      <vt:lpstr>WoodyHtForm0</vt:lpstr>
      <vt:lpstr>WoodySens2_S</vt:lpstr>
      <vt:lpstr>WoodyTyp4</vt:lpstr>
      <vt:lpstr>WoodyUniq</vt:lpstr>
      <vt:lpstr>WoodyUniq0</vt:lpstr>
      <vt:lpstr>WoodyUniq14</vt:lpstr>
      <vt:lpstr>WoodyUniq20</vt:lpstr>
      <vt:lpstr>WQstress</vt:lpstr>
      <vt:lpstr>Wscape</vt:lpstr>
      <vt:lpstr>Wscape14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Hog_Island_WESP_July23_2019.xlsx</dc:title>
  <dc:creator>Paul Adamus</dc:creator>
  <cp:lastModifiedBy>User</cp:lastModifiedBy>
  <cp:lastPrinted>2018-08-09T00:19:14Z</cp:lastPrinted>
  <dcterms:created xsi:type="dcterms:W3CDTF">2007-07-23T17:47:56Z</dcterms:created>
  <dcterms:modified xsi:type="dcterms:W3CDTF">2021-03-01T22:01:10Z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0x010100B76EF5556B0B4CF0A3091E9C5A728B5C0041BE8B06E3382B44B594D8C42F79F6850060A9F6C5A6D0A54B847D43691A52060B</vt:lpwstr>
  </property>
</Properties>
</file>